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5AR12M\Excel downloads\"/>
    </mc:Choice>
  </mc:AlternateContent>
  <bookViews>
    <workbookView xWindow="0" yWindow="0" windowWidth="21570" windowHeight="951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 fullCalcOnLoad="1"/>
</workbook>
</file>

<file path=xl/calcChain.xml><?xml version="1.0" encoding="utf-8"?>
<calcChain xmlns="http://schemas.openxmlformats.org/spreadsheetml/2006/main">
  <c r="D102" i="22" l="1"/>
  <c r="E97" i="22"/>
  <c r="D97" i="22"/>
  <c r="C97" i="22"/>
  <c r="E96" i="22"/>
  <c r="E98" i="22"/>
  <c r="D96" i="22"/>
  <c r="D98" i="22"/>
  <c r="C96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E103" i="22"/>
  <c r="D83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/>
  <c r="D12" i="22"/>
  <c r="D33" i="22"/>
  <c r="C12" i="22"/>
  <c r="C33" i="22"/>
  <c r="D21" i="21"/>
  <c r="E21" i="21"/>
  <c r="C21" i="21"/>
  <c r="F21" i="21"/>
  <c r="D19" i="21"/>
  <c r="C19" i="21"/>
  <c r="F17" i="21"/>
  <c r="E17" i="21"/>
  <c r="F15" i="21"/>
  <c r="E15" i="21"/>
  <c r="D45" i="20"/>
  <c r="C45" i="20"/>
  <c r="D44" i="20"/>
  <c r="C44" i="20"/>
  <c r="D43" i="20"/>
  <c r="C43" i="20"/>
  <c r="D36" i="20"/>
  <c r="D40" i="20"/>
  <c r="C36" i="20"/>
  <c r="E35" i="20"/>
  <c r="F35" i="20"/>
  <c r="E34" i="20"/>
  <c r="F34" i="20"/>
  <c r="E33" i="20"/>
  <c r="F33" i="20"/>
  <c r="E30" i="20"/>
  <c r="F30" i="20"/>
  <c r="E29" i="20"/>
  <c r="F29" i="20"/>
  <c r="E28" i="20"/>
  <c r="F28" i="20"/>
  <c r="E27" i="20"/>
  <c r="F27" i="20"/>
  <c r="D25" i="20"/>
  <c r="D39" i="20"/>
  <c r="D41" i="20"/>
  <c r="C25" i="20"/>
  <c r="E24" i="20"/>
  <c r="F24" i="20"/>
  <c r="E23" i="20"/>
  <c r="F23" i="20"/>
  <c r="E22" i="20"/>
  <c r="F22" i="20"/>
  <c r="D19" i="20"/>
  <c r="D20" i="20"/>
  <c r="C19" i="20"/>
  <c r="C20" i="20"/>
  <c r="E18" i="20"/>
  <c r="F18" i="20"/>
  <c r="D16" i="20"/>
  <c r="C16" i="20"/>
  <c r="E15" i="20"/>
  <c r="F15" i="20"/>
  <c r="E13" i="20"/>
  <c r="F13" i="20"/>
  <c r="E12" i="20"/>
  <c r="F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3" i="19"/>
  <c r="C65" i="19"/>
  <c r="C114" i="19"/>
  <c r="C116" i="19"/>
  <c r="C119" i="19"/>
  <c r="C123" i="19"/>
  <c r="C60" i="19"/>
  <c r="C59" i="19"/>
  <c r="C49" i="19"/>
  <c r="C48" i="19"/>
  <c r="C64" i="19"/>
  <c r="C36" i="19"/>
  <c r="C32" i="19"/>
  <c r="C33" i="19"/>
  <c r="C21" i="19"/>
  <c r="E328" i="18"/>
  <c r="E325" i="18"/>
  <c r="D324" i="18"/>
  <c r="D326" i="18"/>
  <c r="C324" i="18"/>
  <c r="C326" i="18"/>
  <c r="E318" i="18"/>
  <c r="E315" i="18"/>
  <c r="D314" i="18"/>
  <c r="D316" i="18"/>
  <c r="C314" i="18"/>
  <c r="C316" i="18"/>
  <c r="C320" i="18"/>
  <c r="E308" i="18"/>
  <c r="E305" i="18"/>
  <c r="D301" i="18"/>
  <c r="D303" i="18"/>
  <c r="C301" i="18"/>
  <c r="D293" i="18"/>
  <c r="C293" i="18"/>
  <c r="E293" i="18"/>
  <c r="D292" i="18"/>
  <c r="E292" i="18"/>
  <c r="C292" i="18"/>
  <c r="D291" i="18"/>
  <c r="E291" i="18"/>
  <c r="C291" i="18"/>
  <c r="D290" i="18"/>
  <c r="C290" i="18"/>
  <c r="E290" i="18"/>
  <c r="D288" i="18"/>
  <c r="E288" i="18"/>
  <c r="C288" i="18"/>
  <c r="D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E278" i="18"/>
  <c r="C278" i="18"/>
  <c r="D277" i="18"/>
  <c r="E277" i="18"/>
  <c r="C277" i="18"/>
  <c r="D276" i="18"/>
  <c r="E276" i="18"/>
  <c r="C276" i="18"/>
  <c r="E270" i="18"/>
  <c r="D265" i="18"/>
  <c r="D302" i="18"/>
  <c r="C265" i="18"/>
  <c r="C302" i="18"/>
  <c r="D262" i="18"/>
  <c r="E262" i="18"/>
  <c r="C262" i="18"/>
  <c r="D251" i="18"/>
  <c r="C251" i="18"/>
  <c r="E251" i="18"/>
  <c r="D233" i="18"/>
  <c r="C233" i="18"/>
  <c r="D232" i="18"/>
  <c r="E232" i="18"/>
  <c r="C232" i="18"/>
  <c r="D231" i="18"/>
  <c r="E231" i="18"/>
  <c r="C231" i="18"/>
  <c r="D230" i="18"/>
  <c r="E230" i="18"/>
  <c r="C230" i="18"/>
  <c r="D228" i="18"/>
  <c r="E228" i="18"/>
  <c r="C228" i="18"/>
  <c r="D227" i="18"/>
  <c r="C227" i="18"/>
  <c r="E227" i="18"/>
  <c r="D221" i="18"/>
  <c r="E221" i="18"/>
  <c r="C221" i="18"/>
  <c r="C245" i="18"/>
  <c r="D220" i="18"/>
  <c r="D244" i="18"/>
  <c r="C220" i="18"/>
  <c r="D219" i="18"/>
  <c r="D217" i="18"/>
  <c r="C219" i="18"/>
  <c r="C243" i="18"/>
  <c r="D218" i="18"/>
  <c r="D242" i="18"/>
  <c r="C218" i="18"/>
  <c r="D216" i="18"/>
  <c r="C216" i="18"/>
  <c r="C240" i="18"/>
  <c r="D215" i="18"/>
  <c r="D239" i="18"/>
  <c r="C215" i="18"/>
  <c r="C239" i="18"/>
  <c r="E209" i="18"/>
  <c r="E208" i="18"/>
  <c r="E207" i="18"/>
  <c r="E206" i="18"/>
  <c r="D205" i="18"/>
  <c r="D210" i="18"/>
  <c r="D229" i="18"/>
  <c r="C205" i="18"/>
  <c r="C210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E179" i="18"/>
  <c r="C179" i="18"/>
  <c r="D178" i="18"/>
  <c r="E178" i="18"/>
  <c r="C178" i="18"/>
  <c r="D177" i="18"/>
  <c r="E177" i="18"/>
  <c r="C177" i="18"/>
  <c r="D176" i="18"/>
  <c r="C176" i="18"/>
  <c r="E176" i="18"/>
  <c r="D174" i="18"/>
  <c r="C174" i="18"/>
  <c r="E174" i="18"/>
  <c r="D173" i="18"/>
  <c r="E173" i="18"/>
  <c r="C173" i="18"/>
  <c r="D167" i="18"/>
  <c r="C167" i="18"/>
  <c r="D166" i="18"/>
  <c r="C166" i="18"/>
  <c r="D165" i="18"/>
  <c r="E165" i="18"/>
  <c r="C165" i="18"/>
  <c r="D164" i="18"/>
  <c r="E164" i="18"/>
  <c r="C164" i="18"/>
  <c r="D162" i="18"/>
  <c r="E162" i="18"/>
  <c r="C162" i="18"/>
  <c r="D161" i="18"/>
  <c r="C161" i="18"/>
  <c r="E161" i="18"/>
  <c r="E155" i="18"/>
  <c r="E154" i="18"/>
  <c r="E153" i="18"/>
  <c r="E152" i="18"/>
  <c r="D151" i="18"/>
  <c r="D156" i="18"/>
  <c r="C151" i="18"/>
  <c r="C156" i="18"/>
  <c r="C157" i="18"/>
  <c r="E157" i="18"/>
  <c r="E150" i="18"/>
  <c r="E149" i="18"/>
  <c r="E143" i="18"/>
  <c r="E142" i="18"/>
  <c r="E141" i="18"/>
  <c r="E140" i="18"/>
  <c r="D139" i="18"/>
  <c r="C139" i="18"/>
  <c r="C163" i="18"/>
  <c r="E138" i="18"/>
  <c r="E137" i="18"/>
  <c r="D75" i="18"/>
  <c r="C75" i="18"/>
  <c r="E75" i="18"/>
  <c r="D74" i="18"/>
  <c r="E74" i="18"/>
  <c r="C74" i="18"/>
  <c r="D73" i="18"/>
  <c r="E73" i="18"/>
  <c r="C73" i="18"/>
  <c r="D72" i="18"/>
  <c r="C72" i="18"/>
  <c r="E72" i="18"/>
  <c r="D71" i="18"/>
  <c r="D76" i="18"/>
  <c r="D77" i="18"/>
  <c r="D70" i="18"/>
  <c r="C70" i="18"/>
  <c r="D69" i="18"/>
  <c r="E69" i="18"/>
  <c r="C69" i="18"/>
  <c r="D65" i="18"/>
  <c r="E64" i="18"/>
  <c r="E63" i="18"/>
  <c r="E62" i="18"/>
  <c r="E61" i="18"/>
  <c r="D60" i="18"/>
  <c r="D289" i="18"/>
  <c r="C60" i="18"/>
  <c r="E59" i="18"/>
  <c r="E58" i="18"/>
  <c r="D54" i="18"/>
  <c r="C54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E40" i="18"/>
  <c r="C40" i="18"/>
  <c r="D39" i="18"/>
  <c r="E39" i="18"/>
  <c r="C39" i="18"/>
  <c r="D38" i="18"/>
  <c r="E38" i="18"/>
  <c r="C38" i="18"/>
  <c r="D37" i="18"/>
  <c r="C37" i="18"/>
  <c r="C43" i="18"/>
  <c r="D36" i="18"/>
  <c r="C36" i="18"/>
  <c r="C44" i="18"/>
  <c r="D33" i="18"/>
  <c r="D32" i="18"/>
  <c r="C32" i="18"/>
  <c r="E32" i="18"/>
  <c r="C33" i="18"/>
  <c r="E31" i="18"/>
  <c r="E30" i="18"/>
  <c r="E29" i="18"/>
  <c r="E28" i="18"/>
  <c r="E27" i="18"/>
  <c r="E26" i="18"/>
  <c r="E25" i="18"/>
  <c r="C22" i="18"/>
  <c r="D21" i="18"/>
  <c r="C21" i="18"/>
  <c r="E20" i="18"/>
  <c r="E19" i="18"/>
  <c r="E18" i="18"/>
  <c r="E17" i="18"/>
  <c r="E16" i="18"/>
  <c r="E15" i="18"/>
  <c r="E14" i="18"/>
  <c r="E335" i="17"/>
  <c r="F335" i="17"/>
  <c r="F334" i="17"/>
  <c r="E334" i="17"/>
  <c r="E333" i="17"/>
  <c r="F333" i="17"/>
  <c r="F332" i="17"/>
  <c r="E332" i="17"/>
  <c r="E331" i="17"/>
  <c r="F331" i="17"/>
  <c r="E330" i="17"/>
  <c r="F330" i="17"/>
  <c r="F329" i="17"/>
  <c r="E329" i="17"/>
  <c r="F316" i="17"/>
  <c r="E316" i="17"/>
  <c r="D311" i="17"/>
  <c r="E311" i="17"/>
  <c r="C311" i="17"/>
  <c r="F311" i="17"/>
  <c r="E308" i="17"/>
  <c r="F308" i="17"/>
  <c r="D307" i="17"/>
  <c r="C307" i="17"/>
  <c r="D299" i="17"/>
  <c r="C299" i="17"/>
  <c r="D298" i="17"/>
  <c r="C298" i="17"/>
  <c r="D297" i="17"/>
  <c r="E297" i="17"/>
  <c r="F297" i="17"/>
  <c r="C297" i="17"/>
  <c r="D296" i="17"/>
  <c r="E296" i="17"/>
  <c r="F296" i="17"/>
  <c r="C296" i="17"/>
  <c r="D295" i="17"/>
  <c r="C295" i="17"/>
  <c r="E295" i="17"/>
  <c r="D294" i="17"/>
  <c r="C294" i="17"/>
  <c r="D250" i="17"/>
  <c r="C250" i="17"/>
  <c r="C306" i="17"/>
  <c r="E249" i="17"/>
  <c r="F249" i="17"/>
  <c r="E248" i="17"/>
  <c r="F248" i="17"/>
  <c r="F245" i="17"/>
  <c r="E245" i="17"/>
  <c r="E244" i="17"/>
  <c r="F244" i="17"/>
  <c r="E243" i="17"/>
  <c r="F243" i="17"/>
  <c r="D238" i="17"/>
  <c r="C238" i="17"/>
  <c r="D237" i="17"/>
  <c r="C237" i="17"/>
  <c r="E234" i="17"/>
  <c r="F234" i="17"/>
  <c r="E233" i="17"/>
  <c r="F233" i="17"/>
  <c r="D230" i="17"/>
  <c r="E230" i="17"/>
  <c r="F230" i="17"/>
  <c r="C230" i="17"/>
  <c r="D229" i="17"/>
  <c r="C229" i="17"/>
  <c r="E228" i="17"/>
  <c r="F228" i="17"/>
  <c r="D226" i="17"/>
  <c r="D227" i="17"/>
  <c r="E227" i="17"/>
  <c r="F227" i="17"/>
  <c r="C226" i="17"/>
  <c r="C227" i="17"/>
  <c r="E225" i="17"/>
  <c r="F225" i="17"/>
  <c r="E224" i="17"/>
  <c r="F224" i="17"/>
  <c r="D223" i="17"/>
  <c r="C223" i="17"/>
  <c r="E222" i="17"/>
  <c r="F222" i="17"/>
  <c r="E221" i="17"/>
  <c r="F221" i="17"/>
  <c r="D204" i="17"/>
  <c r="C204" i="17"/>
  <c r="D203" i="17"/>
  <c r="C203" i="17"/>
  <c r="C283" i="17"/>
  <c r="E283" i="17"/>
  <c r="D198" i="17"/>
  <c r="C198" i="17"/>
  <c r="C290" i="17"/>
  <c r="D191" i="17"/>
  <c r="C191" i="17"/>
  <c r="C280" i="17"/>
  <c r="D189" i="17"/>
  <c r="D278" i="17"/>
  <c r="E278" i="17"/>
  <c r="C189" i="17"/>
  <c r="D188" i="17"/>
  <c r="D277" i="17"/>
  <c r="C188" i="17"/>
  <c r="D180" i="17"/>
  <c r="C180" i="17"/>
  <c r="D179" i="17"/>
  <c r="C179" i="17"/>
  <c r="D171" i="17"/>
  <c r="D172" i="17"/>
  <c r="E172" i="17"/>
  <c r="C171" i="17"/>
  <c r="C172" i="17"/>
  <c r="D170" i="17"/>
  <c r="C170" i="17"/>
  <c r="E169" i="17"/>
  <c r="F169" i="17"/>
  <c r="E168" i="17"/>
  <c r="F168" i="17"/>
  <c r="D165" i="17"/>
  <c r="C165" i="17"/>
  <c r="D164" i="17"/>
  <c r="C164" i="17"/>
  <c r="E163" i="17"/>
  <c r="F163" i="17"/>
  <c r="D158" i="17"/>
  <c r="D159" i="17"/>
  <c r="D160" i="17"/>
  <c r="C158" i="17"/>
  <c r="C159" i="17"/>
  <c r="E157" i="17"/>
  <c r="F157" i="17"/>
  <c r="E156" i="17"/>
  <c r="F156" i="17"/>
  <c r="D155" i="17"/>
  <c r="C155" i="17"/>
  <c r="E154" i="17"/>
  <c r="F154" i="17"/>
  <c r="E153" i="17"/>
  <c r="F153" i="17"/>
  <c r="D145" i="17"/>
  <c r="C145" i="17"/>
  <c r="D144" i="17"/>
  <c r="C144" i="17"/>
  <c r="D136" i="17"/>
  <c r="D137" i="17"/>
  <c r="C136" i="17"/>
  <c r="C137" i="17"/>
  <c r="D135" i="17"/>
  <c r="C135" i="17"/>
  <c r="E134" i="17"/>
  <c r="F134" i="17"/>
  <c r="E133" i="17"/>
  <c r="F133" i="17"/>
  <c r="D130" i="17"/>
  <c r="E130" i="17"/>
  <c r="F130" i="17"/>
  <c r="C130" i="17"/>
  <c r="D129" i="17"/>
  <c r="C129" i="17"/>
  <c r="E128" i="17"/>
  <c r="F128" i="17"/>
  <c r="D123" i="17"/>
  <c r="C123" i="17"/>
  <c r="E122" i="17"/>
  <c r="F122" i="17"/>
  <c r="E121" i="17"/>
  <c r="F121" i="17"/>
  <c r="D120" i="17"/>
  <c r="C120" i="17"/>
  <c r="E120" i="17"/>
  <c r="E119" i="17"/>
  <c r="F119" i="17"/>
  <c r="E118" i="17"/>
  <c r="F118" i="17"/>
  <c r="D110" i="17"/>
  <c r="C110" i="17"/>
  <c r="D109" i="17"/>
  <c r="D111" i="17"/>
  <c r="C109" i="17"/>
  <c r="D101" i="17"/>
  <c r="D102" i="17"/>
  <c r="D103" i="17"/>
  <c r="C101" i="17"/>
  <c r="D100" i="17"/>
  <c r="E100" i="17"/>
  <c r="F100" i="17"/>
  <c r="C100" i="17"/>
  <c r="E99" i="17"/>
  <c r="F99" i="17"/>
  <c r="E98" i="17"/>
  <c r="F98" i="17"/>
  <c r="D95" i="17"/>
  <c r="C95" i="17"/>
  <c r="D94" i="17"/>
  <c r="E94" i="17"/>
  <c r="F94" i="17"/>
  <c r="C94" i="17"/>
  <c r="E93" i="17"/>
  <c r="F93" i="17"/>
  <c r="D88" i="17"/>
  <c r="D89" i="17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D77" i="17"/>
  <c r="C76" i="17"/>
  <c r="F74" i="17"/>
  <c r="E74" i="17"/>
  <c r="E73" i="17"/>
  <c r="F73" i="17"/>
  <c r="D67" i="17"/>
  <c r="E67" i="17"/>
  <c r="F67" i="17"/>
  <c r="C67" i="17"/>
  <c r="D66" i="17"/>
  <c r="D68" i="17"/>
  <c r="C66" i="17"/>
  <c r="C68" i="17"/>
  <c r="D59" i="17"/>
  <c r="D60" i="17"/>
  <c r="C59" i="17"/>
  <c r="E59" i="17"/>
  <c r="C60" i="17"/>
  <c r="D58" i="17"/>
  <c r="C58" i="17"/>
  <c r="E57" i="17"/>
  <c r="F57" i="17"/>
  <c r="E56" i="17"/>
  <c r="F56" i="17"/>
  <c r="D53" i="17"/>
  <c r="E53" i="17"/>
  <c r="C53" i="17"/>
  <c r="D52" i="17"/>
  <c r="F52" i="17"/>
  <c r="C52" i="17"/>
  <c r="E52" i="17"/>
  <c r="E51" i="17"/>
  <c r="F51" i="17"/>
  <c r="D47" i="17"/>
  <c r="D48" i="17"/>
  <c r="C47" i="17"/>
  <c r="C48" i="17"/>
  <c r="E46" i="17"/>
  <c r="F46" i="17"/>
  <c r="E45" i="17"/>
  <c r="F45" i="17"/>
  <c r="D44" i="17"/>
  <c r="E44" i="17"/>
  <c r="C44" i="17"/>
  <c r="E43" i="17"/>
  <c r="F43" i="17"/>
  <c r="E42" i="17"/>
  <c r="F42" i="17"/>
  <c r="D36" i="17"/>
  <c r="E36" i="17"/>
  <c r="C36" i="17"/>
  <c r="D35" i="17"/>
  <c r="D37" i="17"/>
  <c r="C35" i="17"/>
  <c r="D30" i="17"/>
  <c r="D31" i="17"/>
  <c r="C30" i="17"/>
  <c r="C31" i="17"/>
  <c r="D29" i="17"/>
  <c r="E29" i="17"/>
  <c r="F29" i="17"/>
  <c r="C29" i="17"/>
  <c r="E28" i="17"/>
  <c r="F28" i="17"/>
  <c r="E27" i="17"/>
  <c r="F27" i="17"/>
  <c r="D24" i="17"/>
  <c r="C24" i="17"/>
  <c r="D23" i="17"/>
  <c r="E23" i="17"/>
  <c r="F23" i="17"/>
  <c r="C23" i="17"/>
  <c r="E22" i="17"/>
  <c r="F22" i="17"/>
  <c r="D20" i="17"/>
  <c r="E20" i="17"/>
  <c r="C20" i="17"/>
  <c r="E19" i="17"/>
  <c r="F19" i="17"/>
  <c r="E18" i="17"/>
  <c r="F18" i="17"/>
  <c r="D17" i="17"/>
  <c r="E17" i="17"/>
  <c r="C17" i="17"/>
  <c r="E16" i="17"/>
  <c r="F16" i="17"/>
  <c r="E15" i="17"/>
  <c r="F15" i="17"/>
  <c r="D21" i="16"/>
  <c r="E21" i="16"/>
  <c r="C21" i="16"/>
  <c r="E20" i="16"/>
  <c r="F20" i="16"/>
  <c r="D17" i="16"/>
  <c r="F17" i="16"/>
  <c r="C17" i="16"/>
  <c r="E17" i="16"/>
  <c r="F16" i="16"/>
  <c r="E16" i="16"/>
  <c r="D13" i="16"/>
  <c r="C13" i="16"/>
  <c r="E12" i="16"/>
  <c r="F12" i="16"/>
  <c r="D107" i="15"/>
  <c r="E107" i="15"/>
  <c r="C107" i="15"/>
  <c r="F106" i="15"/>
  <c r="E106" i="15"/>
  <c r="F105" i="15"/>
  <c r="E105" i="15"/>
  <c r="E104" i="15"/>
  <c r="F104" i="15"/>
  <c r="D100" i="15"/>
  <c r="E100" i="15"/>
  <c r="F100" i="15"/>
  <c r="C100" i="15"/>
  <c r="E99" i="15"/>
  <c r="F99" i="15"/>
  <c r="F98" i="15"/>
  <c r="E98" i="15"/>
  <c r="E97" i="15"/>
  <c r="F97" i="15"/>
  <c r="F96" i="15"/>
  <c r="E96" i="15"/>
  <c r="E95" i="15"/>
  <c r="F95" i="15"/>
  <c r="D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5" i="15"/>
  <c r="E74" i="15"/>
  <c r="F74" i="15"/>
  <c r="E73" i="15"/>
  <c r="F73" i="15"/>
  <c r="E75" i="15"/>
  <c r="D70" i="15"/>
  <c r="E70" i="15"/>
  <c r="C70" i="15"/>
  <c r="E69" i="15"/>
  <c r="F69" i="15"/>
  <c r="F68" i="15"/>
  <c r="E68" i="15"/>
  <c r="D65" i="15"/>
  <c r="E65" i="15"/>
  <c r="C65" i="15"/>
  <c r="E64" i="15"/>
  <c r="F64" i="15"/>
  <c r="F63" i="15"/>
  <c r="E63" i="15"/>
  <c r="D60" i="15"/>
  <c r="C60" i="15"/>
  <c r="F60" i="15"/>
  <c r="F59" i="15"/>
  <c r="E59" i="15"/>
  <c r="F58" i="15"/>
  <c r="E58" i="15"/>
  <c r="E60" i="15"/>
  <c r="F55" i="15"/>
  <c r="D55" i="15"/>
  <c r="C55" i="15"/>
  <c r="E55" i="15"/>
  <c r="F54" i="15"/>
  <c r="E54" i="15"/>
  <c r="F53" i="15"/>
  <c r="E53" i="15"/>
  <c r="F50" i="15"/>
  <c r="D50" i="15"/>
  <c r="C50" i="15"/>
  <c r="E50" i="15"/>
  <c r="F49" i="15"/>
  <c r="E49" i="15"/>
  <c r="F48" i="15"/>
  <c r="E48" i="15"/>
  <c r="F45" i="15"/>
  <c r="D45" i="15"/>
  <c r="C45" i="15"/>
  <c r="E45" i="15"/>
  <c r="F44" i="15"/>
  <c r="E44" i="15"/>
  <c r="F43" i="15"/>
  <c r="E43" i="15"/>
  <c r="F37" i="15"/>
  <c r="D37" i="15"/>
  <c r="C37" i="15"/>
  <c r="E37" i="15"/>
  <c r="F36" i="15"/>
  <c r="E36" i="15"/>
  <c r="F35" i="15"/>
  <c r="E35" i="15"/>
  <c r="F34" i="15"/>
  <c r="E34" i="15"/>
  <c r="F33" i="15"/>
  <c r="E33" i="15"/>
  <c r="D30" i="15"/>
  <c r="E30" i="15"/>
  <c r="C30" i="15"/>
  <c r="F30" i="15"/>
  <c r="F29" i="15"/>
  <c r="E29" i="15"/>
  <c r="F28" i="15"/>
  <c r="E28" i="15"/>
  <c r="F27" i="15"/>
  <c r="E27" i="15"/>
  <c r="F26" i="15"/>
  <c r="E26" i="15"/>
  <c r="D23" i="15"/>
  <c r="E23" i="15"/>
  <c r="C23" i="15"/>
  <c r="F22" i="15"/>
  <c r="E22" i="15"/>
  <c r="F21" i="15"/>
  <c r="E21" i="15"/>
  <c r="F20" i="15"/>
  <c r="E20" i="15"/>
  <c r="E19" i="15"/>
  <c r="F19" i="15"/>
  <c r="D16" i="15"/>
  <c r="E16" i="15"/>
  <c r="F16" i="15"/>
  <c r="C16" i="15"/>
  <c r="F15" i="15"/>
  <c r="E15" i="15"/>
  <c r="E14" i="15"/>
  <c r="F14" i="15"/>
  <c r="E13" i="15"/>
  <c r="F13" i="15"/>
  <c r="F12" i="15"/>
  <c r="E12" i="15"/>
  <c r="I37" i="14"/>
  <c r="H37" i="14"/>
  <c r="G31" i="14"/>
  <c r="C31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3" i="14"/>
  <c r="F17" i="14"/>
  <c r="F33" i="14"/>
  <c r="E17" i="14"/>
  <c r="D17" i="14"/>
  <c r="D33" i="14"/>
  <c r="D36" i="14"/>
  <c r="D38" i="14"/>
  <c r="D40" i="14"/>
  <c r="C17" i="14"/>
  <c r="C33" i="14"/>
  <c r="C36" i="14"/>
  <c r="C38" i="14"/>
  <c r="C40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C78" i="13"/>
  <c r="C80" i="13"/>
  <c r="C77" i="13"/>
  <c r="E75" i="13"/>
  <c r="E73" i="13"/>
  <c r="D73" i="13"/>
  <c r="D75" i="13"/>
  <c r="C73" i="13"/>
  <c r="C75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9" i="13"/>
  <c r="E58" i="13"/>
  <c r="D58" i="13"/>
  <c r="C58" i="13"/>
  <c r="E55" i="13"/>
  <c r="D55" i="13"/>
  <c r="D50" i="13"/>
  <c r="C55" i="13"/>
  <c r="E54" i="13"/>
  <c r="E50" i="13"/>
  <c r="D54" i="13"/>
  <c r="C54" i="13"/>
  <c r="C50" i="13"/>
  <c r="E48" i="13"/>
  <c r="E42" i="13"/>
  <c r="E46" i="13"/>
  <c r="D46" i="13"/>
  <c r="D59" i="13"/>
  <c r="D61" i="13"/>
  <c r="D57" i="13"/>
  <c r="C46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7" i="13"/>
  <c r="C25" i="13"/>
  <c r="C27" i="13"/>
  <c r="C21" i="13"/>
  <c r="E15" i="13"/>
  <c r="E24" i="13"/>
  <c r="E13" i="13"/>
  <c r="E25" i="13"/>
  <c r="D13" i="13"/>
  <c r="D25" i="13"/>
  <c r="D27" i="13"/>
  <c r="D21" i="13"/>
  <c r="C13" i="13"/>
  <c r="C15" i="13"/>
  <c r="C24" i="13"/>
  <c r="C20" i="13"/>
  <c r="F47" i="12"/>
  <c r="D47" i="12"/>
  <c r="E47" i="12"/>
  <c r="C47" i="12"/>
  <c r="F46" i="12"/>
  <c r="E46" i="12"/>
  <c r="F45" i="12"/>
  <c r="E45" i="12"/>
  <c r="F40" i="12"/>
  <c r="D40" i="12"/>
  <c r="E40" i="12"/>
  <c r="C40" i="12"/>
  <c r="F39" i="12"/>
  <c r="E39" i="12"/>
  <c r="F38" i="12"/>
  <c r="E38" i="12"/>
  <c r="F37" i="12"/>
  <c r="E37" i="12"/>
  <c r="D32" i="12"/>
  <c r="E32" i="12"/>
  <c r="F32" i="12"/>
  <c r="C32" i="12"/>
  <c r="E31" i="12"/>
  <c r="F31" i="12"/>
  <c r="F30" i="12"/>
  <c r="E30" i="12"/>
  <c r="F29" i="12"/>
  <c r="E29" i="12"/>
  <c r="F28" i="12"/>
  <c r="E28" i="12"/>
  <c r="E27" i="12"/>
  <c r="F27" i="12"/>
  <c r="E26" i="12"/>
  <c r="F26" i="12"/>
  <c r="F25" i="12"/>
  <c r="E25" i="12"/>
  <c r="E24" i="12"/>
  <c r="F24" i="12"/>
  <c r="E23" i="12"/>
  <c r="F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E12" i="12"/>
  <c r="F12" i="12"/>
  <c r="F11" i="12"/>
  <c r="E11" i="12"/>
  <c r="D73" i="11"/>
  <c r="C73" i="11"/>
  <c r="F72" i="11"/>
  <c r="E72" i="11"/>
  <c r="F71" i="11"/>
  <c r="E71" i="11"/>
  <c r="F70" i="11"/>
  <c r="E70" i="11"/>
  <c r="E67" i="11"/>
  <c r="F67" i="11"/>
  <c r="E64" i="11"/>
  <c r="F64" i="11"/>
  <c r="E63" i="11"/>
  <c r="F63" i="11"/>
  <c r="D61" i="11"/>
  <c r="D65" i="11"/>
  <c r="C61" i="11"/>
  <c r="C65" i="11"/>
  <c r="F60" i="11"/>
  <c r="E60" i="11"/>
  <c r="F59" i="11"/>
  <c r="E59" i="11"/>
  <c r="D56" i="11"/>
  <c r="D75" i="11"/>
  <c r="C56" i="11"/>
  <c r="F55" i="11"/>
  <c r="E55" i="11"/>
  <c r="E54" i="11"/>
  <c r="F54" i="11"/>
  <c r="F53" i="11"/>
  <c r="E53" i="11"/>
  <c r="F52" i="11"/>
  <c r="E52" i="11"/>
  <c r="F51" i="11"/>
  <c r="E51" i="11"/>
  <c r="E50" i="11"/>
  <c r="F50" i="11"/>
  <c r="A50" i="11"/>
  <c r="A51" i="11"/>
  <c r="A52" i="11"/>
  <c r="A53" i="11"/>
  <c r="A54" i="11"/>
  <c r="A55" i="11"/>
  <c r="F49" i="11"/>
  <c r="E49" i="11"/>
  <c r="F40" i="11"/>
  <c r="E40" i="11"/>
  <c r="D38" i="11"/>
  <c r="D41" i="11"/>
  <c r="C38" i="11"/>
  <c r="E37" i="11"/>
  <c r="F37" i="11"/>
  <c r="F36" i="11"/>
  <c r="E36" i="11"/>
  <c r="F33" i="11"/>
  <c r="E33" i="11"/>
  <c r="F32" i="11"/>
  <c r="E32" i="11"/>
  <c r="F31" i="11"/>
  <c r="E31" i="11"/>
  <c r="F29" i="11"/>
  <c r="D29" i="11"/>
  <c r="E29" i="11"/>
  <c r="C29" i="11"/>
  <c r="F28" i="11"/>
  <c r="E28" i="11"/>
  <c r="F27" i="11"/>
  <c r="E27" i="11"/>
  <c r="F26" i="11"/>
  <c r="E26" i="11"/>
  <c r="F25" i="11"/>
  <c r="E25" i="11"/>
  <c r="D22" i="11"/>
  <c r="C22" i="11"/>
  <c r="E21" i="11"/>
  <c r="F21" i="11"/>
  <c r="E20" i="11"/>
  <c r="F20" i="11"/>
  <c r="E19" i="11"/>
  <c r="F19" i="11"/>
  <c r="F18" i="11"/>
  <c r="E18" i="11"/>
  <c r="F17" i="11"/>
  <c r="E17" i="11"/>
  <c r="F16" i="11"/>
  <c r="E16" i="11"/>
  <c r="E15" i="11"/>
  <c r="F15" i="11"/>
  <c r="F14" i="11"/>
  <c r="E14" i="11"/>
  <c r="E13" i="11"/>
  <c r="F13" i="11"/>
  <c r="D120" i="10"/>
  <c r="E120" i="10"/>
  <c r="C120" i="10"/>
  <c r="F120" i="10"/>
  <c r="D119" i="10"/>
  <c r="C119" i="10"/>
  <c r="D118" i="10"/>
  <c r="C118" i="10"/>
  <c r="F117" i="10"/>
  <c r="D117" i="10"/>
  <c r="E117" i="10"/>
  <c r="C117" i="10"/>
  <c r="D116" i="10"/>
  <c r="E116" i="10"/>
  <c r="C116" i="10"/>
  <c r="F116" i="10"/>
  <c r="F115" i="10"/>
  <c r="D115" i="10"/>
  <c r="E115" i="10"/>
  <c r="C115" i="10"/>
  <c r="C122" i="10"/>
  <c r="D114" i="10"/>
  <c r="E114" i="10"/>
  <c r="C114" i="10"/>
  <c r="F114" i="10"/>
  <c r="F113" i="10"/>
  <c r="D113" i="10"/>
  <c r="D122" i="10"/>
  <c r="E122" i="10"/>
  <c r="C113" i="10"/>
  <c r="F122" i="10"/>
  <c r="F112" i="10"/>
  <c r="D112" i="10"/>
  <c r="D121" i="10"/>
  <c r="C112" i="10"/>
  <c r="C121" i="10"/>
  <c r="F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E96" i="10"/>
  <c r="C96" i="10"/>
  <c r="F96" i="10"/>
  <c r="D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C72" i="10"/>
  <c r="E72" i="10"/>
  <c r="F71" i="10"/>
  <c r="D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C60" i="10"/>
  <c r="E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D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E24" i="10"/>
  <c r="C24" i="10"/>
  <c r="F24" i="10"/>
  <c r="D23" i="10"/>
  <c r="E23" i="10"/>
  <c r="C23" i="10"/>
  <c r="F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F206" i="9"/>
  <c r="D206" i="9"/>
  <c r="E206" i="9"/>
  <c r="C206" i="9"/>
  <c r="D205" i="9"/>
  <c r="E205" i="9"/>
  <c r="F205" i="9"/>
  <c r="C205" i="9"/>
  <c r="D204" i="9"/>
  <c r="E204" i="9"/>
  <c r="F204" i="9"/>
  <c r="C204" i="9"/>
  <c r="D203" i="9"/>
  <c r="E203" i="9"/>
  <c r="F203" i="9"/>
  <c r="C203" i="9"/>
  <c r="D202" i="9"/>
  <c r="E202" i="9"/>
  <c r="F202" i="9"/>
  <c r="C202" i="9"/>
  <c r="D201" i="9"/>
  <c r="E201" i="9"/>
  <c r="F201" i="9"/>
  <c r="C201" i="9"/>
  <c r="D200" i="9"/>
  <c r="E200" i="9"/>
  <c r="F200" i="9"/>
  <c r="C200" i="9"/>
  <c r="D199" i="9"/>
  <c r="D208" i="9"/>
  <c r="C199" i="9"/>
  <c r="C208" i="9"/>
  <c r="D198" i="9"/>
  <c r="D207" i="9"/>
  <c r="C198" i="9"/>
  <c r="D193" i="9"/>
  <c r="E193" i="9"/>
  <c r="F193" i="9"/>
  <c r="C193" i="9"/>
  <c r="D192" i="9"/>
  <c r="C192" i="9"/>
  <c r="F191" i="9"/>
  <c r="E191" i="9"/>
  <c r="F190" i="9"/>
  <c r="E190" i="9"/>
  <c r="F189" i="9"/>
  <c r="E189" i="9"/>
  <c r="F188" i="9"/>
  <c r="E188" i="9"/>
  <c r="E187" i="9"/>
  <c r="F187" i="9"/>
  <c r="F186" i="9"/>
  <c r="E186" i="9"/>
  <c r="E185" i="9"/>
  <c r="F185" i="9"/>
  <c r="F184" i="9"/>
  <c r="E184" i="9"/>
  <c r="E183" i="9"/>
  <c r="F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F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4" i="9"/>
  <c r="F153" i="9"/>
  <c r="D153" i="9"/>
  <c r="C153" i="9"/>
  <c r="E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/>
  <c r="F141" i="9"/>
  <c r="C141" i="9"/>
  <c r="D140" i="9"/>
  <c r="E140" i="9"/>
  <c r="F140" i="9"/>
  <c r="C140" i="9"/>
  <c r="F139" i="9"/>
  <c r="E139" i="9"/>
  <c r="F138" i="9"/>
  <c r="E138" i="9"/>
  <c r="E137" i="9"/>
  <c r="F137" i="9"/>
  <c r="F136" i="9"/>
  <c r="E136" i="9"/>
  <c r="F135" i="9"/>
  <c r="E135" i="9"/>
  <c r="F134" i="9"/>
  <c r="E134" i="9"/>
  <c r="E133" i="9"/>
  <c r="F133" i="9"/>
  <c r="F132" i="9"/>
  <c r="E132" i="9"/>
  <c r="F131" i="9"/>
  <c r="E131" i="9"/>
  <c r="D128" i="9"/>
  <c r="E128" i="9"/>
  <c r="F128" i="9"/>
  <c r="C128" i="9"/>
  <c r="D127" i="9"/>
  <c r="E127" i="9"/>
  <c r="C127" i="9"/>
  <c r="F126" i="9"/>
  <c r="E126" i="9"/>
  <c r="E125" i="9"/>
  <c r="F125" i="9"/>
  <c r="E124" i="9"/>
  <c r="F124" i="9"/>
  <c r="E123" i="9"/>
  <c r="F123" i="9"/>
  <c r="F122" i="9"/>
  <c r="E122" i="9"/>
  <c r="F121" i="9"/>
  <c r="E121" i="9"/>
  <c r="F120" i="9"/>
  <c r="E120" i="9"/>
  <c r="E119" i="9"/>
  <c r="F119" i="9"/>
  <c r="F118" i="9"/>
  <c r="E118" i="9"/>
  <c r="D115" i="9"/>
  <c r="E115" i="9"/>
  <c r="F115" i="9"/>
  <c r="C115" i="9"/>
  <c r="D114" i="9"/>
  <c r="E114" i="9"/>
  <c r="F114" i="9"/>
  <c r="C114" i="9"/>
  <c r="F113" i="9"/>
  <c r="E113" i="9"/>
  <c r="F112" i="9"/>
  <c r="E112" i="9"/>
  <c r="E111" i="9"/>
  <c r="F111" i="9"/>
  <c r="F110" i="9"/>
  <c r="E110" i="9"/>
  <c r="E109" i="9"/>
  <c r="F109" i="9"/>
  <c r="E108" i="9"/>
  <c r="F108" i="9"/>
  <c r="E107" i="9"/>
  <c r="F107" i="9"/>
  <c r="F106" i="9"/>
  <c r="E106" i="9"/>
  <c r="F105" i="9"/>
  <c r="E105" i="9"/>
  <c r="D102" i="9"/>
  <c r="C102" i="9"/>
  <c r="F102" i="9"/>
  <c r="F101" i="9"/>
  <c r="D101" i="9"/>
  <c r="C101" i="9"/>
  <c r="E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D89" i="9"/>
  <c r="E89" i="9"/>
  <c r="F89" i="9"/>
  <c r="C89" i="9"/>
  <c r="D88" i="9"/>
  <c r="C88" i="9"/>
  <c r="F87" i="9"/>
  <c r="E87" i="9"/>
  <c r="F86" i="9"/>
  <c r="E86" i="9"/>
  <c r="E85" i="9"/>
  <c r="F85" i="9"/>
  <c r="F84" i="9"/>
  <c r="E84" i="9"/>
  <c r="F83" i="9"/>
  <c r="E83" i="9"/>
  <c r="F82" i="9"/>
  <c r="E82" i="9"/>
  <c r="E81" i="9"/>
  <c r="F81" i="9"/>
  <c r="F80" i="9"/>
  <c r="E80" i="9"/>
  <c r="F79" i="9"/>
  <c r="E79" i="9"/>
  <c r="D76" i="9"/>
  <c r="E76" i="9"/>
  <c r="C76" i="9"/>
  <c r="D75" i="9"/>
  <c r="C75" i="9"/>
  <c r="F74" i="9"/>
  <c r="E74" i="9"/>
  <c r="F73" i="9"/>
  <c r="E73" i="9"/>
  <c r="F72" i="9"/>
  <c r="E72" i="9"/>
  <c r="E71" i="9"/>
  <c r="F71" i="9"/>
  <c r="F70" i="9"/>
  <c r="E70" i="9"/>
  <c r="F69" i="9"/>
  <c r="E69" i="9"/>
  <c r="E68" i="9"/>
  <c r="F68" i="9"/>
  <c r="E67" i="9"/>
  <c r="F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C50" i="9"/>
  <c r="D49" i="9"/>
  <c r="E49" i="9"/>
  <c r="C49" i="9"/>
  <c r="F48" i="9"/>
  <c r="E48" i="9"/>
  <c r="E47" i="9"/>
  <c r="F47" i="9"/>
  <c r="F46" i="9"/>
  <c r="E46" i="9"/>
  <c r="F45" i="9"/>
  <c r="E45" i="9"/>
  <c r="E44" i="9"/>
  <c r="F44" i="9"/>
  <c r="E43" i="9"/>
  <c r="F43" i="9"/>
  <c r="F42" i="9"/>
  <c r="E42" i="9"/>
  <c r="E41" i="9"/>
  <c r="F41" i="9"/>
  <c r="E40" i="9"/>
  <c r="F40" i="9"/>
  <c r="F37" i="9"/>
  <c r="D37" i="9"/>
  <c r="E37" i="9"/>
  <c r="C37" i="9"/>
  <c r="D36" i="9"/>
  <c r="C36" i="9"/>
  <c r="F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C24" i="9"/>
  <c r="D23" i="9"/>
  <c r="C23" i="9"/>
  <c r="F22" i="9"/>
  <c r="E22" i="9"/>
  <c r="F21" i="9"/>
  <c r="E21" i="9"/>
  <c r="E20" i="9"/>
  <c r="F20" i="9"/>
  <c r="E19" i="9"/>
  <c r="F19" i="9"/>
  <c r="F18" i="9"/>
  <c r="E18" i="9"/>
  <c r="F17" i="9"/>
  <c r="E17" i="9"/>
  <c r="E16" i="9"/>
  <c r="F16" i="9"/>
  <c r="E15" i="9"/>
  <c r="F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C160" i="8"/>
  <c r="C166" i="8"/>
  <c r="E162" i="8"/>
  <c r="D162" i="8"/>
  <c r="C162" i="8"/>
  <c r="E161" i="8"/>
  <c r="D161" i="8"/>
  <c r="C161" i="8"/>
  <c r="E160" i="8"/>
  <c r="E166" i="8"/>
  <c r="E147" i="8"/>
  <c r="E143" i="8"/>
  <c r="E149" i="8"/>
  <c r="D147" i="8"/>
  <c r="D143" i="8"/>
  <c r="C147" i="8"/>
  <c r="E145" i="8"/>
  <c r="D145" i="8"/>
  <c r="C145" i="8"/>
  <c r="E144" i="8"/>
  <c r="D144" i="8"/>
  <c r="C144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C107" i="8"/>
  <c r="E102" i="8"/>
  <c r="E104" i="8"/>
  <c r="D102" i="8"/>
  <c r="D104" i="8"/>
  <c r="C102" i="8"/>
  <c r="C104" i="8"/>
  <c r="E100" i="8"/>
  <c r="D100" i="8"/>
  <c r="C100" i="8"/>
  <c r="E95" i="8"/>
  <c r="E94" i="8"/>
  <c r="D95" i="8"/>
  <c r="D94" i="8"/>
  <c r="C95" i="8"/>
  <c r="C94" i="8"/>
  <c r="E89" i="8"/>
  <c r="D89" i="8"/>
  <c r="C89" i="8"/>
  <c r="E87" i="8"/>
  <c r="D87" i="8"/>
  <c r="C87" i="8"/>
  <c r="E84" i="8"/>
  <c r="D84" i="8"/>
  <c r="C84" i="8"/>
  <c r="E83" i="8"/>
  <c r="E79" i="8"/>
  <c r="D83" i="8"/>
  <c r="C83" i="8"/>
  <c r="C79" i="8"/>
  <c r="E75" i="8"/>
  <c r="D75" i="8"/>
  <c r="C75" i="8"/>
  <c r="E74" i="8"/>
  <c r="D74" i="8"/>
  <c r="C74" i="8"/>
  <c r="E67" i="8"/>
  <c r="D67" i="8"/>
  <c r="C67" i="8"/>
  <c r="D53" i="8"/>
  <c r="D43" i="8"/>
  <c r="E38" i="8"/>
  <c r="E49" i="8"/>
  <c r="D38" i="8"/>
  <c r="D57" i="8"/>
  <c r="D62" i="8"/>
  <c r="C38" i="8"/>
  <c r="C57" i="8"/>
  <c r="C62" i="8"/>
  <c r="E33" i="8"/>
  <c r="E34" i="8"/>
  <c r="D33" i="8"/>
  <c r="D34" i="8"/>
  <c r="E26" i="8"/>
  <c r="D26" i="8"/>
  <c r="C26" i="8"/>
  <c r="C25" i="8"/>
  <c r="E13" i="8"/>
  <c r="D13" i="8"/>
  <c r="C13" i="8"/>
  <c r="C15" i="8"/>
  <c r="C17" i="8"/>
  <c r="F186" i="7"/>
  <c r="E186" i="7"/>
  <c r="D183" i="7"/>
  <c r="C183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E176" i="7"/>
  <c r="F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E166" i="7"/>
  <c r="F166" i="7"/>
  <c r="F165" i="7"/>
  <c r="E165" i="7"/>
  <c r="E164" i="7"/>
  <c r="F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E156" i="7"/>
  <c r="F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E148" i="7"/>
  <c r="F148" i="7"/>
  <c r="F147" i="7"/>
  <c r="E147" i="7"/>
  <c r="E146" i="7"/>
  <c r="F146" i="7"/>
  <c r="E145" i="7"/>
  <c r="F145" i="7"/>
  <c r="F144" i="7"/>
  <c r="E144" i="7"/>
  <c r="F143" i="7"/>
  <c r="E143" i="7"/>
  <c r="E142" i="7"/>
  <c r="F142" i="7"/>
  <c r="E141" i="7"/>
  <c r="F141" i="7"/>
  <c r="E140" i="7"/>
  <c r="F140" i="7"/>
  <c r="F139" i="7"/>
  <c r="E139" i="7"/>
  <c r="F138" i="7"/>
  <c r="E138" i="7"/>
  <c r="F137" i="7"/>
  <c r="E137" i="7"/>
  <c r="E136" i="7"/>
  <c r="F136" i="7"/>
  <c r="F135" i="7"/>
  <c r="E135" i="7"/>
  <c r="E134" i="7"/>
  <c r="F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E120" i="7"/>
  <c r="F120" i="7"/>
  <c r="F119" i="7"/>
  <c r="E119" i="7"/>
  <c r="F118" i="7"/>
  <c r="E118" i="7"/>
  <c r="F117" i="7"/>
  <c r="E117" i="7"/>
  <c r="F116" i="7"/>
  <c r="E116" i="7"/>
  <c r="F115" i="7"/>
  <c r="E115" i="7"/>
  <c r="E114" i="7"/>
  <c r="F114" i="7"/>
  <c r="F113" i="7"/>
  <c r="E113" i="7"/>
  <c r="E112" i="7"/>
  <c r="F112" i="7"/>
  <c r="F111" i="7"/>
  <c r="E111" i="7"/>
  <c r="E110" i="7"/>
  <c r="F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E103" i="7"/>
  <c r="F103" i="7"/>
  <c r="E93" i="7"/>
  <c r="F93" i="7"/>
  <c r="D90" i="7"/>
  <c r="C90" i="7"/>
  <c r="E90" i="7"/>
  <c r="F89" i="7"/>
  <c r="E89" i="7"/>
  <c r="E88" i="7"/>
  <c r="F88" i="7"/>
  <c r="E87" i="7"/>
  <c r="F87" i="7"/>
  <c r="E86" i="7"/>
  <c r="F86" i="7"/>
  <c r="F85" i="7"/>
  <c r="E85" i="7"/>
  <c r="E84" i="7"/>
  <c r="F84" i="7"/>
  <c r="E83" i="7"/>
  <c r="F83" i="7"/>
  <c r="F82" i="7"/>
  <c r="E82" i="7"/>
  <c r="F81" i="7"/>
  <c r="E81" i="7"/>
  <c r="E80" i="7"/>
  <c r="F80" i="7"/>
  <c r="F79" i="7"/>
  <c r="E79" i="7"/>
  <c r="F78" i="7"/>
  <c r="E78" i="7"/>
  <c r="F77" i="7"/>
  <c r="E77" i="7"/>
  <c r="E76" i="7"/>
  <c r="F76" i="7"/>
  <c r="E75" i="7"/>
  <c r="F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E67" i="7"/>
  <c r="F67" i="7"/>
  <c r="F66" i="7"/>
  <c r="E66" i="7"/>
  <c r="F65" i="7"/>
  <c r="E65" i="7"/>
  <c r="E64" i="7"/>
  <c r="F64" i="7"/>
  <c r="E63" i="7"/>
  <c r="F63" i="7"/>
  <c r="E62" i="7"/>
  <c r="F62" i="7"/>
  <c r="D59" i="7"/>
  <c r="E59" i="7"/>
  <c r="F59" i="7"/>
  <c r="C59" i="7"/>
  <c r="E58" i="7"/>
  <c r="F58" i="7"/>
  <c r="F57" i="7"/>
  <c r="E57" i="7"/>
  <c r="F56" i="7"/>
  <c r="E56" i="7"/>
  <c r="F55" i="7"/>
  <c r="E55" i="7"/>
  <c r="E54" i="7"/>
  <c r="F54" i="7"/>
  <c r="E53" i="7"/>
  <c r="F53" i="7"/>
  <c r="F50" i="7"/>
  <c r="E50" i="7"/>
  <c r="E47" i="7"/>
  <c r="F47" i="7"/>
  <c r="F44" i="7"/>
  <c r="E44" i="7"/>
  <c r="D41" i="7"/>
  <c r="E41" i="7"/>
  <c r="F41" i="7"/>
  <c r="C41" i="7"/>
  <c r="F40" i="7"/>
  <c r="E40" i="7"/>
  <c r="E39" i="7"/>
  <c r="F39" i="7"/>
  <c r="E38" i="7"/>
  <c r="F38" i="7"/>
  <c r="D35" i="7"/>
  <c r="E35" i="7"/>
  <c r="C35" i="7"/>
  <c r="E34" i="7"/>
  <c r="F34" i="7"/>
  <c r="F33" i="7"/>
  <c r="E33" i="7"/>
  <c r="D30" i="7"/>
  <c r="C30" i="7"/>
  <c r="F29" i="7"/>
  <c r="E29" i="7"/>
  <c r="F28" i="7"/>
  <c r="E28" i="7"/>
  <c r="F27" i="7"/>
  <c r="E27" i="7"/>
  <c r="D24" i="7"/>
  <c r="E24" i="7"/>
  <c r="C24" i="7"/>
  <c r="E23" i="7"/>
  <c r="F23" i="7"/>
  <c r="F22" i="7"/>
  <c r="E22" i="7"/>
  <c r="E21" i="7"/>
  <c r="F21" i="7"/>
  <c r="D18" i="7"/>
  <c r="C18" i="7"/>
  <c r="F17" i="7"/>
  <c r="E17" i="7"/>
  <c r="F16" i="7"/>
  <c r="E16" i="7"/>
  <c r="E15" i="7"/>
  <c r="F15" i="7"/>
  <c r="D179" i="6"/>
  <c r="C179" i="6"/>
  <c r="E178" i="6"/>
  <c r="F178" i="6"/>
  <c r="F177" i="6"/>
  <c r="E177" i="6"/>
  <c r="E176" i="6"/>
  <c r="F176" i="6"/>
  <c r="E175" i="6"/>
  <c r="F175" i="6"/>
  <c r="E174" i="6"/>
  <c r="F174" i="6"/>
  <c r="E173" i="6"/>
  <c r="F173" i="6"/>
  <c r="E172" i="6"/>
  <c r="F172" i="6"/>
  <c r="F171" i="6"/>
  <c r="E171" i="6"/>
  <c r="E170" i="6"/>
  <c r="F170" i="6"/>
  <c r="E169" i="6"/>
  <c r="F169" i="6"/>
  <c r="E168" i="6"/>
  <c r="F168" i="6"/>
  <c r="D166" i="6"/>
  <c r="C166" i="6"/>
  <c r="E165" i="6"/>
  <c r="F165" i="6"/>
  <c r="F164" i="6"/>
  <c r="E164" i="6"/>
  <c r="E163" i="6"/>
  <c r="F163" i="6"/>
  <c r="E162" i="6"/>
  <c r="F162" i="6"/>
  <c r="E161" i="6"/>
  <c r="F161" i="6"/>
  <c r="E160" i="6"/>
  <c r="F160" i="6"/>
  <c r="E159" i="6"/>
  <c r="F159" i="6"/>
  <c r="F158" i="6"/>
  <c r="E158" i="6"/>
  <c r="E157" i="6"/>
  <c r="F157" i="6"/>
  <c r="E156" i="6"/>
  <c r="F156" i="6"/>
  <c r="E155" i="6"/>
  <c r="F155" i="6"/>
  <c r="D153" i="6"/>
  <c r="E153" i="6"/>
  <c r="C153" i="6"/>
  <c r="E152" i="6"/>
  <c r="F152" i="6"/>
  <c r="F151" i="6"/>
  <c r="E151" i="6"/>
  <c r="E150" i="6"/>
  <c r="F150" i="6"/>
  <c r="E149" i="6"/>
  <c r="F149" i="6"/>
  <c r="E148" i="6"/>
  <c r="F148" i="6"/>
  <c r="E147" i="6"/>
  <c r="F147" i="6"/>
  <c r="E146" i="6"/>
  <c r="F146" i="6"/>
  <c r="F145" i="6"/>
  <c r="E145" i="6"/>
  <c r="E144" i="6"/>
  <c r="F144" i="6"/>
  <c r="E143" i="6"/>
  <c r="F143" i="6"/>
  <c r="E142" i="6"/>
  <c r="F142" i="6"/>
  <c r="D137" i="6"/>
  <c r="C137" i="6"/>
  <c r="E136" i="6"/>
  <c r="F136" i="6"/>
  <c r="F135" i="6"/>
  <c r="E135" i="6"/>
  <c r="E134" i="6"/>
  <c r="F134" i="6"/>
  <c r="E133" i="6"/>
  <c r="F133" i="6"/>
  <c r="E132" i="6"/>
  <c r="F132" i="6"/>
  <c r="E131" i="6"/>
  <c r="F131" i="6"/>
  <c r="E130" i="6"/>
  <c r="F130" i="6"/>
  <c r="F129" i="6"/>
  <c r="E129" i="6"/>
  <c r="E128" i="6"/>
  <c r="F128" i="6"/>
  <c r="E127" i="6"/>
  <c r="F127" i="6"/>
  <c r="E126" i="6"/>
  <c r="F126" i="6"/>
  <c r="D124" i="6"/>
  <c r="E124" i="6"/>
  <c r="C124" i="6"/>
  <c r="E123" i="6"/>
  <c r="F123" i="6"/>
  <c r="F122" i="6"/>
  <c r="E122" i="6"/>
  <c r="E121" i="6"/>
  <c r="F121" i="6"/>
  <c r="E120" i="6"/>
  <c r="F120" i="6"/>
  <c r="E119" i="6"/>
  <c r="F119" i="6"/>
  <c r="E118" i="6"/>
  <c r="F118" i="6"/>
  <c r="E117" i="6"/>
  <c r="F117" i="6"/>
  <c r="F116" i="6"/>
  <c r="E116" i="6"/>
  <c r="E115" i="6"/>
  <c r="F115" i="6"/>
  <c r="E114" i="6"/>
  <c r="F114" i="6"/>
  <c r="E113" i="6"/>
  <c r="F113" i="6"/>
  <c r="D111" i="6"/>
  <c r="C111" i="6"/>
  <c r="E111" i="6"/>
  <c r="E110" i="6"/>
  <c r="F110" i="6"/>
  <c r="F109" i="6"/>
  <c r="E109" i="6"/>
  <c r="E108" i="6"/>
  <c r="F108" i="6"/>
  <c r="E107" i="6"/>
  <c r="F107" i="6"/>
  <c r="E106" i="6"/>
  <c r="F106" i="6"/>
  <c r="E105" i="6"/>
  <c r="F105" i="6"/>
  <c r="E104" i="6"/>
  <c r="F104" i="6"/>
  <c r="F103" i="6"/>
  <c r="E103" i="6"/>
  <c r="E102" i="6"/>
  <c r="F102" i="6"/>
  <c r="E101" i="6"/>
  <c r="F101" i="6"/>
  <c r="E100" i="6"/>
  <c r="F100" i="6"/>
  <c r="D94" i="6"/>
  <c r="E94" i="6"/>
  <c r="C94" i="6"/>
  <c r="D93" i="6"/>
  <c r="C93" i="6"/>
  <c r="F93" i="6"/>
  <c r="D92" i="6"/>
  <c r="E92" i="6"/>
  <c r="F92" i="6"/>
  <c r="C92" i="6"/>
  <c r="D91" i="6"/>
  <c r="C91" i="6"/>
  <c r="D90" i="6"/>
  <c r="E90" i="6"/>
  <c r="C90" i="6"/>
  <c r="D89" i="6"/>
  <c r="C89" i="6"/>
  <c r="D88" i="6"/>
  <c r="E88" i="6"/>
  <c r="C88" i="6"/>
  <c r="D87" i="6"/>
  <c r="C87" i="6"/>
  <c r="D86" i="6"/>
  <c r="C86" i="6"/>
  <c r="D85" i="6"/>
  <c r="C85" i="6"/>
  <c r="E85" i="6"/>
  <c r="D84" i="6"/>
  <c r="C84" i="6"/>
  <c r="D81" i="6"/>
  <c r="E81" i="6"/>
  <c r="F81" i="6"/>
  <c r="C81" i="6"/>
  <c r="E80" i="6"/>
  <c r="F80" i="6"/>
  <c r="F79" i="6"/>
  <c r="E79" i="6"/>
  <c r="E78" i="6"/>
  <c r="F78" i="6"/>
  <c r="E77" i="6"/>
  <c r="F77" i="6"/>
  <c r="E76" i="6"/>
  <c r="F76" i="6"/>
  <c r="E75" i="6"/>
  <c r="F75" i="6"/>
  <c r="E74" i="6"/>
  <c r="F74" i="6"/>
  <c r="F73" i="6"/>
  <c r="E73" i="6"/>
  <c r="E72" i="6"/>
  <c r="F72" i="6"/>
  <c r="E71" i="6"/>
  <c r="F71" i="6"/>
  <c r="E70" i="6"/>
  <c r="F70" i="6"/>
  <c r="D68" i="6"/>
  <c r="C68" i="6"/>
  <c r="E67" i="6"/>
  <c r="F67" i="6"/>
  <c r="F66" i="6"/>
  <c r="E66" i="6"/>
  <c r="E65" i="6"/>
  <c r="F65" i="6"/>
  <c r="E64" i="6"/>
  <c r="F64" i="6"/>
  <c r="E63" i="6"/>
  <c r="F63" i="6"/>
  <c r="F62" i="6"/>
  <c r="E62" i="6"/>
  <c r="E61" i="6"/>
  <c r="F61" i="6"/>
  <c r="F60" i="6"/>
  <c r="E60" i="6"/>
  <c r="E59" i="6"/>
  <c r="F59" i="6"/>
  <c r="F58" i="6"/>
  <c r="E58" i="6"/>
  <c r="E57" i="6"/>
  <c r="F57" i="6"/>
  <c r="D51" i="6"/>
  <c r="E51" i="6"/>
  <c r="C51" i="6"/>
  <c r="F50" i="6"/>
  <c r="D50" i="6"/>
  <c r="C50" i="6"/>
  <c r="E50" i="6"/>
  <c r="D49" i="6"/>
  <c r="C49" i="6"/>
  <c r="D48" i="6"/>
  <c r="C48" i="6"/>
  <c r="D47" i="6"/>
  <c r="F47" i="6"/>
  <c r="C47" i="6"/>
  <c r="E47" i="6"/>
  <c r="D46" i="6"/>
  <c r="C46" i="6"/>
  <c r="D45" i="6"/>
  <c r="E45" i="6"/>
  <c r="C45" i="6"/>
  <c r="D44" i="6"/>
  <c r="C44" i="6"/>
  <c r="D43" i="6"/>
  <c r="C43" i="6"/>
  <c r="D42" i="6"/>
  <c r="C42" i="6"/>
  <c r="D41" i="6"/>
  <c r="E41" i="6"/>
  <c r="C41" i="6"/>
  <c r="D38" i="6"/>
  <c r="E38" i="6"/>
  <c r="C38" i="6"/>
  <c r="F37" i="6"/>
  <c r="E37" i="6"/>
  <c r="F36" i="6"/>
  <c r="E36" i="6"/>
  <c r="E35" i="6"/>
  <c r="F35" i="6"/>
  <c r="F34" i="6"/>
  <c r="E34" i="6"/>
  <c r="F33" i="6"/>
  <c r="E33" i="6"/>
  <c r="E32" i="6"/>
  <c r="F32" i="6"/>
  <c r="E31" i="6"/>
  <c r="F31" i="6"/>
  <c r="F30" i="6"/>
  <c r="E30" i="6"/>
  <c r="E29" i="6"/>
  <c r="F29" i="6"/>
  <c r="F28" i="6"/>
  <c r="E28" i="6"/>
  <c r="E27" i="6"/>
  <c r="F27" i="6"/>
  <c r="D25" i="6"/>
  <c r="E25" i="6"/>
  <c r="F25" i="6"/>
  <c r="C25" i="6"/>
  <c r="E24" i="6"/>
  <c r="F24" i="6"/>
  <c r="F23" i="6"/>
  <c r="E23" i="6"/>
  <c r="E22" i="6"/>
  <c r="F22" i="6"/>
  <c r="F21" i="6"/>
  <c r="E21" i="6"/>
  <c r="E20" i="6"/>
  <c r="F20" i="6"/>
  <c r="E19" i="6"/>
  <c r="F19" i="6"/>
  <c r="E18" i="6"/>
  <c r="F18" i="6"/>
  <c r="F17" i="6"/>
  <c r="E17" i="6"/>
  <c r="E16" i="6"/>
  <c r="F16" i="6"/>
  <c r="E15" i="6"/>
  <c r="F15" i="6"/>
  <c r="E14" i="6"/>
  <c r="F14" i="6"/>
  <c r="F51" i="5"/>
  <c r="E51" i="5"/>
  <c r="D48" i="5"/>
  <c r="C48" i="5"/>
  <c r="F48" i="5"/>
  <c r="F47" i="5"/>
  <c r="E47" i="5"/>
  <c r="F46" i="5"/>
  <c r="E46" i="5"/>
  <c r="F41" i="5"/>
  <c r="D41" i="5"/>
  <c r="E41" i="5"/>
  <c r="C41" i="5"/>
  <c r="F40" i="5"/>
  <c r="E40" i="5"/>
  <c r="F39" i="5"/>
  <c r="E39" i="5"/>
  <c r="F38" i="5"/>
  <c r="E38" i="5"/>
  <c r="D33" i="5"/>
  <c r="C33" i="5"/>
  <c r="E32" i="5"/>
  <c r="F32" i="5"/>
  <c r="E31" i="5"/>
  <c r="F31" i="5"/>
  <c r="E30" i="5"/>
  <c r="F30" i="5"/>
  <c r="F29" i="5"/>
  <c r="E29" i="5"/>
  <c r="F28" i="5"/>
  <c r="E28" i="5"/>
  <c r="E27" i="5"/>
  <c r="F27" i="5"/>
  <c r="E26" i="5"/>
  <c r="F26" i="5"/>
  <c r="F25" i="5"/>
  <c r="E25" i="5"/>
  <c r="F24" i="5"/>
  <c r="E24" i="5"/>
  <c r="F20" i="5"/>
  <c r="E20" i="5"/>
  <c r="E19" i="5"/>
  <c r="F19" i="5"/>
  <c r="E17" i="5"/>
  <c r="F17" i="5"/>
  <c r="D16" i="5"/>
  <c r="E16" i="5"/>
  <c r="F16" i="5"/>
  <c r="C16" i="5"/>
  <c r="C18" i="5"/>
  <c r="E15" i="5"/>
  <c r="F15" i="5"/>
  <c r="F14" i="5"/>
  <c r="E14" i="5"/>
  <c r="E13" i="5"/>
  <c r="F13" i="5"/>
  <c r="F12" i="5"/>
  <c r="E12" i="5"/>
  <c r="D73" i="4"/>
  <c r="C73" i="4"/>
  <c r="F72" i="4"/>
  <c r="E72" i="4"/>
  <c r="F71" i="4"/>
  <c r="E71" i="4"/>
  <c r="E70" i="4"/>
  <c r="F70" i="4"/>
  <c r="F67" i="4"/>
  <c r="E67" i="4"/>
  <c r="E64" i="4"/>
  <c r="F64" i="4"/>
  <c r="E63" i="4"/>
  <c r="F63" i="4"/>
  <c r="D61" i="4"/>
  <c r="D65" i="4"/>
  <c r="C61" i="4"/>
  <c r="E60" i="4"/>
  <c r="F60" i="4"/>
  <c r="F59" i="4"/>
  <c r="E59" i="4"/>
  <c r="D56" i="4"/>
  <c r="D75" i="4"/>
  <c r="C56" i="4"/>
  <c r="F55" i="4"/>
  <c r="E55" i="4"/>
  <c r="F54" i="4"/>
  <c r="E54" i="4"/>
  <c r="F53" i="4"/>
  <c r="E53" i="4"/>
  <c r="F52" i="4"/>
  <c r="E52" i="4"/>
  <c r="F51" i="4"/>
  <c r="E51" i="4"/>
  <c r="F50" i="4"/>
  <c r="E50" i="4"/>
  <c r="A50" i="4"/>
  <c r="A51" i="4"/>
  <c r="A52" i="4"/>
  <c r="A53" i="4"/>
  <c r="A54" i="4"/>
  <c r="A55" i="4"/>
  <c r="E49" i="4"/>
  <c r="F49" i="4"/>
  <c r="F40" i="4"/>
  <c r="E40" i="4"/>
  <c r="D38" i="4"/>
  <c r="D41" i="4"/>
  <c r="C38" i="4"/>
  <c r="E37" i="4"/>
  <c r="F37" i="4"/>
  <c r="E36" i="4"/>
  <c r="F36" i="4"/>
  <c r="E33" i="4"/>
  <c r="F33" i="4"/>
  <c r="F32" i="4"/>
  <c r="E32" i="4"/>
  <c r="F31" i="4"/>
  <c r="E31" i="4"/>
  <c r="D29" i="4"/>
  <c r="C29" i="4"/>
  <c r="F29" i="4"/>
  <c r="F28" i="4"/>
  <c r="E28" i="4"/>
  <c r="F27" i="4"/>
  <c r="E27" i="4"/>
  <c r="F26" i="4"/>
  <c r="E26" i="4"/>
  <c r="F25" i="4"/>
  <c r="E25" i="4"/>
  <c r="D22" i="4"/>
  <c r="C22" i="4"/>
  <c r="E21" i="4"/>
  <c r="F21" i="4"/>
  <c r="E20" i="4"/>
  <c r="F20" i="4"/>
  <c r="E19" i="4"/>
  <c r="F19" i="4"/>
  <c r="E18" i="4"/>
  <c r="F18" i="4"/>
  <c r="F17" i="4"/>
  <c r="E17" i="4"/>
  <c r="F16" i="4"/>
  <c r="E16" i="4"/>
  <c r="E15" i="4"/>
  <c r="F15" i="4"/>
  <c r="F14" i="4"/>
  <c r="E14" i="4"/>
  <c r="F13" i="4"/>
  <c r="E13" i="4"/>
  <c r="C109" i="22"/>
  <c r="C108" i="22"/>
  <c r="E109" i="22"/>
  <c r="E108" i="22"/>
  <c r="D108" i="22"/>
  <c r="D109" i="22"/>
  <c r="D22" i="22"/>
  <c r="D39" i="22"/>
  <c r="C23" i="22"/>
  <c r="E23" i="22"/>
  <c r="C34" i="22"/>
  <c r="E34" i="22"/>
  <c r="C102" i="22"/>
  <c r="C103" i="22"/>
  <c r="E102" i="22"/>
  <c r="C22" i="22"/>
  <c r="E22" i="22"/>
  <c r="E20" i="20"/>
  <c r="F20" i="20"/>
  <c r="E40" i="20"/>
  <c r="F40" i="20"/>
  <c r="E16" i="20"/>
  <c r="F16" i="20"/>
  <c r="E19" i="20"/>
  <c r="F19" i="20"/>
  <c r="E25" i="20"/>
  <c r="F25" i="20"/>
  <c r="E36" i="20"/>
  <c r="F36" i="20"/>
  <c r="C39" i="20"/>
  <c r="C40" i="20"/>
  <c r="E45" i="20"/>
  <c r="F45" i="20"/>
  <c r="E85" i="17"/>
  <c r="D192" i="17"/>
  <c r="E129" i="17"/>
  <c r="E155" i="17"/>
  <c r="E229" i="17"/>
  <c r="E238" i="17"/>
  <c r="F238" i="17"/>
  <c r="E294" i="17"/>
  <c r="E298" i="17"/>
  <c r="E299" i="17"/>
  <c r="C22" i="19"/>
  <c r="C98" i="18"/>
  <c r="C96" i="18"/>
  <c r="C99" i="18"/>
  <c r="C85" i="18"/>
  <c r="E95" i="17"/>
  <c r="F95" i="17"/>
  <c r="E110" i="17"/>
  <c r="E164" i="17"/>
  <c r="F164" i="17"/>
  <c r="E165" i="17"/>
  <c r="F165" i="17"/>
  <c r="E170" i="17"/>
  <c r="E223" i="17"/>
  <c r="C283" i="18"/>
  <c r="E21" i="18"/>
  <c r="D22" i="18"/>
  <c r="E37" i="18"/>
  <c r="C55" i="18"/>
  <c r="D157" i="18"/>
  <c r="D241" i="18"/>
  <c r="E36" i="18"/>
  <c r="C289" i="18"/>
  <c r="E289" i="18"/>
  <c r="C71" i="18"/>
  <c r="C65" i="18"/>
  <c r="E60" i="18"/>
  <c r="D126" i="18"/>
  <c r="D122" i="18"/>
  <c r="D115" i="18"/>
  <c r="D109" i="18"/>
  <c r="D127" i="18"/>
  <c r="D125" i="18"/>
  <c r="D121" i="18"/>
  <c r="D114" i="18"/>
  <c r="C144" i="18"/>
  <c r="C168" i="18"/>
  <c r="E151" i="18"/>
  <c r="C175" i="18"/>
  <c r="C261" i="18"/>
  <c r="E261" i="18"/>
  <c r="C189" i="18"/>
  <c r="E189" i="18"/>
  <c r="E188" i="18"/>
  <c r="D260" i="18"/>
  <c r="E195" i="18"/>
  <c r="D234" i="18"/>
  <c r="D211" i="18"/>
  <c r="E211" i="18"/>
  <c r="E210" i="18"/>
  <c r="E239" i="18"/>
  <c r="E215" i="18"/>
  <c r="D245" i="18"/>
  <c r="E245" i="18"/>
  <c r="E302" i="18"/>
  <c r="C303" i="18"/>
  <c r="C306" i="18"/>
  <c r="C310" i="18"/>
  <c r="C234" i="18"/>
  <c r="E205" i="18"/>
  <c r="C211" i="18"/>
  <c r="C217" i="18"/>
  <c r="D243" i="18"/>
  <c r="E219" i="18"/>
  <c r="C229" i="18"/>
  <c r="E229" i="18"/>
  <c r="D306" i="18"/>
  <c r="D330" i="18"/>
  <c r="D222" i="18"/>
  <c r="E265" i="18"/>
  <c r="E314" i="18"/>
  <c r="E301" i="18"/>
  <c r="E324" i="18"/>
  <c r="D32" i="17"/>
  <c r="D90" i="17"/>
  <c r="E48" i="17"/>
  <c r="D61" i="17"/>
  <c r="E60" i="17"/>
  <c r="F60" i="17"/>
  <c r="E89" i="17"/>
  <c r="F89" i="17"/>
  <c r="D207" i="17"/>
  <c r="D208" i="17"/>
  <c r="D210" i="17"/>
  <c r="E159" i="17"/>
  <c r="C173" i="17"/>
  <c r="C90" i="17"/>
  <c r="C61" i="17"/>
  <c r="C207" i="17"/>
  <c r="C138" i="17"/>
  <c r="F159" i="17"/>
  <c r="F172" i="17"/>
  <c r="D173" i="17"/>
  <c r="E173" i="17"/>
  <c r="C21" i="17"/>
  <c r="E30" i="17"/>
  <c r="F30" i="17"/>
  <c r="E35" i="17"/>
  <c r="F35" i="17"/>
  <c r="E47" i="17"/>
  <c r="F47" i="17"/>
  <c r="F59" i="17"/>
  <c r="E66" i="17"/>
  <c r="F66" i="17"/>
  <c r="F85" i="17"/>
  <c r="F120" i="17"/>
  <c r="D124" i="17"/>
  <c r="D125" i="17"/>
  <c r="F155" i="17"/>
  <c r="F170" i="17"/>
  <c r="C278" i="17"/>
  <c r="C262" i="17"/>
  <c r="C215" i="17"/>
  <c r="E189" i="17"/>
  <c r="F189" i="17"/>
  <c r="E88" i="17"/>
  <c r="F88" i="17"/>
  <c r="E101" i="17"/>
  <c r="E109" i="17"/>
  <c r="F109" i="17"/>
  <c r="C193" i="17"/>
  <c r="C192" i="17"/>
  <c r="E123" i="17"/>
  <c r="F123" i="17"/>
  <c r="C124" i="17"/>
  <c r="C125" i="17"/>
  <c r="E136" i="17"/>
  <c r="F136" i="17"/>
  <c r="E158" i="17"/>
  <c r="F158" i="17"/>
  <c r="E171" i="17"/>
  <c r="F171" i="17"/>
  <c r="C261" i="17"/>
  <c r="C254" i="17"/>
  <c r="D279" i="17"/>
  <c r="D290" i="17"/>
  <c r="E290" i="17"/>
  <c r="D274" i="17"/>
  <c r="E274" i="17"/>
  <c r="F274" i="17"/>
  <c r="D199" i="17"/>
  <c r="E199" i="17"/>
  <c r="D283" i="17"/>
  <c r="D287" i="17"/>
  <c r="D267" i="17"/>
  <c r="D285" i="17"/>
  <c r="D269" i="17"/>
  <c r="D205" i="17"/>
  <c r="D206" i="17"/>
  <c r="D214" i="17"/>
  <c r="F223" i="17"/>
  <c r="F229" i="17"/>
  <c r="D261" i="17"/>
  <c r="F290" i="17"/>
  <c r="E198" i="17"/>
  <c r="F198" i="17"/>
  <c r="C199" i="17"/>
  <c r="C200" i="17"/>
  <c r="E203" i="17"/>
  <c r="F203" i="17"/>
  <c r="E226" i="17"/>
  <c r="F226" i="17"/>
  <c r="C264" i="17"/>
  <c r="C265" i="17"/>
  <c r="C267" i="17"/>
  <c r="C274" i="17"/>
  <c r="F294" i="17"/>
  <c r="F295" i="17"/>
  <c r="F298" i="17"/>
  <c r="F21" i="16"/>
  <c r="F107" i="15"/>
  <c r="G36" i="14"/>
  <c r="G38" i="14"/>
  <c r="G40" i="14"/>
  <c r="I33" i="14"/>
  <c r="I36" i="14"/>
  <c r="I38" i="14"/>
  <c r="I40" i="14"/>
  <c r="D31" i="14"/>
  <c r="F31" i="14"/>
  <c r="H31" i="14"/>
  <c r="E20" i="13"/>
  <c r="E21" i="13"/>
  <c r="D15" i="13"/>
  <c r="C17" i="13"/>
  <c r="C28" i="13"/>
  <c r="C70" i="13"/>
  <c r="C72" i="13"/>
  <c r="E17" i="13"/>
  <c r="E28" i="13"/>
  <c r="E70" i="13"/>
  <c r="E72" i="13"/>
  <c r="E69" i="13"/>
  <c r="D48" i="13"/>
  <c r="C20" i="12"/>
  <c r="D20" i="12"/>
  <c r="D34" i="12"/>
  <c r="E17" i="12"/>
  <c r="F17" i="12"/>
  <c r="E15" i="12"/>
  <c r="F15" i="12"/>
  <c r="D43" i="11"/>
  <c r="E56" i="11"/>
  <c r="F56" i="11"/>
  <c r="E61" i="11"/>
  <c r="F61" i="11"/>
  <c r="E121" i="10"/>
  <c r="E112" i="10"/>
  <c r="E113" i="10"/>
  <c r="E208" i="9"/>
  <c r="F208" i="9"/>
  <c r="E198" i="9"/>
  <c r="E199" i="9"/>
  <c r="F199" i="9"/>
  <c r="E139" i="8"/>
  <c r="E135" i="8"/>
  <c r="D25" i="8"/>
  <c r="D27" i="8"/>
  <c r="D15" i="8"/>
  <c r="C24" i="8"/>
  <c r="C53" i="8"/>
  <c r="C43" i="8"/>
  <c r="E53" i="8"/>
  <c r="E43" i="8"/>
  <c r="C49" i="8"/>
  <c r="E57" i="8"/>
  <c r="E62" i="8"/>
  <c r="D88" i="8"/>
  <c r="D90" i="8"/>
  <c r="D86" i="8"/>
  <c r="D77" i="8"/>
  <c r="D71" i="8"/>
  <c r="D109" i="8"/>
  <c r="D106" i="8"/>
  <c r="C137" i="8"/>
  <c r="C135" i="8"/>
  <c r="D157" i="8"/>
  <c r="D155" i="8"/>
  <c r="D156" i="8"/>
  <c r="D154" i="8"/>
  <c r="D49" i="8"/>
  <c r="C188" i="7"/>
  <c r="E68" i="6"/>
  <c r="E93" i="6"/>
  <c r="E84" i="6"/>
  <c r="F84" i="6"/>
  <c r="E86" i="6"/>
  <c r="F86" i="6"/>
  <c r="F88" i="6"/>
  <c r="F90" i="6"/>
  <c r="F111" i="6"/>
  <c r="F124" i="6"/>
  <c r="E137" i="6"/>
  <c r="F137" i="6"/>
  <c r="E166" i="6"/>
  <c r="F166" i="6"/>
  <c r="E179" i="6"/>
  <c r="F179" i="6"/>
  <c r="C21" i="5"/>
  <c r="D18" i="5"/>
  <c r="E18" i="5"/>
  <c r="F18" i="5"/>
  <c r="E38" i="4"/>
  <c r="F38" i="4"/>
  <c r="C41" i="4"/>
  <c r="C43" i="4"/>
  <c r="E56" i="4"/>
  <c r="F56" i="4"/>
  <c r="E61" i="4"/>
  <c r="F61" i="4"/>
  <c r="C65" i="4"/>
  <c r="E73" i="4"/>
  <c r="F73" i="4"/>
  <c r="E29" i="22"/>
  <c r="E110" i="22"/>
  <c r="C54" i="22"/>
  <c r="C46" i="22"/>
  <c r="C40" i="22"/>
  <c r="E111" i="22"/>
  <c r="E54" i="22"/>
  <c r="E46" i="22"/>
  <c r="E40" i="22"/>
  <c r="E36" i="22"/>
  <c r="E30" i="22"/>
  <c r="D110" i="22"/>
  <c r="D53" i="22"/>
  <c r="D35" i="22"/>
  <c r="C41" i="20"/>
  <c r="E39" i="20"/>
  <c r="E234" i="18"/>
  <c r="E260" i="18"/>
  <c r="E71" i="18"/>
  <c r="E22" i="18"/>
  <c r="E306" i="18"/>
  <c r="D310" i="18"/>
  <c r="E310" i="18"/>
  <c r="E125" i="17"/>
  <c r="F125" i="17"/>
  <c r="D271" i="17"/>
  <c r="D268" i="17"/>
  <c r="C300" i="17"/>
  <c r="D254" i="17"/>
  <c r="F283" i="17"/>
  <c r="F199" i="17"/>
  <c r="D284" i="17"/>
  <c r="C194" i="17"/>
  <c r="F278" i="17"/>
  <c r="C196" i="17"/>
  <c r="C161" i="17"/>
  <c r="C126" i="17"/>
  <c r="C91" i="17"/>
  <c r="C49" i="17"/>
  <c r="C282" i="17"/>
  <c r="C174" i="17"/>
  <c r="C139" i="17"/>
  <c r="E207" i="17"/>
  <c r="F207" i="17"/>
  <c r="D270" i="17"/>
  <c r="E267" i="17"/>
  <c r="F267" i="17"/>
  <c r="E124" i="17"/>
  <c r="F124" i="17"/>
  <c r="C266" i="17"/>
  <c r="C208" i="17"/>
  <c r="F173" i="17"/>
  <c r="E90" i="17"/>
  <c r="D175" i="17"/>
  <c r="D176" i="17"/>
  <c r="D105" i="17"/>
  <c r="D24" i="13"/>
  <c r="D20" i="13"/>
  <c r="D17" i="13"/>
  <c r="D28" i="13"/>
  <c r="C34" i="12"/>
  <c r="E20" i="12"/>
  <c r="F20" i="12"/>
  <c r="C28" i="8"/>
  <c r="C99" i="8"/>
  <c r="C101" i="8"/>
  <c r="C98" i="8"/>
  <c r="C112" i="8"/>
  <c r="C111" i="8"/>
  <c r="D24" i="8"/>
  <c r="D17" i="8"/>
  <c r="D28" i="8"/>
  <c r="F41" i="4"/>
  <c r="E41" i="4"/>
  <c r="E113" i="22"/>
  <c r="E56" i="22"/>
  <c r="E48" i="22"/>
  <c r="E38" i="22"/>
  <c r="E55" i="22"/>
  <c r="E112" i="22"/>
  <c r="C209" i="17"/>
  <c r="C281" i="17"/>
  <c r="C195" i="17"/>
  <c r="D304" i="17"/>
  <c r="D211" i="17"/>
  <c r="C50" i="17"/>
  <c r="C162" i="17"/>
  <c r="E254" i="17"/>
  <c r="D70" i="13"/>
  <c r="D72" i="13"/>
  <c r="D69" i="13"/>
  <c r="D22" i="13"/>
  <c r="D42" i="12"/>
  <c r="E42" i="12"/>
  <c r="F42" i="12"/>
  <c r="E34" i="12"/>
  <c r="F34" i="12"/>
  <c r="C42" i="12"/>
  <c r="C49" i="12"/>
  <c r="D112" i="8"/>
  <c r="D111" i="8"/>
  <c r="D49" i="12"/>
  <c r="E49" i="12"/>
  <c r="F49" i="12"/>
  <c r="D99" i="8"/>
  <c r="D101" i="8"/>
  <c r="D98" i="8"/>
  <c r="F87" i="6"/>
  <c r="E87" i="6"/>
  <c r="E61" i="17"/>
  <c r="F61" i="17"/>
  <c r="D62" i="17"/>
  <c r="D104" i="17"/>
  <c r="D209" i="17"/>
  <c r="E209" i="17"/>
  <c r="F209" i="17"/>
  <c r="D174" i="17"/>
  <c r="E174" i="17"/>
  <c r="C39" i="22"/>
  <c r="C35" i="22"/>
  <c r="C53" i="22"/>
  <c r="C45" i="22"/>
  <c r="C110" i="22"/>
  <c r="C29" i="22"/>
  <c r="F174" i="17"/>
  <c r="D20" i="8"/>
  <c r="D22" i="8"/>
  <c r="D21" i="8"/>
  <c r="F261" i="17"/>
  <c r="E15" i="8"/>
  <c r="E25" i="8"/>
  <c r="E27" i="8"/>
  <c r="E156" i="8"/>
  <c r="E157" i="8"/>
  <c r="E153" i="8"/>
  <c r="E152" i="8"/>
  <c r="E155" i="8"/>
  <c r="E154" i="8"/>
  <c r="C152" i="8"/>
  <c r="C153" i="8"/>
  <c r="C157" i="8"/>
  <c r="C156" i="8"/>
  <c r="C154" i="8"/>
  <c r="C155" i="8"/>
  <c r="C241" i="18"/>
  <c r="E241" i="18"/>
  <c r="E217" i="18"/>
  <c r="E91" i="6"/>
  <c r="F91" i="6"/>
  <c r="D246" i="18"/>
  <c r="D223" i="18"/>
  <c r="E222" i="18"/>
  <c r="D43" i="4"/>
  <c r="E43" i="4"/>
  <c r="F43" i="4"/>
  <c r="E22" i="4"/>
  <c r="F22" i="4"/>
  <c r="D106" i="17"/>
  <c r="C75" i="4"/>
  <c r="F65" i="4"/>
  <c r="E65" i="4"/>
  <c r="E192" i="17"/>
  <c r="F192" i="17"/>
  <c r="D193" i="17"/>
  <c r="C92" i="17"/>
  <c r="F41" i="20"/>
  <c r="F48" i="6"/>
  <c r="E180" i="17"/>
  <c r="F180" i="17"/>
  <c r="D181" i="17"/>
  <c r="D295" i="18"/>
  <c r="C76" i="18"/>
  <c r="E70" i="18"/>
  <c r="D175" i="18"/>
  <c r="E175" i="18"/>
  <c r="D163" i="18"/>
  <c r="E163" i="18"/>
  <c r="E139" i="18"/>
  <c r="D144" i="18"/>
  <c r="D21" i="5"/>
  <c r="E22" i="13"/>
  <c r="F254" i="17"/>
  <c r="E303" i="18"/>
  <c r="F24" i="9"/>
  <c r="C214" i="17"/>
  <c r="F188" i="17"/>
  <c r="C277" i="17"/>
  <c r="C190" i="17"/>
  <c r="C206" i="17"/>
  <c r="E188" i="17"/>
  <c r="C87" i="18"/>
  <c r="C258" i="18"/>
  <c r="C97" i="18"/>
  <c r="C100" i="18"/>
  <c r="C102" i="18"/>
  <c r="C95" i="18"/>
  <c r="C86" i="18"/>
  <c r="C84" i="18"/>
  <c r="C89" i="18"/>
  <c r="C101" i="18"/>
  <c r="C88" i="18"/>
  <c r="C83" i="18"/>
  <c r="E285" i="17"/>
  <c r="D200" i="17"/>
  <c r="E200" i="17"/>
  <c r="F200" i="17"/>
  <c r="D280" i="17"/>
  <c r="E191" i="17"/>
  <c r="F191" i="17"/>
  <c r="D264" i="17"/>
  <c r="C330" i="18"/>
  <c r="E326" i="18"/>
  <c r="D286" i="17"/>
  <c r="C271" i="17"/>
  <c r="C268" i="17"/>
  <c r="E261" i="17"/>
  <c r="C263" i="17"/>
  <c r="C95" i="6"/>
  <c r="F85" i="6"/>
  <c r="E145" i="17"/>
  <c r="F145" i="17"/>
  <c r="C146" i="17"/>
  <c r="E208" i="17"/>
  <c r="F208" i="17"/>
  <c r="E47" i="22"/>
  <c r="E37" i="22"/>
  <c r="F46" i="6"/>
  <c r="D95" i="6"/>
  <c r="E95" i="6"/>
  <c r="C41" i="11"/>
  <c r="E38" i="11"/>
  <c r="F38" i="11"/>
  <c r="F36" i="14"/>
  <c r="F38" i="14"/>
  <c r="F40" i="14"/>
  <c r="H33" i="14"/>
  <c r="H36" i="14"/>
  <c r="H38" i="14"/>
  <c r="E43" i="20"/>
  <c r="E46" i="20"/>
  <c r="C46" i="20"/>
  <c r="C145" i="18"/>
  <c r="C180" i="18"/>
  <c r="F68" i="6"/>
  <c r="F89" i="6"/>
  <c r="E89" i="6"/>
  <c r="E18" i="7"/>
  <c r="F18" i="7"/>
  <c r="E41" i="20"/>
  <c r="F39" i="20"/>
  <c r="E206" i="17"/>
  <c r="C66" i="18"/>
  <c r="C295" i="18"/>
  <c r="C294" i="18"/>
  <c r="F38" i="6"/>
  <c r="E42" i="6"/>
  <c r="F42" i="6"/>
  <c r="D52" i="6"/>
  <c r="C140" i="8"/>
  <c r="C138" i="8"/>
  <c r="C136" i="8"/>
  <c r="C141" i="8"/>
  <c r="C139" i="8"/>
  <c r="C43" i="11"/>
  <c r="E22" i="11"/>
  <c r="F22" i="11"/>
  <c r="D294" i="18"/>
  <c r="D66" i="18"/>
  <c r="E65" i="18"/>
  <c r="C127" i="17"/>
  <c r="D288" i="17"/>
  <c r="C22" i="13"/>
  <c r="F90" i="17"/>
  <c r="E33" i="18"/>
  <c r="E39" i="22"/>
  <c r="E35" i="22"/>
  <c r="E53" i="22"/>
  <c r="E45" i="22"/>
  <c r="D45" i="22"/>
  <c r="D29" i="22"/>
  <c r="E88" i="8"/>
  <c r="E90" i="8"/>
  <c r="E86" i="8"/>
  <c r="E77" i="8"/>
  <c r="E71" i="8"/>
  <c r="E137" i="8"/>
  <c r="E138" i="8"/>
  <c r="E136" i="8"/>
  <c r="E141" i="8"/>
  <c r="E140" i="8"/>
  <c r="C181" i="17"/>
  <c r="F179" i="17"/>
  <c r="E179" i="17"/>
  <c r="F90" i="7"/>
  <c r="E330" i="18"/>
  <c r="E33" i="5"/>
  <c r="C35" i="5"/>
  <c r="F33" i="5"/>
  <c r="C109" i="8"/>
  <c r="C106" i="8"/>
  <c r="F47" i="10"/>
  <c r="E47" i="10"/>
  <c r="E95" i="10"/>
  <c r="F95" i="10"/>
  <c r="E92" i="15"/>
  <c r="F92" i="15"/>
  <c r="F129" i="17"/>
  <c r="E135" i="17"/>
  <c r="F135" i="17"/>
  <c r="C244" i="18"/>
  <c r="E244" i="18"/>
  <c r="E220" i="18"/>
  <c r="C253" i="18"/>
  <c r="C252" i="18"/>
  <c r="C235" i="18"/>
  <c r="E29" i="4"/>
  <c r="F41" i="6"/>
  <c r="E44" i="6"/>
  <c r="F44" i="6"/>
  <c r="F94" i="6"/>
  <c r="D188" i="7"/>
  <c r="E188" i="7"/>
  <c r="F188" i="7"/>
  <c r="E183" i="7"/>
  <c r="F183" i="7"/>
  <c r="E88" i="9"/>
  <c r="F88" i="9"/>
  <c r="F73" i="11"/>
  <c r="C75" i="11"/>
  <c r="F65" i="15"/>
  <c r="D240" i="18"/>
  <c r="E240" i="18"/>
  <c r="E216" i="18"/>
  <c r="C95" i="7"/>
  <c r="D79" i="8"/>
  <c r="F198" i="9"/>
  <c r="C207" i="9"/>
  <c r="F36" i="17"/>
  <c r="C37" i="17"/>
  <c r="C111" i="17"/>
  <c r="F110" i="17"/>
  <c r="D138" i="17"/>
  <c r="E137" i="17"/>
  <c r="F137" i="17"/>
  <c r="D262" i="17"/>
  <c r="D190" i="17"/>
  <c r="E190" i="17"/>
  <c r="D215" i="17"/>
  <c r="D306" i="17"/>
  <c r="E306" i="17"/>
  <c r="E250" i="17"/>
  <c r="F250" i="17"/>
  <c r="C284" i="18"/>
  <c r="D320" i="18"/>
  <c r="E320" i="18"/>
  <c r="E316" i="18"/>
  <c r="C36" i="22"/>
  <c r="C30" i="22"/>
  <c r="C111" i="22"/>
  <c r="E49" i="6"/>
  <c r="F49" i="6"/>
  <c r="E119" i="10"/>
  <c r="F119" i="10"/>
  <c r="E13" i="16"/>
  <c r="F13" i="16"/>
  <c r="C205" i="17"/>
  <c r="E205" i="17"/>
  <c r="C269" i="17"/>
  <c r="C285" i="17"/>
  <c r="E204" i="17"/>
  <c r="C255" i="17"/>
  <c r="F204" i="17"/>
  <c r="C239" i="17"/>
  <c r="E237" i="17"/>
  <c r="F237" i="17"/>
  <c r="F43" i="6"/>
  <c r="E46" i="6"/>
  <c r="D95" i="7"/>
  <c r="E95" i="7"/>
  <c r="D153" i="8"/>
  <c r="D152" i="8"/>
  <c r="D158" i="8"/>
  <c r="E36" i="9"/>
  <c r="C69" i="13"/>
  <c r="I31" i="14"/>
  <c r="F68" i="17"/>
  <c r="D43" i="18"/>
  <c r="E218" i="18"/>
  <c r="C222" i="18"/>
  <c r="C242" i="18"/>
  <c r="E242" i="18"/>
  <c r="E44" i="20"/>
  <c r="F44" i="20"/>
  <c r="D34" i="22"/>
  <c r="D23" i="22"/>
  <c r="C52" i="6"/>
  <c r="E43" i="6"/>
  <c r="F153" i="6"/>
  <c r="F76" i="9"/>
  <c r="H17" i="14"/>
  <c r="I17" i="14"/>
  <c r="H40" i="14"/>
  <c r="F70" i="15"/>
  <c r="E68" i="17"/>
  <c r="C77" i="17"/>
  <c r="E77" i="17"/>
  <c r="E76" i="17"/>
  <c r="F76" i="17"/>
  <c r="F299" i="17"/>
  <c r="E233" i="18"/>
  <c r="E19" i="21"/>
  <c r="F19" i="21"/>
  <c r="E243" i="18"/>
  <c r="F35" i="7"/>
  <c r="C27" i="8"/>
  <c r="E24" i="9"/>
  <c r="E192" i="9"/>
  <c r="F192" i="9"/>
  <c r="F23" i="15"/>
  <c r="F53" i="17"/>
  <c r="C102" i="17"/>
  <c r="F101" i="17"/>
  <c r="E156" i="18"/>
  <c r="D42" i="13"/>
  <c r="F45" i="6"/>
  <c r="F50" i="9"/>
  <c r="F118" i="10"/>
  <c r="E118" i="10"/>
  <c r="D266" i="17"/>
  <c r="E266" i="17"/>
  <c r="F266" i="17"/>
  <c r="D21" i="17"/>
  <c r="E24" i="17"/>
  <c r="F24" i="17"/>
  <c r="C32" i="17"/>
  <c r="E31" i="17"/>
  <c r="F31" i="17"/>
  <c r="F48" i="17"/>
  <c r="C160" i="17"/>
  <c r="D146" i="17"/>
  <c r="E146" i="17"/>
  <c r="E144" i="17"/>
  <c r="F144" i="17"/>
  <c r="D124" i="18"/>
  <c r="D123" i="18"/>
  <c r="D113" i="18"/>
  <c r="D112" i="18"/>
  <c r="D111" i="18"/>
  <c r="D110" i="18"/>
  <c r="E167" i="18"/>
  <c r="C98" i="22"/>
  <c r="C88" i="8"/>
  <c r="C90" i="8"/>
  <c r="C86" i="8"/>
  <c r="C77" i="8"/>
  <c r="C71" i="8"/>
  <c r="E154" i="9"/>
  <c r="E167" i="9"/>
  <c r="E41" i="11"/>
  <c r="D239" i="17"/>
  <c r="D44" i="18"/>
  <c r="F24" i="7"/>
  <c r="E23" i="9"/>
  <c r="F23" i="9"/>
  <c r="E75" i="9"/>
  <c r="F75" i="9"/>
  <c r="E73" i="11"/>
  <c r="E61" i="13"/>
  <c r="E57" i="13"/>
  <c r="D101" i="22"/>
  <c r="D103" i="22"/>
  <c r="E48" i="5"/>
  <c r="E48" i="6"/>
  <c r="F51" i="6"/>
  <c r="E30" i="7"/>
  <c r="F30" i="7"/>
  <c r="D149" i="8"/>
  <c r="F49" i="9"/>
  <c r="E102" i="9"/>
  <c r="E65" i="11"/>
  <c r="F65" i="11"/>
  <c r="C48" i="13"/>
  <c r="C42" i="13"/>
  <c r="C59" i="13"/>
  <c r="C61" i="13"/>
  <c r="C57" i="13"/>
  <c r="E31" i="14"/>
  <c r="E33" i="14"/>
  <c r="E36" i="14"/>
  <c r="E38" i="14"/>
  <c r="E40" i="14"/>
  <c r="F17" i="17"/>
  <c r="E166" i="18"/>
  <c r="E287" i="18"/>
  <c r="C37" i="19"/>
  <c r="C38" i="19"/>
  <c r="C127" i="19"/>
  <c r="C129" i="19"/>
  <c r="C133" i="19"/>
  <c r="F127" i="9"/>
  <c r="E71" i="10"/>
  <c r="D80" i="13"/>
  <c r="D77" i="13"/>
  <c r="D283" i="18"/>
  <c r="E283" i="18"/>
  <c r="D46" i="20"/>
  <c r="F20" i="17"/>
  <c r="F44" i="17"/>
  <c r="E58" i="17"/>
  <c r="F58" i="17"/>
  <c r="E307" i="17"/>
  <c r="F307" i="17"/>
  <c r="D55" i="18"/>
  <c r="D235" i="18"/>
  <c r="E235" i="18"/>
  <c r="E54" i="18"/>
  <c r="F43" i="20"/>
  <c r="F146" i="17"/>
  <c r="E181" i="17"/>
  <c r="F181" i="17"/>
  <c r="E21" i="8"/>
  <c r="E20" i="8"/>
  <c r="C47" i="22"/>
  <c r="C112" i="22"/>
  <c r="C55" i="22"/>
  <c r="C37" i="22"/>
  <c r="F160" i="17"/>
  <c r="D253" i="18"/>
  <c r="E253" i="18"/>
  <c r="D291" i="17"/>
  <c r="D289" i="17"/>
  <c r="E286" i="17"/>
  <c r="C91" i="18"/>
  <c r="C105" i="18"/>
  <c r="E214" i="17"/>
  <c r="F214" i="17"/>
  <c r="C304" i="17"/>
  <c r="C216" i="17"/>
  <c r="D168" i="18"/>
  <c r="E168" i="18"/>
  <c r="D145" i="18"/>
  <c r="D180" i="18"/>
  <c r="E180" i="18"/>
  <c r="E144" i="18"/>
  <c r="C158" i="8"/>
  <c r="E17" i="8"/>
  <c r="E24" i="8"/>
  <c r="D63" i="17"/>
  <c r="E277" i="17"/>
  <c r="F277" i="17"/>
  <c r="C284" i="17"/>
  <c r="C287" i="17"/>
  <c r="C279" i="17"/>
  <c r="D35" i="5"/>
  <c r="E21" i="5"/>
  <c r="F21" i="5"/>
  <c r="D216" i="17"/>
  <c r="E215" i="17"/>
  <c r="F215" i="17"/>
  <c r="D255" i="17"/>
  <c r="E255" i="17"/>
  <c r="F255" i="17"/>
  <c r="D137" i="8"/>
  <c r="D140" i="8"/>
  <c r="D139" i="8"/>
  <c r="D138" i="8"/>
  <c r="D136" i="8"/>
  <c r="D135" i="8"/>
  <c r="F75" i="11"/>
  <c r="E138" i="17"/>
  <c r="F138" i="17"/>
  <c r="D140" i="17"/>
  <c r="C43" i="5"/>
  <c r="E160" i="17"/>
  <c r="D55" i="22"/>
  <c r="D47" i="22"/>
  <c r="D112" i="22"/>
  <c r="D37" i="22"/>
  <c r="D300" i="17"/>
  <c r="E300" i="17"/>
  <c r="F300" i="17"/>
  <c r="D265" i="17"/>
  <c r="E265" i="17"/>
  <c r="F265" i="17"/>
  <c r="E264" i="17"/>
  <c r="F264" i="17"/>
  <c r="E193" i="17"/>
  <c r="F193" i="17"/>
  <c r="D282" i="17"/>
  <c r="E282" i="17"/>
  <c r="F282" i="17"/>
  <c r="D194" i="17"/>
  <c r="D247" i="18"/>
  <c r="E158" i="8"/>
  <c r="E102" i="17"/>
  <c r="F102" i="17"/>
  <c r="C103" i="17"/>
  <c r="F205" i="17"/>
  <c r="F271" i="17"/>
  <c r="E271" i="17"/>
  <c r="C103" i="18"/>
  <c r="E295" i="18"/>
  <c r="D116" i="18"/>
  <c r="C56" i="22"/>
  <c r="C48" i="22"/>
  <c r="C113" i="22"/>
  <c r="C38" i="22"/>
  <c r="E37" i="17"/>
  <c r="F37" i="17"/>
  <c r="D272" i="17"/>
  <c r="E262" i="17"/>
  <c r="F262" i="17"/>
  <c r="D263" i="17"/>
  <c r="E263" i="17"/>
  <c r="F263" i="17"/>
  <c r="C197" i="17"/>
  <c r="D252" i="18"/>
  <c r="F75" i="4"/>
  <c r="E75" i="4"/>
  <c r="D139" i="17"/>
  <c r="E139" i="17"/>
  <c r="F139" i="17"/>
  <c r="D128" i="18"/>
  <c r="C21" i="8"/>
  <c r="C20" i="8"/>
  <c r="C22" i="8"/>
  <c r="E207" i="9"/>
  <c r="F207" i="9"/>
  <c r="E55" i="18"/>
  <c r="D284" i="18"/>
  <c r="E284" i="18"/>
  <c r="F285" i="17"/>
  <c r="C286" i="17"/>
  <c r="C288" i="17"/>
  <c r="F95" i="7"/>
  <c r="E75" i="11"/>
  <c r="E66" i="18"/>
  <c r="C169" i="18"/>
  <c r="C181" i="18"/>
  <c r="F41" i="11"/>
  <c r="C90" i="18"/>
  <c r="F206" i="17"/>
  <c r="F95" i="6"/>
  <c r="C210" i="17"/>
  <c r="E32" i="17"/>
  <c r="C175" i="17"/>
  <c r="F32" i="17"/>
  <c r="C62" i="17"/>
  <c r="E62" i="17"/>
  <c r="C105" i="17"/>
  <c r="C140" i="17"/>
  <c r="C246" i="18"/>
  <c r="E246" i="18"/>
  <c r="C223" i="18"/>
  <c r="C247" i="18"/>
  <c r="D99" i="18"/>
  <c r="E99" i="18"/>
  <c r="D96" i="18"/>
  <c r="D84" i="18"/>
  <c r="D95" i="18"/>
  <c r="D88" i="18"/>
  <c r="E88" i="18"/>
  <c r="D85" i="18"/>
  <c r="E85" i="18"/>
  <c r="D100" i="18"/>
  <c r="E100" i="18"/>
  <c r="D258" i="18"/>
  <c r="D87" i="18"/>
  <c r="E87" i="18"/>
  <c r="D101" i="18"/>
  <c r="E101" i="18"/>
  <c r="D83" i="18"/>
  <c r="D97" i="18"/>
  <c r="E97" i="18"/>
  <c r="D89" i="18"/>
  <c r="E89" i="18"/>
  <c r="D86" i="18"/>
  <c r="E86" i="18"/>
  <c r="E44" i="18"/>
  <c r="D98" i="18"/>
  <c r="E98" i="18"/>
  <c r="E239" i="17"/>
  <c r="F239" i="17"/>
  <c r="D126" i="17"/>
  <c r="D91" i="17"/>
  <c r="D161" i="17"/>
  <c r="E21" i="17"/>
  <c r="F21" i="17"/>
  <c r="D49" i="17"/>
  <c r="D54" i="22"/>
  <c r="D30" i="22"/>
  <c r="D46" i="22"/>
  <c r="D111" i="22"/>
  <c r="D36" i="22"/>
  <c r="D40" i="22"/>
  <c r="D259" i="18"/>
  <c r="E43" i="18"/>
  <c r="C272" i="17"/>
  <c r="C270" i="17"/>
  <c r="E269" i="17"/>
  <c r="F269" i="17"/>
  <c r="E111" i="17"/>
  <c r="F111" i="17"/>
  <c r="C254" i="18"/>
  <c r="E294" i="18"/>
  <c r="E52" i="6"/>
  <c r="F52" i="6"/>
  <c r="F46" i="20"/>
  <c r="E280" i="17"/>
  <c r="F280" i="17"/>
  <c r="F190" i="17"/>
  <c r="E76" i="18"/>
  <c r="C77" i="18"/>
  <c r="C259" i="18"/>
  <c r="C263" i="18"/>
  <c r="C264" i="18"/>
  <c r="C266" i="18"/>
  <c r="C267" i="18"/>
  <c r="E43" i="11"/>
  <c r="F43" i="11"/>
  <c r="E268" i="17"/>
  <c r="F268" i="17"/>
  <c r="C269" i="18"/>
  <c r="C268" i="18"/>
  <c r="C271" i="18"/>
  <c r="E83" i="18"/>
  <c r="D91" i="18"/>
  <c r="F284" i="17"/>
  <c r="E284" i="17"/>
  <c r="E270" i="17"/>
  <c r="F270" i="17"/>
  <c r="D127" i="17"/>
  <c r="E126" i="17"/>
  <c r="F126" i="17"/>
  <c r="E96" i="18"/>
  <c r="D102" i="18"/>
  <c r="E102" i="18"/>
  <c r="C176" i="17"/>
  <c r="E175" i="17"/>
  <c r="F175" i="17"/>
  <c r="F288" i="17"/>
  <c r="D254" i="18"/>
  <c r="E254" i="18"/>
  <c r="E252" i="18"/>
  <c r="E145" i="18"/>
  <c r="D181" i="18"/>
  <c r="E181" i="18"/>
  <c r="D169" i="18"/>
  <c r="E169" i="18"/>
  <c r="D38" i="22"/>
  <c r="D48" i="22"/>
  <c r="D113" i="22"/>
  <c r="D56" i="22"/>
  <c r="F286" i="17"/>
  <c r="C104" i="17"/>
  <c r="F103" i="17"/>
  <c r="E103" i="17"/>
  <c r="D141" i="8"/>
  <c r="E216" i="17"/>
  <c r="F216" i="17"/>
  <c r="D90" i="18"/>
  <c r="E90" i="18"/>
  <c r="E84" i="18"/>
  <c r="E194" i="17"/>
  <c r="F194" i="17"/>
  <c r="D195" i="17"/>
  <c r="E195" i="17"/>
  <c r="F195" i="17"/>
  <c r="E272" i="17"/>
  <c r="F272" i="17"/>
  <c r="D273" i="17"/>
  <c r="C125" i="18"/>
  <c r="E125" i="18"/>
  <c r="C110" i="18"/>
  <c r="C113" i="18"/>
  <c r="E113" i="18"/>
  <c r="C123" i="18"/>
  <c r="E123" i="18"/>
  <c r="C124" i="18"/>
  <c r="E124" i="18"/>
  <c r="E77" i="18"/>
  <c r="C111" i="18"/>
  <c r="E111" i="18"/>
  <c r="C115" i="18"/>
  <c r="E115" i="18"/>
  <c r="C121" i="18"/>
  <c r="C122" i="18"/>
  <c r="C114" i="18"/>
  <c r="E114" i="18"/>
  <c r="C112" i="18"/>
  <c r="E112" i="18"/>
  <c r="C126" i="18"/>
  <c r="E126" i="18"/>
  <c r="C127" i="18"/>
  <c r="E127" i="18"/>
  <c r="C109" i="18"/>
  <c r="D50" i="17"/>
  <c r="E49" i="17"/>
  <c r="F49" i="17"/>
  <c r="D129" i="18"/>
  <c r="F304" i="17"/>
  <c r="E304" i="17"/>
  <c r="D263" i="18"/>
  <c r="E263" i="18"/>
  <c r="E259" i="18"/>
  <c r="C141" i="17"/>
  <c r="E279" i="17"/>
  <c r="F279" i="17"/>
  <c r="C106" i="17"/>
  <c r="E105" i="17"/>
  <c r="F105" i="17"/>
  <c r="C273" i="17"/>
  <c r="E223" i="18"/>
  <c r="E140" i="17"/>
  <c r="F140" i="17"/>
  <c r="D141" i="17"/>
  <c r="D92" i="17"/>
  <c r="E91" i="17"/>
  <c r="F91" i="17"/>
  <c r="E258" i="18"/>
  <c r="D264" i="18"/>
  <c r="E210" i="17"/>
  <c r="F210" i="17"/>
  <c r="D117" i="18"/>
  <c r="E63" i="17"/>
  <c r="C50" i="5"/>
  <c r="D43" i="5"/>
  <c r="E35" i="5"/>
  <c r="F35" i="5"/>
  <c r="E288" i="17"/>
  <c r="D196" i="17"/>
  <c r="E28" i="8"/>
  <c r="E112" i="8"/>
  <c r="E111" i="8"/>
  <c r="D305" i="17"/>
  <c r="E291" i="17"/>
  <c r="D281" i="17"/>
  <c r="E281" i="17"/>
  <c r="F281" i="17"/>
  <c r="D162" i="17"/>
  <c r="E161" i="17"/>
  <c r="F161" i="17"/>
  <c r="E95" i="18"/>
  <c r="D103" i="18"/>
  <c r="E103" i="18"/>
  <c r="C63" i="17"/>
  <c r="F62" i="17"/>
  <c r="E247" i="18"/>
  <c r="C289" i="17"/>
  <c r="E289" i="17"/>
  <c r="C291" i="17"/>
  <c r="E287" i="17"/>
  <c r="F287" i="17"/>
  <c r="E121" i="18"/>
  <c r="D309" i="17"/>
  <c r="E305" i="17"/>
  <c r="D266" i="18"/>
  <c r="E264" i="18"/>
  <c r="E50" i="17"/>
  <c r="F50" i="17"/>
  <c r="D70" i="17"/>
  <c r="F63" i="17"/>
  <c r="C70" i="17"/>
  <c r="E109" i="18"/>
  <c r="C117" i="18"/>
  <c r="E273" i="17"/>
  <c r="F273" i="17"/>
  <c r="F106" i="17"/>
  <c r="C113" i="17"/>
  <c r="E106" i="17"/>
  <c r="C324" i="17"/>
  <c r="E176" i="17"/>
  <c r="F176" i="17"/>
  <c r="C183" i="17"/>
  <c r="C323" i="17"/>
  <c r="C305" i="17"/>
  <c r="F291" i="17"/>
  <c r="E196" i="17"/>
  <c r="F196" i="17"/>
  <c r="D197" i="17"/>
  <c r="E197" i="17"/>
  <c r="F197" i="17"/>
  <c r="E91" i="18"/>
  <c r="D105" i="18"/>
  <c r="E105" i="18"/>
  <c r="D322" i="17"/>
  <c r="E322" i="17"/>
  <c r="E141" i="17"/>
  <c r="F141" i="17"/>
  <c r="E162" i="17"/>
  <c r="F162" i="17"/>
  <c r="D183" i="17"/>
  <c r="D323" i="17"/>
  <c r="F50" i="5"/>
  <c r="E99" i="8"/>
  <c r="E101" i="8"/>
  <c r="E98" i="8"/>
  <c r="E22" i="8"/>
  <c r="E92" i="17"/>
  <c r="F92" i="17"/>
  <c r="D113" i="17"/>
  <c r="D324" i="17"/>
  <c r="E104" i="17"/>
  <c r="F104" i="17"/>
  <c r="F289" i="17"/>
  <c r="D131" i="18"/>
  <c r="E117" i="18"/>
  <c r="D50" i="5"/>
  <c r="E50" i="5"/>
  <c r="E43" i="5"/>
  <c r="F43" i="5"/>
  <c r="C211" i="17"/>
  <c r="C322" i="17"/>
  <c r="C148" i="17"/>
  <c r="C128" i="18"/>
  <c r="E128" i="18"/>
  <c r="E122" i="18"/>
  <c r="C116" i="18"/>
  <c r="E116" i="18"/>
  <c r="E110" i="18"/>
  <c r="E127" i="17"/>
  <c r="F127" i="17"/>
  <c r="D148" i="17"/>
  <c r="F183" i="17"/>
  <c r="E131" i="18"/>
  <c r="E211" i="17"/>
  <c r="F211" i="17"/>
  <c r="E324" i="17"/>
  <c r="D325" i="17"/>
  <c r="E183" i="17"/>
  <c r="E113" i="17"/>
  <c r="F113" i="17"/>
  <c r="F305" i="17"/>
  <c r="C309" i="17"/>
  <c r="E309" i="17"/>
  <c r="E266" i="18"/>
  <c r="D267" i="18"/>
  <c r="C131" i="18"/>
  <c r="D310" i="17"/>
  <c r="F148" i="17"/>
  <c r="F70" i="17"/>
  <c r="C129" i="18"/>
  <c r="E129" i="18"/>
  <c r="F322" i="17"/>
  <c r="C325" i="17"/>
  <c r="F324" i="17"/>
  <c r="E148" i="17"/>
  <c r="E323" i="17"/>
  <c r="F323" i="17"/>
  <c r="E70" i="17"/>
  <c r="D269" i="18"/>
  <c r="E269" i="18"/>
  <c r="E267" i="18"/>
  <c r="D268" i="18"/>
  <c r="E325" i="17"/>
  <c r="F309" i="17"/>
  <c r="C310" i="17"/>
  <c r="D312" i="17"/>
  <c r="E310" i="17"/>
  <c r="F325" i="17"/>
  <c r="F310" i="17"/>
  <c r="C312" i="17"/>
  <c r="D313" i="17"/>
  <c r="D271" i="18"/>
  <c r="E271" i="18"/>
  <c r="E268" i="18"/>
  <c r="D251" i="17"/>
  <c r="D256" i="17"/>
  <c r="D315" i="17"/>
  <c r="D314" i="17"/>
  <c r="C313" i="17"/>
  <c r="E312" i="17"/>
  <c r="F312" i="17"/>
  <c r="E251" i="17"/>
  <c r="D257" i="17"/>
  <c r="C314" i="17"/>
  <c r="C251" i="17"/>
  <c r="C256" i="17"/>
  <c r="C315" i="17"/>
  <c r="E313" i="17"/>
  <c r="F313" i="17"/>
  <c r="E314" i="17"/>
  <c r="D318" i="17"/>
  <c r="C257" i="17"/>
  <c r="E257" i="17"/>
  <c r="F256" i="17"/>
  <c r="F251" i="17"/>
  <c r="C318" i="17"/>
  <c r="F318" i="17"/>
  <c r="F314" i="17"/>
  <c r="E318" i="17"/>
  <c r="E256" i="17"/>
  <c r="E315" i="17"/>
  <c r="F315" i="17"/>
  <c r="F257" i="17"/>
</calcChain>
</file>

<file path=xl/sharedStrings.xml><?xml version="1.0" encoding="utf-8"?>
<sst xmlns="http://schemas.openxmlformats.org/spreadsheetml/2006/main" count="2333" uniqueCount="1008">
  <si>
    <t>ESSENT-SHARON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</si>
  <si>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</si>
  <si>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</si>
  <si>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</si>
  <si>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</si>
  <si>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</si>
  <si>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</si>
  <si>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</si>
  <si>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</si>
  <si>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</si>
  <si>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</si>
  <si>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</si>
  <si>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</si>
  <si>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</si>
  <si>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</si>
  <si>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</si>
  <si>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</si>
  <si>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</si>
  <si>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</si>
  <si>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</si>
  <si>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</si>
  <si>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</si>
  <si>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</si>
  <si>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</si>
  <si>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</si>
  <si>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</si>
  <si>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</si>
  <si>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</si>
  <si>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</si>
  <si>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</si>
  <si>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</si>
  <si>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</si>
  <si>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</si>
  <si>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</si>
  <si>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</si>
  <si>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</si>
  <si>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</si>
  <si>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</si>
  <si>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</si>
  <si>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</si>
  <si>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</si>
  <si>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</si>
  <si>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</si>
  <si>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</si>
  <si>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</si>
  <si>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</si>
  <si>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</si>
  <si>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</si>
  <si>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</si>
  <si>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</si>
  <si>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</si>
  <si>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</si>
  <si>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</si>
  <si>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</si>
  <si>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</si>
  <si>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</si>
  <si>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</si>
  <si>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</si>
  <si>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</si>
  <si>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</si>
  <si>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</si>
  <si>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</si>
  <si>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</si>
  <si>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</si>
  <si>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</si>
  <si>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</si>
  <si>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</si>
  <si>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</si>
  <si>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</si>
  <si>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</si>
  <si>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</si>
  <si>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</si>
  <si>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</si>
  <si>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</si>
  <si>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</si>
  <si>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</si>
  <si>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</si>
  <si>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</si>
  <si>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</si>
  <si>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</si>
  <si>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</si>
  <si>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</si>
  <si>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</si>
  <si>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</si>
  <si>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</si>
  <si>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</si>
  <si>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</si>
  <si>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</si>
  <si>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</si>
  <si>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</si>
  <si>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</si>
  <si>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</si>
  <si>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</si>
  <si>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</si>
  <si>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</si>
  <si>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</si>
  <si>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</si>
  <si>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</si>
  <si>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</si>
  <si>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</si>
  <si>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</si>
  <si>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</si>
  <si>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</si>
  <si>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</si>
  <si>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</si>
  <si>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</si>
  <si>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</si>
  <si>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</si>
  <si>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</si>
  <si>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</si>
  <si>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</si>
  <si>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</si>
  <si>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</si>
  <si>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</si>
  <si>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</si>
  <si>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</si>
  <si>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</si>
  <si>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</si>
  <si>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</si>
  <si>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</si>
  <si>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</si>
  <si>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</si>
  <si>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</si>
  <si>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</si>
  <si>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</si>
  <si>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</si>
  <si>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</si>
  <si>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</si>
  <si>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</si>
  <si>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</si>
  <si>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</si>
  <si>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</si>
  <si>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</si>
  <si>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</si>
  <si>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</si>
  <si>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</si>
  <si>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</si>
  <si>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</si>
  <si>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</si>
  <si>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</si>
  <si>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</si>
  <si>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</si>
  <si>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</si>
  <si>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</si>
  <si>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</si>
  <si>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</si>
  <si>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</si>
  <si>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</si>
  <si>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</si>
  <si>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</si>
  <si>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</si>
  <si>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</si>
  <si>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</si>
  <si>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</si>
  <si>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</si>
  <si>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</si>
  <si>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</si>
  <si>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</si>
  <si>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</si>
  <si>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</si>
  <si>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</si>
  <si>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</si>
  <si>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</si>
  <si>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</si>
  <si>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</si>
  <si>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</si>
  <si>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</si>
  <si>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</si>
  <si>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</si>
  <si>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</si>
  <si>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</si>
  <si>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</si>
  <si>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</si>
  <si>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</si>
  <si>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</si>
  <si>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</si>
  <si>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</si>
  <si>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</si>
  <si>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</si>
  <si>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</si>
  <si>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</si>
  <si>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</si>
  <si>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</si>
  <si>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</si>
  <si>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</si>
  <si>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</si>
  <si>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</si>
  <si>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</si>
  <si>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</si>
  <si>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</si>
  <si>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</si>
  <si>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</si>
  <si>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</si>
  <si>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</si>
  <si>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</si>
  <si>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</si>
  <si>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</si>
  <si>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</si>
  <si>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</si>
  <si>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</si>
  <si>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</si>
  <si>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</si>
  <si>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</si>
  <si>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</si>
  <si>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</si>
  <si>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</si>
  <si>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</si>
  <si>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</si>
  <si>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</si>
  <si>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</si>
  <si>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</si>
  <si>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</si>
  <si>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</si>
  <si>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</si>
  <si>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</si>
  <si>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</si>
  <si>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</si>
  <si>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</si>
  <si>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</si>
  <si>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</si>
  <si>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</si>
  <si>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</si>
  <si>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</si>
  <si>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</si>
  <si>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</si>
  <si>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</si>
  <si>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</si>
  <si>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</si>
  <si>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</si>
  <si>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</si>
  <si>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</si>
  <si>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</si>
  <si>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</si>
  <si>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</si>
  <si>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</si>
  <si>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</si>
  <si>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</si>
  <si>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</si>
  <si>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</si>
  <si>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</si>
  <si>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</si>
  <si>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</si>
  <si>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</si>
  <si>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</si>
  <si>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</si>
  <si>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</si>
  <si>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</si>
  <si>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</si>
  <si>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</si>
  <si>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</si>
  <si>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</si>
  <si>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</si>
  <si>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</si>
  <si>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</si>
  <si>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</si>
  <si>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</si>
  <si>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</si>
  <si>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</si>
  <si>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</si>
  <si>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</si>
  <si>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</si>
  <si>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</si>
  <si>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</si>
  <si>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</si>
  <si>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</si>
  <si>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</si>
  <si>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</si>
  <si>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</si>
  <si>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</si>
  <si>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</si>
  <si>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</si>
  <si>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</si>
  <si>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</si>
  <si>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</si>
  <si>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</si>
  <si>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</si>
  <si>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</si>
  <si>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</si>
  <si>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</si>
  <si>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</si>
  <si>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</si>
  <si>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</si>
  <si>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</si>
  <si>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</si>
  <si>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</si>
  <si>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</si>
  <si>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</si>
  <si>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</si>
  <si>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</si>
  <si>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</si>
  <si>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</si>
  <si>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</si>
  <si>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</si>
  <si>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</si>
  <si>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</si>
  <si>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</si>
  <si>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</si>
  <si>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</si>
  <si>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</si>
  <si>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</si>
  <si>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</si>
  <si>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</si>
  <si>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</si>
  <si>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</si>
  <si>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</si>
  <si>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</si>
  <si>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</si>
  <si>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</si>
  <si>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</si>
  <si>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</si>
  <si>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</si>
  <si>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</si>
  <si>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</si>
  <si>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</si>
  <si>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</si>
  <si>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</si>
  <si>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</si>
  <si>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</si>
  <si>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</si>
  <si>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</si>
  <si>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</si>
  <si>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</si>
  <si>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</si>
  <si>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</si>
  <si>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</si>
  <si>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</si>
  <si>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</si>
  <si>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</si>
  <si>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</si>
  <si>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</si>
  <si>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</si>
  <si>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</si>
  <si>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</si>
  <si>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</si>
  <si>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</si>
  <si>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</si>
  <si>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</si>
  <si>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</si>
  <si>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</si>
  <si>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</si>
  <si>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</si>
  <si>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</si>
  <si>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</si>
  <si>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</si>
  <si>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</si>
  <si>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</si>
  <si>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</si>
  <si>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</si>
  <si>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</si>
  <si>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</si>
  <si>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</si>
  <si>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</si>
  <si>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</si>
  <si>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</si>
  <si>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</si>
  <si>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</si>
  <si>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</si>
  <si>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</si>
  <si>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</si>
  <si>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</si>
  <si>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</si>
  <si>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</si>
  <si>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</si>
  <si>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</si>
  <si>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</si>
  <si>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</si>
  <si>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</si>
  <si>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</si>
  <si>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</si>
  <si>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</si>
  <si>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</si>
  <si>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</si>
  <si>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</si>
  <si>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</si>
  <si>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</si>
  <si>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</si>
  <si>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</si>
  <si>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</si>
  <si>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</si>
  <si>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</si>
  <si>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</si>
  <si>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</si>
  <si>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</si>
  <si>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</si>
  <si>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</si>
  <si>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</si>
  <si>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</si>
  <si>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</si>
  <si>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</si>
  <si>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</si>
  <si>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</si>
  <si>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</si>
  <si>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</si>
  <si>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</si>
  <si>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</si>
  <si>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</si>
  <si>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</si>
  <si>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</si>
  <si>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</si>
  <si>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</si>
  <si>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</si>
  <si>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</si>
  <si>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</si>
  <si>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</si>
  <si>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</si>
  <si>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</si>
  <si>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</si>
  <si>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</si>
  <si>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</si>
  <si>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</si>
  <si>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</si>
  <si>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</si>
  <si>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</si>
  <si>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</si>
  <si>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</si>
  <si>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</si>
  <si>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</si>
  <si>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</si>
  <si>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</si>
  <si>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</si>
  <si>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</si>
  <si>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</si>
  <si>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</si>
  <si>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</si>
  <si>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</si>
  <si>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</si>
  <si>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</si>
  <si>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</si>
  <si>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</si>
  <si>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</si>
  <si>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</si>
  <si>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</si>
  <si>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</si>
  <si>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</si>
  <si>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</si>
  <si>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</si>
  <si>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</si>
  <si>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</si>
  <si>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</si>
  <si>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</si>
  <si>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</si>
  <si>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</si>
  <si>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</si>
  <si>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</si>
  <si>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</si>
  <si>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</si>
  <si>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</si>
  <si>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</si>
  <si>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</si>
  <si>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</si>
  <si>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</si>
  <si>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</si>
  <si>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</si>
  <si>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</si>
  <si>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</si>
  <si>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</si>
  <si>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</si>
  <si>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</si>
  <si>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</si>
  <si>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</si>
  <si>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</si>
  <si>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</si>
  <si>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</si>
  <si>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</si>
  <si>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</si>
  <si>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</si>
  <si>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</si>
  <si>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</si>
  <si>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</si>
  <si>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</si>
  <si>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</si>
  <si>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</si>
  <si>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</si>
  <si>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</si>
  <si>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</si>
  <si>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</si>
  <si>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</si>
  <si>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</si>
  <si>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</si>
  <si>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</si>
  <si>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</si>
  <si>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</si>
  <si>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</si>
  <si>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</si>
  <si>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</si>
  <si>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</si>
  <si>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</si>
  <si>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</si>
  <si>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</si>
  <si>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</si>
  <si>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</si>
  <si>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</si>
  <si>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</si>
  <si>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</si>
  <si>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</si>
  <si>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</si>
  <si>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</si>
  <si>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</si>
  <si>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</si>
  <si>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</si>
  <si>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SHARON HOSPITAL HOLDING CO,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</si>
  <si>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</si>
  <si>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</si>
  <si>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</si>
  <si>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</si>
  <si>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</si>
  <si>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</si>
  <si>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</si>
  <si>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</si>
  <si>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</si>
  <si>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</si>
  <si>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</si>
  <si>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</si>
  <si>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</si>
  <si>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</si>
  <si>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</si>
  <si>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</si>
  <si>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</si>
  <si>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</si>
  <si>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</si>
  <si>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</si>
  <si>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</si>
  <si>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</si>
  <si>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</si>
  <si>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</si>
  <si>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</si>
  <si>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</si>
  <si>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</si>
  <si>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</si>
  <si>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</si>
  <si>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</si>
  <si>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</si>
  <si>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</si>
  <si>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</si>
  <si>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</si>
  <si>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</si>
  <si>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</si>
  <si>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</si>
  <si>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</si>
  <si>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</si>
  <si>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</si>
  <si>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</si>
  <si>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</si>
  <si>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</si>
  <si>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</si>
  <si>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</si>
  <si>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</si>
  <si>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</si>
  <si>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</si>
  <si>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</si>
  <si>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</si>
  <si>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</si>
  <si>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</si>
  <si>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</si>
  <si>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</si>
  <si>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</si>
  <si>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</si>
  <si>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</si>
  <si>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</si>
  <si>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</si>
  <si>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</si>
  <si>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</si>
  <si>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</si>
  <si>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</si>
  <si>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</si>
  <si>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</si>
  <si>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</si>
  <si>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</si>
  <si>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</si>
  <si>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</si>
  <si>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</si>
  <si>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</si>
  <si>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</si>
  <si>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</si>
  <si>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</si>
  <si>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</si>
  <si>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</si>
  <si>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</si>
  <si>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</si>
  <si>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</si>
  <si>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</si>
  <si>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</si>
  <si>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</si>
  <si>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</si>
  <si>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</si>
  <si>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</si>
  <si>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</si>
  <si>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</si>
  <si>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</si>
  <si>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</si>
  <si>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</si>
  <si>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</si>
  <si>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</si>
  <si>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</si>
  <si>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</si>
  <si>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</si>
  <si>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</si>
  <si>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</si>
  <si>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</si>
  <si>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</si>
  <si>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</si>
  <si>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</si>
  <si>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</si>
  <si>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</si>
  <si>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</si>
  <si>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</si>
  <si>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</si>
  <si>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</si>
  <si>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</si>
  <si>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</si>
  <si>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</si>
  <si>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</si>
  <si>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</si>
  <si>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</si>
  <si>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</si>
  <si>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</si>
  <si>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</si>
  <si>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</si>
  <si>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</si>
  <si>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</si>
  <si>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</si>
  <si>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Sharon 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</si>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</sst>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2" xfId="6" applyBorder="1" applyAlignment="1"/>
    <xf numFmtId="0" fontId="2" fillId="0" borderId="32" xfId="6" applyFont="1" applyBorder="1" applyAlignment="1">
      <alignment horizontal="centerContinuous"/>
    </xf>
    <xf numFmtId="0" fontId="1" fillId="0" borderId="32" xfId="6" applyFont="1" applyBorder="1" applyAlignment="1">
      <alignment horizontal="centerContinuous"/>
    </xf>
    <xf numFmtId="0" fontId="1" fillId="0" borderId="32" xfId="6" applyFont="1" applyBorder="1" applyAlignment="1"/>
    <xf numFmtId="164" fontId="2" fillId="0" borderId="32" xfId="6" applyNumberFormat="1" applyFont="1" applyBorder="1" applyAlignment="1">
      <alignment horizontal="center"/>
    </xf>
    <xf numFmtId="0" fontId="1" fillId="0" borderId="32" xfId="6" applyFill="1" applyBorder="1" applyAlignment="1"/>
    <xf numFmtId="0" fontId="2" fillId="0" borderId="32" xfId="6" applyFont="1" applyFill="1" applyBorder="1" applyAlignment="1">
      <alignment horizontal="left"/>
    </xf>
    <xf numFmtId="0" fontId="2" fillId="0" borderId="32" xfId="6" applyFont="1" applyFill="1" applyBorder="1" applyAlignment="1">
      <alignment horizontal="centerContinuous"/>
    </xf>
    <xf numFmtId="164" fontId="3" fillId="0" borderId="32" xfId="6" applyNumberFormat="1" applyFont="1" applyBorder="1" applyAlignment="1">
      <alignment horizontal="center"/>
    </xf>
    <xf numFmtId="0" fontId="2" fillId="0" borderId="32" xfId="6" applyFont="1" applyFill="1" applyBorder="1" applyAlignment="1">
      <alignment horizontal="center"/>
    </xf>
    <xf numFmtId="0" fontId="1" fillId="0" borderId="32" xfId="6" applyFill="1" applyBorder="1" applyAlignment="1">
      <alignment horizontal="center"/>
    </xf>
    <xf numFmtId="0" fontId="4" fillId="0" borderId="32" xfId="6" applyFont="1" applyFill="1" applyBorder="1" applyAlignment="1">
      <alignment horizontal="center"/>
    </xf>
    <xf numFmtId="164" fontId="5" fillId="0" borderId="32" xfId="6" applyNumberFormat="1" applyFont="1" applyBorder="1" applyAlignment="1">
      <alignment horizontal="center" wrapText="1"/>
    </xf>
    <xf numFmtId="0" fontId="5" fillId="0" borderId="32" xfId="6" applyFont="1" applyFill="1" applyBorder="1" applyAlignment="1">
      <alignment horizontal="center"/>
    </xf>
    <xf numFmtId="0" fontId="4" fillId="0" borderId="32" xfId="6" applyFont="1" applyFill="1" applyBorder="1" applyAlignment="1">
      <alignment horizontal="left"/>
    </xf>
    <xf numFmtId="0" fontId="1" fillId="0" borderId="32" xfId="6" applyFont="1" applyFill="1" applyBorder="1" applyAlignment="1">
      <alignment horizontal="center"/>
    </xf>
    <xf numFmtId="0" fontId="1" fillId="0" borderId="32" xfId="6" applyFont="1" applyFill="1" applyBorder="1" applyAlignment="1"/>
    <xf numFmtId="0" fontId="1" fillId="0" borderId="32" xfId="6" applyFont="1" applyFill="1" applyBorder="1" applyAlignment="1">
      <alignment horizontal="center" wrapText="1"/>
    </xf>
    <xf numFmtId="0" fontId="3" fillId="0" borderId="32" xfId="6" applyFont="1" applyFill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1" fillId="0" borderId="32" xfId="6" applyFont="1" applyBorder="1" applyAlignment="1">
      <alignment horizontal="left"/>
    </xf>
    <xf numFmtId="5" fontId="1" fillId="0" borderId="32" xfId="6" applyNumberFormat="1" applyFont="1" applyBorder="1" applyAlignment="1">
      <alignment horizontal="right"/>
    </xf>
    <xf numFmtId="9" fontId="1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center"/>
    </xf>
    <xf numFmtId="0" fontId="2" fillId="0" borderId="32" xfId="6" applyFont="1" applyBorder="1" applyAlignment="1">
      <alignment horizontal="left"/>
    </xf>
    <xf numFmtId="5" fontId="3" fillId="0" borderId="32" xfId="6" applyNumberFormat="1" applyFont="1" applyBorder="1" applyAlignment="1">
      <alignment horizontal="right"/>
    </xf>
    <xf numFmtId="9" fontId="3" fillId="0" borderId="32" xfId="6" applyNumberFormat="1" applyFont="1" applyBorder="1" applyAlignment="1">
      <alignment horizontal="right"/>
    </xf>
    <xf numFmtId="37" fontId="1" fillId="0" borderId="32" xfId="6" applyNumberFormat="1" applyFont="1" applyBorder="1" applyAlignment="1">
      <alignment horizontal="right"/>
    </xf>
    <xf numFmtId="0" fontId="3" fillId="0" borderId="32" xfId="6" applyFont="1" applyBorder="1" applyAlignment="1">
      <alignment horizontal="center"/>
    </xf>
    <xf numFmtId="0" fontId="5" fillId="0" borderId="32" xfId="6" applyFont="1" applyBorder="1" applyAlignment="1">
      <alignment horizontal="left"/>
    </xf>
    <xf numFmtId="37" fontId="1" fillId="0" borderId="32" xfId="6" applyNumberFormat="1" applyFont="1" applyBorder="1" applyAlignment="1"/>
    <xf numFmtId="0" fontId="1" fillId="0" borderId="32" xfId="6" applyBorder="1" applyAlignment="1">
      <alignment horizontal="left"/>
    </xf>
    <xf numFmtId="6" fontId="1" fillId="0" borderId="32" xfId="6" applyNumberFormat="1" applyBorder="1" applyAlignment="1">
      <alignment horizontal="right"/>
    </xf>
    <xf numFmtId="9" fontId="1" fillId="0" borderId="32" xfId="6" applyNumberFormat="1" applyBorder="1" applyAlignment="1">
      <alignment horizontal="right"/>
    </xf>
    <xf numFmtId="0" fontId="2" fillId="0" borderId="32" xfId="6" applyFont="1" applyBorder="1" applyAlignment="1">
      <alignment horizontal="center"/>
    </xf>
    <xf numFmtId="37" fontId="2" fillId="0" borderId="32" xfId="6" applyNumberFormat="1" applyFont="1" applyBorder="1" applyAlignment="1">
      <alignment horizontal="centerContinuous"/>
    </xf>
    <xf numFmtId="37" fontId="1" fillId="0" borderId="32" xfId="6" applyNumberFormat="1" applyFont="1" applyBorder="1" applyAlignment="1">
      <alignment horizontal="centerContinuous"/>
    </xf>
    <xf numFmtId="37" fontId="4" fillId="0" borderId="32" xfId="6" applyNumberFormat="1" applyFont="1" applyFill="1" applyBorder="1" applyAlignment="1">
      <alignment horizontal="center"/>
    </xf>
    <xf numFmtId="37" fontId="1" fillId="0" borderId="32" xfId="6" applyNumberFormat="1" applyFont="1" applyFill="1" applyBorder="1" applyAlignment="1"/>
    <xf numFmtId="37" fontId="1" fillId="0" borderId="32" xfId="6" applyNumberFormat="1" applyFont="1" applyFill="1" applyBorder="1" applyAlignment="1">
      <alignment horizontal="center"/>
    </xf>
    <xf numFmtId="0" fontId="4" fillId="0" borderId="32" xfId="6" applyFont="1" applyBorder="1" applyAlignment="1">
      <alignment horizontal="left"/>
    </xf>
    <xf numFmtId="37" fontId="3" fillId="0" borderId="32" xfId="6" applyNumberFormat="1" applyFont="1" applyBorder="1" applyAlignment="1">
      <alignment horizontal="right"/>
    </xf>
    <xf numFmtId="0" fontId="6" fillId="0" borderId="32" xfId="6" applyFont="1" applyFill="1" applyBorder="1" applyAlignment="1">
      <alignment horizontal="center"/>
    </xf>
    <xf numFmtId="0" fontId="6" fillId="0" borderId="32" xfId="6" applyFont="1" applyFill="1" applyBorder="1" applyAlignment="1">
      <alignment horizontal="left"/>
    </xf>
    <xf numFmtId="9" fontId="6" fillId="0" borderId="32" xfId="6" applyNumberFormat="1" applyFont="1" applyFill="1" applyBorder="1" applyAlignment="1">
      <alignment horizontal="right"/>
    </xf>
    <xf numFmtId="0" fontId="7" fillId="0" borderId="32" xfId="6" applyFont="1" applyBorder="1" applyAlignment="1"/>
    <xf numFmtId="0" fontId="3" fillId="0" borderId="32" xfId="6" applyFont="1" applyBorder="1"/>
    <xf numFmtId="0" fontId="6" fillId="0" borderId="32" xfId="6" applyFont="1" applyBorder="1" applyAlignment="1">
      <alignment horizontal="left"/>
    </xf>
    <xf numFmtId="37" fontId="6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left" wrapText="1"/>
    </xf>
    <xf numFmtId="5" fontId="6" fillId="0" borderId="32" xfId="6" applyNumberFormat="1" applyFont="1" applyBorder="1" applyAlignment="1">
      <alignment horizontal="right"/>
    </xf>
    <xf numFmtId="165" fontId="6" fillId="0" borderId="32" xfId="6" applyNumberFormat="1" applyFont="1" applyBorder="1" applyAlignment="1">
      <alignment horizontal="right"/>
    </xf>
    <xf numFmtId="165" fontId="3" fillId="0" borderId="32" xfId="6" applyNumberFormat="1" applyFont="1" applyBorder="1" applyAlignment="1">
      <alignment horizontal="right"/>
    </xf>
    <xf numFmtId="0" fontId="1" fillId="0" borderId="32" xfId="6" applyFont="1" applyBorder="1" applyAlignment="1">
      <alignment horizontal="right"/>
    </xf>
    <xf numFmtId="0" fontId="6" fillId="0" borderId="32" xfId="6" applyFont="1" applyBorder="1" applyAlignment="1"/>
    <xf numFmtId="0" fontId="8" fillId="0" borderId="0" xfId="7" applyBorder="1" applyAlignment="1"/>
    <xf numFmtId="164" fontId="3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right"/>
    </xf>
    <xf numFmtId="0" fontId="3" fillId="0" borderId="32" xfId="7" applyFont="1" applyBorder="1" applyAlignment="1"/>
    <xf numFmtId="164" fontId="3" fillId="0" borderId="32" xfId="7" applyNumberFormat="1" applyFont="1" applyBorder="1" applyAlignment="1">
      <alignment horizontal="center"/>
    </xf>
    <xf numFmtId="0" fontId="5" fillId="0" borderId="32" xfId="7" applyFont="1" applyBorder="1" applyAlignment="1">
      <alignment horizontal="right"/>
    </xf>
    <xf numFmtId="0" fontId="5" fillId="0" borderId="32" xfId="7" applyFont="1" applyBorder="1" applyAlignment="1"/>
    <xf numFmtId="164" fontId="5" fillId="0" borderId="32" xfId="7" applyNumberFormat="1" applyFont="1" applyBorder="1" applyAlignment="1">
      <alignment horizontal="center" wrapText="1"/>
    </xf>
    <xf numFmtId="6" fontId="5" fillId="0" borderId="32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3" xfId="7" applyFill="1" applyBorder="1" applyAlignment="1">
      <alignment horizontal="center"/>
    </xf>
    <xf numFmtId="0" fontId="6" fillId="0" borderId="32" xfId="7" applyFont="1" applyBorder="1" applyAlignment="1"/>
    <xf numFmtId="164" fontId="6" fillId="0" borderId="32" xfId="7" applyNumberFormat="1" applyFont="1" applyFill="1" applyBorder="1" applyAlignment="1">
      <alignment horizontal="center"/>
    </xf>
    <xf numFmtId="6" fontId="3" fillId="0" borderId="32" xfId="7" applyNumberFormat="1" applyFont="1" applyBorder="1" applyAlignment="1">
      <alignment horizontal="center"/>
    </xf>
    <xf numFmtId="0" fontId="8" fillId="0" borderId="32" xfId="7" applyBorder="1" applyAlignment="1"/>
    <xf numFmtId="0" fontId="3" fillId="0" borderId="32" xfId="7" applyFont="1" applyBorder="1" applyAlignment="1">
      <alignment horizontal="center"/>
    </xf>
    <xf numFmtId="0" fontId="5" fillId="0" borderId="32" xfId="7" applyFont="1" applyBorder="1" applyAlignment="1">
      <alignment horizontal="left"/>
    </xf>
    <xf numFmtId="6" fontId="6" fillId="0" borderId="32" xfId="7" applyNumberFormat="1" applyFont="1" applyBorder="1" applyAlignment="1">
      <alignment horizontal="center"/>
    </xf>
    <xf numFmtId="0" fontId="6" fillId="0" borderId="32" xfId="7" applyFont="1" applyBorder="1" applyAlignment="1">
      <alignment horizontal="center"/>
    </xf>
    <xf numFmtId="0" fontId="6" fillId="0" borderId="32" xfId="7" applyFont="1" applyBorder="1" applyAlignment="1">
      <alignment horizontal="left"/>
    </xf>
    <xf numFmtId="5" fontId="6" fillId="0" borderId="32" xfId="7" applyNumberFormat="1" applyFont="1" applyBorder="1" applyAlignment="1">
      <alignment horizontal="right"/>
    </xf>
    <xf numFmtId="9" fontId="6" fillId="0" borderId="32" xfId="7" applyNumberFormat="1" applyFont="1" applyBorder="1" applyAlignment="1">
      <alignment horizontal="right"/>
    </xf>
    <xf numFmtId="0" fontId="3" fillId="0" borderId="32" xfId="7" applyFont="1" applyBorder="1" applyAlignment="1">
      <alignment horizontal="left"/>
    </xf>
    <xf numFmtId="5" fontId="3" fillId="0" borderId="32" xfId="7" applyNumberFormat="1" applyFont="1" applyBorder="1" applyAlignment="1">
      <alignment horizontal="right"/>
    </xf>
    <xf numFmtId="9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 wrapText="1"/>
    </xf>
    <xf numFmtId="0" fontId="6" fillId="0" borderId="32" xfId="7" applyFont="1" applyFill="1" applyBorder="1" applyAlignment="1">
      <alignment horizontal="left" wrapText="1"/>
    </xf>
    <xf numFmtId="0" fontId="3" fillId="0" borderId="32" xfId="7" applyFont="1" applyFill="1" applyBorder="1" applyAlignment="1">
      <alignment horizontal="center"/>
    </xf>
    <xf numFmtId="0" fontId="6" fillId="0" borderId="32" xfId="7" applyFont="1" applyBorder="1" applyAlignment="1">
      <alignment horizontal="right"/>
    </xf>
    <xf numFmtId="0" fontId="6" fillId="0" borderId="32" xfId="7" applyFont="1" applyFill="1" applyBorder="1" applyAlignment="1">
      <alignment horizontal="center"/>
    </xf>
    <xf numFmtId="37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/>
    </xf>
    <xf numFmtId="165" fontId="3" fillId="0" borderId="32" xfId="7" applyNumberFormat="1" applyFont="1" applyBorder="1" applyAlignment="1">
      <alignment horizontal="right"/>
    </xf>
    <xf numFmtId="42" fontId="6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9" xfId="6" applyNumberFormat="1" applyFont="1" applyBorder="1" applyAlignment="1">
      <alignment horizontal="center"/>
    </xf>
    <xf numFmtId="164" fontId="5" fillId="0" borderId="9" xfId="6" applyNumberFormat="1" applyFont="1" applyBorder="1" applyAlignment="1">
      <alignment horizontal="left" wrapText="1"/>
    </xf>
    <xf numFmtId="5" fontId="6" fillId="0" borderId="9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center" vertical="center"/>
    </xf>
    <xf numFmtId="43" fontId="6" fillId="0" borderId="9" xfId="1" applyFont="1" applyBorder="1" applyProtection="1">
      <protection locked="0"/>
    </xf>
    <xf numFmtId="164" fontId="3" fillId="0" borderId="9" xfId="6" applyNumberFormat="1" applyFont="1" applyBorder="1" applyAlignment="1">
      <alignment horizontal="center" vertical="center"/>
    </xf>
    <xf numFmtId="164" fontId="3" fillId="0" borderId="9" xfId="6" applyNumberFormat="1" applyFont="1" applyBorder="1" applyAlignment="1">
      <alignment horizontal="left" wrapText="1"/>
    </xf>
    <xf numFmtId="5" fontId="3" fillId="0" borderId="9" xfId="6" applyNumberFormat="1" applyFont="1" applyBorder="1" applyAlignment="1">
      <alignment horizontal="right"/>
    </xf>
    <xf numFmtId="9" fontId="3" fillId="0" borderId="9" xfId="6" applyNumberFormat="1" applyFont="1" applyBorder="1" applyAlignment="1">
      <alignment horizontal="right"/>
    </xf>
    <xf numFmtId="164" fontId="3" fillId="0" borderId="9" xfId="6" applyNumberFormat="1" applyFont="1" applyBorder="1" applyAlignment="1">
      <alignment horizontal="right"/>
    </xf>
    <xf numFmtId="43" fontId="3" fillId="0" borderId="9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0" xfId="6" applyNumberFormat="1" applyFont="1" applyFill="1" applyBorder="1" applyAlignment="1">
      <alignment horizontal="center"/>
    </xf>
    <xf numFmtId="164" fontId="3" fillId="0" borderId="11" xfId="6" applyNumberFormat="1" applyFont="1" applyBorder="1" applyAlignment="1">
      <alignment horizontal="left"/>
    </xf>
    <xf numFmtId="5" fontId="3" fillId="0" borderId="10" xfId="6" applyNumberFormat="1" applyFont="1" applyBorder="1" applyAlignment="1">
      <alignment horizontal="right"/>
    </xf>
    <xf numFmtId="5" fontId="3" fillId="0" borderId="12" xfId="6" applyNumberFormat="1" applyFont="1" applyBorder="1" applyAlignment="1">
      <alignment horizontal="right"/>
    </xf>
    <xf numFmtId="9" fontId="3" fillId="0" borderId="12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right"/>
    </xf>
    <xf numFmtId="164" fontId="3" fillId="0" borderId="12" xfId="6" applyNumberFormat="1" applyFont="1" applyFill="1" applyBorder="1" applyAlignment="1">
      <alignment horizontal="center"/>
    </xf>
    <xf numFmtId="164" fontId="3" fillId="0" borderId="10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13" xfId="7" applyFont="1" applyBorder="1" applyAlignment="1">
      <alignment horizontal="center"/>
    </xf>
    <xf numFmtId="0" fontId="6" fillId="0" borderId="0" xfId="7" applyFont="1" applyBorder="1"/>
    <xf numFmtId="164" fontId="3" fillId="0" borderId="9" xfId="7" applyNumberFormat="1" applyFont="1" applyBorder="1" applyAlignment="1">
      <alignment horizontal="center"/>
    </xf>
    <xf numFmtId="164" fontId="3" fillId="0" borderId="14" xfId="7" applyNumberFormat="1" applyFont="1" applyBorder="1" applyAlignment="1">
      <alignment horizontal="center"/>
    </xf>
    <xf numFmtId="164" fontId="3" fillId="0" borderId="14" xfId="7" applyNumberFormat="1" applyFont="1" applyBorder="1" applyAlignment="1"/>
    <xf numFmtId="0" fontId="3" fillId="0" borderId="14" xfId="7" applyFont="1" applyBorder="1" applyAlignment="1">
      <alignment horizontal="center" wrapText="1"/>
    </xf>
    <xf numFmtId="164" fontId="3" fillId="0" borderId="14" xfId="7" applyNumberFormat="1" applyFont="1" applyBorder="1" applyAlignment="1">
      <alignment horizontal="center" wrapText="1"/>
    </xf>
    <xf numFmtId="164" fontId="5" fillId="0" borderId="14" xfId="7" applyNumberFormat="1" applyFont="1" applyBorder="1" applyAlignment="1">
      <alignment horizontal="center"/>
    </xf>
    <xf numFmtId="164" fontId="5" fillId="0" borderId="14" xfId="7" applyNumberFormat="1" applyFont="1" applyBorder="1" applyAlignment="1">
      <alignment horizontal="left"/>
    </xf>
    <xf numFmtId="164" fontId="5" fillId="0" borderId="14" xfId="7" applyNumberFormat="1" applyFont="1" applyBorder="1" applyAlignment="1">
      <alignment horizontal="center" wrapText="1"/>
    </xf>
    <xf numFmtId="0" fontId="5" fillId="0" borderId="14" xfId="7" applyFont="1" applyBorder="1" applyAlignment="1">
      <alignment horizontal="center" wrapText="1"/>
    </xf>
    <xf numFmtId="164" fontId="6" fillId="0" borderId="9" xfId="7" applyNumberFormat="1" applyFont="1" applyBorder="1" applyAlignment="1">
      <alignment horizontal="center"/>
    </xf>
    <xf numFmtId="0" fontId="5" fillId="0" borderId="9" xfId="7" applyNumberFormat="1" applyFont="1" applyBorder="1" applyAlignment="1">
      <alignment horizontal="left" wrapText="1"/>
    </xf>
    <xf numFmtId="164" fontId="6" fillId="0" borderId="9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horizontal="right"/>
    </xf>
    <xf numFmtId="0" fontId="6" fillId="0" borderId="9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9" xfId="7" applyFont="1" applyBorder="1" applyAlignment="1">
      <alignment horizontal="center"/>
    </xf>
    <xf numFmtId="0" fontId="5" fillId="0" borderId="9" xfId="7" applyNumberFormat="1" applyFont="1" applyBorder="1"/>
    <xf numFmtId="5" fontId="6" fillId="0" borderId="9" xfId="7" applyNumberFormat="1" applyFont="1" applyBorder="1" applyAlignment="1">
      <alignment horizontal="right"/>
    </xf>
    <xf numFmtId="5" fontId="3" fillId="0" borderId="9" xfId="7" applyNumberFormat="1" applyFont="1" applyBorder="1" applyAlignment="1">
      <alignment horizontal="right"/>
    </xf>
    <xf numFmtId="9" fontId="3" fillId="0" borderId="9" xfId="7" applyNumberFormat="1" applyFont="1" applyBorder="1" applyAlignment="1">
      <alignment horizontal="right"/>
    </xf>
    <xf numFmtId="0" fontId="6" fillId="0" borderId="9" xfId="2" applyNumberFormat="1" applyFont="1" applyBorder="1" applyProtection="1">
      <protection locked="0"/>
    </xf>
    <xf numFmtId="9" fontId="6" fillId="0" borderId="9" xfId="7" applyNumberFormat="1" applyFont="1" applyBorder="1" applyAlignment="1">
      <alignment horizontal="right"/>
    </xf>
    <xf numFmtId="0" fontId="3" fillId="0" borderId="9" xfId="7" applyNumberFormat="1" applyFont="1" applyBorder="1"/>
    <xf numFmtId="43" fontId="6" fillId="0" borderId="9" xfId="2" applyFont="1" applyBorder="1" applyProtection="1">
      <protection locked="0"/>
    </xf>
    <xf numFmtId="164" fontId="6" fillId="0" borderId="9" xfId="7" applyNumberFormat="1" applyFont="1" applyFill="1" applyBorder="1" applyAlignment="1">
      <alignment horizontal="center"/>
    </xf>
    <xf numFmtId="3" fontId="3" fillId="0" borderId="9" xfId="7" applyNumberFormat="1" applyFont="1" applyBorder="1" applyAlignment="1" applyProtection="1"/>
    <xf numFmtId="9" fontId="6" fillId="0" borderId="9" xfId="9" applyFont="1" applyBorder="1" applyAlignment="1">
      <alignment horizontal="right"/>
    </xf>
    <xf numFmtId="0" fontId="3" fillId="0" borderId="9" xfId="7" applyNumberFormat="1" applyFont="1" applyBorder="1" applyAlignment="1">
      <alignment horizontal="left"/>
    </xf>
    <xf numFmtId="164" fontId="9" fillId="0" borderId="9" xfId="7" applyNumberFormat="1" applyFont="1" applyBorder="1" applyAlignment="1">
      <alignment horizontal="center"/>
    </xf>
    <xf numFmtId="0" fontId="6" fillId="0" borderId="9" xfId="7" applyFont="1" applyBorder="1"/>
    <xf numFmtId="3" fontId="6" fillId="0" borderId="9" xfId="7" applyNumberFormat="1" applyFont="1" applyBorder="1" applyAlignment="1" applyProtection="1"/>
    <xf numFmtId="0" fontId="8" fillId="0" borderId="9" xfId="7" applyBorder="1"/>
    <xf numFmtId="0" fontId="6" fillId="0" borderId="0" xfId="7" applyFont="1" applyBorder="1" applyAlignment="1">
      <alignment horizontal="right"/>
    </xf>
    <xf numFmtId="0" fontId="1" fillId="0" borderId="32" xfId="7" applyFont="1" applyBorder="1" applyAlignment="1">
      <alignment horizontal="center"/>
    </xf>
    <xf numFmtId="0" fontId="2" fillId="0" borderId="32" xfId="7" applyFont="1" applyBorder="1" applyAlignment="1">
      <alignment horizontal="centerContinuous"/>
    </xf>
    <xf numFmtId="0" fontId="1" fillId="0" borderId="32" xfId="7" applyFont="1" applyBorder="1" applyAlignment="1">
      <alignment horizontal="centerContinuous"/>
    </xf>
    <xf numFmtId="0" fontId="1" fillId="0" borderId="32" xfId="7" applyFont="1" applyBorder="1" applyAlignment="1"/>
    <xf numFmtId="0" fontId="2" fillId="0" borderId="32" xfId="7" applyFont="1" applyBorder="1" applyAlignment="1">
      <alignment horizontal="center"/>
    </xf>
    <xf numFmtId="164" fontId="2" fillId="0" borderId="32" xfId="7" applyNumberFormat="1" applyFont="1" applyBorder="1" applyAlignment="1">
      <alignment horizontal="center"/>
    </xf>
    <xf numFmtId="0" fontId="2" fillId="0" borderId="32" xfId="7" applyFont="1" applyFill="1" applyBorder="1" applyAlignment="1">
      <alignment horizontal="center"/>
    </xf>
    <xf numFmtId="0" fontId="2" fillId="0" borderId="32" xfId="7" applyFont="1" applyFill="1" applyBorder="1" applyAlignment="1">
      <alignment horizontal="centerContinuous"/>
    </xf>
    <xf numFmtId="0" fontId="4" fillId="0" borderId="32" xfId="7" applyFont="1" applyFill="1" applyBorder="1" applyAlignment="1">
      <alignment horizontal="center"/>
    </xf>
    <xf numFmtId="0" fontId="4" fillId="0" borderId="32" xfId="7" applyFont="1" applyFill="1" applyBorder="1" applyAlignment="1">
      <alignment horizontal="left"/>
    </xf>
    <xf numFmtId="5" fontId="1" fillId="0" borderId="32" xfId="7" applyNumberFormat="1" applyFont="1" applyBorder="1" applyAlignment="1"/>
    <xf numFmtId="0" fontId="6" fillId="0" borderId="34" xfId="7" applyFont="1" applyFill="1" applyBorder="1" applyAlignment="1">
      <alignment horizontal="left"/>
    </xf>
    <xf numFmtId="37" fontId="6" fillId="0" borderId="32" xfId="7" applyNumberFormat="1" applyFont="1" applyBorder="1" applyAlignment="1">
      <alignment horizontal="right"/>
    </xf>
    <xf numFmtId="0" fontId="6" fillId="0" borderId="34" xfId="7" applyFont="1" applyBorder="1" applyAlignment="1">
      <alignment horizontal="left"/>
    </xf>
    <xf numFmtId="166" fontId="6" fillId="0" borderId="32" xfId="7" applyNumberFormat="1" applyFont="1" applyBorder="1" applyAlignment="1">
      <alignment horizontal="right"/>
    </xf>
    <xf numFmtId="166" fontId="3" fillId="0" borderId="32" xfId="7" applyNumberFormat="1" applyFont="1" applyBorder="1" applyAlignment="1">
      <alignment horizontal="right"/>
    </xf>
    <xf numFmtId="10" fontId="6" fillId="0" borderId="32" xfId="7" applyNumberFormat="1" applyFont="1" applyBorder="1" applyAlignment="1">
      <alignment horizontal="right"/>
    </xf>
    <xf numFmtId="0" fontId="8" fillId="0" borderId="32" xfId="7" applyBorder="1"/>
    <xf numFmtId="0" fontId="4" fillId="0" borderId="32" xfId="7" applyFont="1" applyBorder="1" applyAlignment="1">
      <alignment horizontal="left"/>
    </xf>
    <xf numFmtId="0" fontId="1" fillId="0" borderId="32" xfId="7" applyFont="1" applyBorder="1" applyAlignment="1">
      <alignment horizontal="left"/>
    </xf>
    <xf numFmtId="167" fontId="6" fillId="0" borderId="32" xfId="7" applyNumberFormat="1" applyFont="1" applyBorder="1" applyAlignment="1">
      <alignment horizontal="right"/>
    </xf>
    <xf numFmtId="0" fontId="2" fillId="0" borderId="32" xfId="7" applyFont="1" applyBorder="1" applyAlignment="1">
      <alignment horizontal="left"/>
    </xf>
    <xf numFmtId="43" fontId="3" fillId="0" borderId="32" xfId="7" applyNumberFormat="1" applyFont="1" applyBorder="1" applyAlignment="1">
      <alignment horizontal="right"/>
    </xf>
    <xf numFmtId="5" fontId="1" fillId="0" borderId="32" xfId="7" applyNumberFormat="1" applyFont="1" applyBorder="1" applyAlignment="1">
      <alignment horizontal="right"/>
    </xf>
    <xf numFmtId="39" fontId="3" fillId="0" borderId="32" xfId="7" applyNumberFormat="1" applyFont="1" applyBorder="1" applyAlignment="1">
      <alignment horizontal="right"/>
    </xf>
    <xf numFmtId="4" fontId="3" fillId="0" borderId="32" xfId="7" applyNumberFormat="1" applyFont="1" applyBorder="1" applyAlignment="1">
      <alignment horizontal="right"/>
    </xf>
    <xf numFmtId="165" fontId="6" fillId="0" borderId="32" xfId="7" applyNumberFormat="1" applyFont="1" applyFill="1" applyBorder="1" applyAlignment="1">
      <alignment horizontal="right"/>
    </xf>
    <xf numFmtId="0" fontId="10" fillId="0" borderId="32" xfId="7" applyFont="1" applyBorder="1" applyAlignment="1">
      <alignment horizontal="left"/>
    </xf>
    <xf numFmtId="165" fontId="6" fillId="0" borderId="32" xfId="7" applyNumberFormat="1" applyFont="1" applyBorder="1" applyAlignment="1">
      <alignment horizontal="right"/>
    </xf>
    <xf numFmtId="167" fontId="3" fillId="0" borderId="32" xfId="7" applyNumberFormat="1" applyFont="1" applyFill="1" applyBorder="1" applyAlignment="1">
      <alignment horizontal="right"/>
    </xf>
    <xf numFmtId="164" fontId="3" fillId="0" borderId="32" xfId="7" applyNumberFormat="1" applyFont="1" applyBorder="1" applyAlignment="1">
      <alignment horizontal="right"/>
    </xf>
    <xf numFmtId="5" fontId="6" fillId="0" borderId="32" xfId="7" applyNumberFormat="1" applyFont="1" applyBorder="1" applyAlignment="1"/>
    <xf numFmtId="0" fontId="1" fillId="0" borderId="34" xfId="7" applyFont="1" applyBorder="1" applyAlignment="1">
      <alignment horizontal="left"/>
    </xf>
    <xf numFmtId="37" fontId="6" fillId="0" borderId="32" xfId="7" applyNumberFormat="1" applyFont="1" applyBorder="1" applyAlignment="1"/>
    <xf numFmtId="0" fontId="2" fillId="0" borderId="32" xfId="7" applyFont="1" applyFill="1" applyBorder="1" applyAlignment="1">
      <alignment horizontal="left"/>
    </xf>
    <xf numFmtId="5" fontId="3" fillId="0" borderId="32" xfId="7" applyNumberFormat="1" applyFont="1" applyBorder="1" applyAlignment="1"/>
    <xf numFmtId="165" fontId="3" fillId="0" borderId="32" xfId="7" applyNumberFormat="1" applyFont="1" applyBorder="1" applyAlignment="1"/>
    <xf numFmtId="0" fontId="5" fillId="0" borderId="32" xfId="7" applyFont="1" applyFill="1" applyBorder="1" applyAlignment="1">
      <alignment horizontal="left"/>
    </xf>
    <xf numFmtId="0" fontId="1" fillId="0" borderId="32" xfId="7" applyFont="1" applyFill="1" applyBorder="1" applyAlignment="1">
      <alignment horizontal="left"/>
    </xf>
    <xf numFmtId="165" fontId="1" fillId="0" borderId="32" xfId="7" applyNumberFormat="1" applyFont="1" applyBorder="1" applyAlignment="1"/>
    <xf numFmtId="42" fontId="6" fillId="0" borderId="32" xfId="7" applyNumberFormat="1" applyFont="1" applyBorder="1" applyAlignment="1">
      <alignment horizontal="right"/>
    </xf>
    <xf numFmtId="168" fontId="3" fillId="0" borderId="32" xfId="7" applyNumberFormat="1" applyFont="1" applyBorder="1" applyAlignment="1">
      <alignment horizontal="right"/>
    </xf>
    <xf numFmtId="1" fontId="3" fillId="0" borderId="32" xfId="7" applyNumberFormat="1" applyFont="1" applyBorder="1" applyAlignment="1">
      <alignment horizontal="right"/>
    </xf>
    <xf numFmtId="165" fontId="6" fillId="0" borderId="32" xfId="7" applyNumberFormat="1" applyFont="1" applyBorder="1" applyAlignment="1"/>
    <xf numFmtId="0" fontId="1" fillId="0" borderId="32" xfId="7" applyFont="1" applyFill="1" applyBorder="1" applyAlignment="1">
      <alignment horizontal="center"/>
    </xf>
    <xf numFmtId="41" fontId="6" fillId="0" borderId="32" xfId="7" applyNumberFormat="1" applyFont="1" applyBorder="1" applyAlignment="1">
      <alignment horizontal="right"/>
    </xf>
    <xf numFmtId="168" fontId="6" fillId="0" borderId="32" xfId="7" applyNumberFormat="1" applyFont="1" applyBorder="1" applyAlignment="1">
      <alignment horizontal="right"/>
    </xf>
    <xf numFmtId="0" fontId="8" fillId="0" borderId="32" xfId="7" applyFill="1" applyBorder="1" applyAlignment="1"/>
    <xf numFmtId="0" fontId="8" fillId="0" borderId="32" xfId="7" applyFill="1" applyBorder="1" applyAlignment="1">
      <alignment horizontal="center"/>
    </xf>
    <xf numFmtId="0" fontId="11" fillId="0" borderId="32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2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15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17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9" xfId="6" applyFont="1" applyBorder="1" applyAlignment="1">
      <alignment horizontal="center" vertical="center"/>
    </xf>
    <xf numFmtId="0" fontId="12" fillId="0" borderId="9" xfId="6" applyFont="1" applyBorder="1" applyAlignment="1">
      <alignment horizontal="left" vertical="center"/>
    </xf>
    <xf numFmtId="164" fontId="12" fillId="0" borderId="9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18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9" xfId="6" applyNumberFormat="1" applyFont="1" applyBorder="1" applyAlignment="1">
      <alignment horizontal="center"/>
    </xf>
    <xf numFmtId="0" fontId="13" fillId="0" borderId="9" xfId="6" applyFont="1" applyBorder="1"/>
    <xf numFmtId="5" fontId="13" fillId="0" borderId="9" xfId="6" applyNumberFormat="1" applyFont="1" applyBorder="1" applyAlignment="1">
      <alignment horizontal="right"/>
    </xf>
    <xf numFmtId="9" fontId="13" fillId="0" borderId="9" xfId="10" applyNumberFormat="1" applyFont="1" applyBorder="1" applyAlignment="1">
      <alignment horizontal="right"/>
    </xf>
    <xf numFmtId="37" fontId="13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left"/>
    </xf>
    <xf numFmtId="5" fontId="12" fillId="0" borderId="9" xfId="6" applyNumberFormat="1" applyFont="1" applyBorder="1" applyAlignment="1">
      <alignment horizontal="right"/>
    </xf>
    <xf numFmtId="9" fontId="12" fillId="0" borderId="9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9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9" xfId="6" applyFont="1" applyBorder="1" applyAlignment="1">
      <alignment horizontal="center"/>
    </xf>
    <xf numFmtId="0" fontId="12" fillId="0" borderId="9" xfId="6" applyFont="1" applyBorder="1" applyAlignment="1">
      <alignment wrapText="1"/>
    </xf>
    <xf numFmtId="9" fontId="12" fillId="0" borderId="9" xfId="10" applyFont="1" applyBorder="1" applyAlignment="1">
      <alignment horizontal="right"/>
    </xf>
    <xf numFmtId="37" fontId="12" fillId="0" borderId="9" xfId="6" applyNumberFormat="1" applyFont="1" applyFill="1" applyBorder="1" applyAlignment="1">
      <alignment horizontal="right"/>
    </xf>
    <xf numFmtId="164" fontId="12" fillId="0" borderId="16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9" xfId="6" applyNumberFormat="1" applyFont="1" applyFill="1" applyBorder="1" applyAlignment="1">
      <alignment horizontal="left"/>
    </xf>
    <xf numFmtId="164" fontId="12" fillId="3" borderId="20" xfId="6" applyNumberFormat="1" applyFont="1" applyFill="1" applyBorder="1" applyAlignment="1">
      <alignment horizontal="center" wrapText="1"/>
    </xf>
    <xf numFmtId="164" fontId="12" fillId="3" borderId="21" xfId="6" applyNumberFormat="1" applyFont="1" applyFill="1" applyBorder="1" applyAlignment="1">
      <alignment horizontal="center" wrapText="1"/>
    </xf>
    <xf numFmtId="9" fontId="12" fillId="3" borderId="19" xfId="10" applyFont="1" applyFill="1" applyBorder="1" applyAlignment="1">
      <alignment horizontal="center" wrapText="1"/>
    </xf>
    <xf numFmtId="0" fontId="15" fillId="0" borderId="9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9" xfId="6" applyNumberFormat="1" applyFont="1" applyFill="1" applyBorder="1" applyAlignment="1">
      <alignment horizontal="left" wrapText="1"/>
    </xf>
    <xf numFmtId="0" fontId="12" fillId="0" borderId="9" xfId="6" applyFont="1" applyBorder="1" applyAlignment="1">
      <alignment horizontal="center" vertical="center"/>
    </xf>
    <xf numFmtId="0" fontId="12" fillId="0" borderId="9" xfId="6" applyFont="1" applyFill="1" applyBorder="1" applyAlignment="1">
      <alignment wrapText="1"/>
    </xf>
    <xf numFmtId="37" fontId="12" fillId="0" borderId="9" xfId="1" applyNumberFormat="1" applyFont="1" applyBorder="1" applyAlignment="1">
      <alignment horizontal="right"/>
    </xf>
    <xf numFmtId="0" fontId="1" fillId="0" borderId="32" xfId="6" applyBorder="1" applyAlignment="1">
      <alignment wrapText="1"/>
    </xf>
    <xf numFmtId="0" fontId="2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wrapText="1"/>
    </xf>
    <xf numFmtId="164" fontId="2" fillId="0" borderId="32" xfId="6" applyNumberFormat="1" applyFont="1" applyBorder="1" applyAlignment="1">
      <alignment horizontal="center" wrapText="1"/>
    </xf>
    <xf numFmtId="0" fontId="1" fillId="0" borderId="32" xfId="6" applyFill="1" applyBorder="1" applyAlignment="1">
      <alignment wrapText="1"/>
    </xf>
    <xf numFmtId="0" fontId="2" fillId="0" borderId="32" xfId="6" applyFont="1" applyFill="1" applyBorder="1" applyAlignment="1">
      <alignment horizontal="left" wrapText="1"/>
    </xf>
    <xf numFmtId="0" fontId="2" fillId="0" borderId="32" xfId="6" applyFont="1" applyFill="1" applyBorder="1" applyAlignment="1">
      <alignment horizontal="centerContinuous" wrapText="1"/>
    </xf>
    <xf numFmtId="164" fontId="3" fillId="0" borderId="32" xfId="6" applyNumberFormat="1" applyFont="1" applyBorder="1" applyAlignment="1">
      <alignment horizontal="center" wrapText="1"/>
    </xf>
    <xf numFmtId="0" fontId="2" fillId="0" borderId="32" xfId="6" applyFont="1" applyFill="1" applyBorder="1" applyAlignment="1">
      <alignment horizontal="center" wrapText="1"/>
    </xf>
    <xf numFmtId="0" fontId="1" fillId="0" borderId="32" xfId="6" applyFill="1" applyBorder="1" applyAlignment="1">
      <alignment horizontal="center" wrapText="1"/>
    </xf>
    <xf numFmtId="0" fontId="4" fillId="0" borderId="32" xfId="6" applyFont="1" applyFill="1" applyBorder="1" applyAlignment="1">
      <alignment horizontal="center" wrapText="1"/>
    </xf>
    <xf numFmtId="0" fontId="5" fillId="0" borderId="32" xfId="6" applyFont="1" applyFill="1" applyBorder="1" applyAlignment="1">
      <alignment horizontal="center" wrapText="1"/>
    </xf>
    <xf numFmtId="0" fontId="4" fillId="0" borderId="32" xfId="6" applyFont="1" applyFill="1" applyBorder="1" applyAlignment="1">
      <alignment horizontal="left" wrapText="1"/>
    </xf>
    <xf numFmtId="0" fontId="1" fillId="0" borderId="32" xfId="6" applyFont="1" applyFill="1" applyBorder="1" applyAlignment="1">
      <alignment wrapText="1"/>
    </xf>
    <xf numFmtId="0" fontId="3" fillId="0" borderId="32" xfId="6" applyFont="1" applyFill="1" applyBorder="1" applyAlignment="1">
      <alignment horizontal="center" wrapText="1"/>
    </xf>
    <xf numFmtId="0" fontId="1" fillId="0" borderId="32" xfId="6" applyFont="1" applyBorder="1" applyAlignment="1">
      <alignment horizontal="center" wrapText="1"/>
    </xf>
    <xf numFmtId="0" fontId="1" fillId="0" borderId="32" xfId="6" applyFont="1" applyBorder="1" applyAlignment="1">
      <alignment horizontal="left" wrapText="1"/>
    </xf>
    <xf numFmtId="9" fontId="1" fillId="0" borderId="32" xfId="6" applyNumberFormat="1" applyFont="1" applyBorder="1" applyAlignment="1">
      <alignment horizontal="right" wrapText="1"/>
    </xf>
    <xf numFmtId="0" fontId="6" fillId="0" borderId="32" xfId="6" applyFont="1" applyBorder="1" applyAlignment="1">
      <alignment horizontal="center" wrapText="1"/>
    </xf>
    <xf numFmtId="0" fontId="2" fillId="0" borderId="32" xfId="6" applyFont="1" applyBorder="1" applyAlignment="1">
      <alignment horizontal="left" wrapText="1"/>
    </xf>
    <xf numFmtId="5" fontId="3" fillId="0" borderId="32" xfId="6" applyNumberFormat="1" applyFont="1" applyBorder="1" applyAlignment="1">
      <alignment horizontal="right" wrapText="1"/>
    </xf>
    <xf numFmtId="9" fontId="3" fillId="0" borderId="32" xfId="6" applyNumberFormat="1" applyFont="1" applyBorder="1" applyAlignment="1">
      <alignment horizontal="right" wrapText="1"/>
    </xf>
    <xf numFmtId="37" fontId="1" fillId="0" borderId="32" xfId="6" applyNumberFormat="1" applyFont="1" applyBorder="1" applyAlignment="1">
      <alignment horizontal="right" wrapText="1"/>
    </xf>
    <xf numFmtId="0" fontId="3" fillId="0" borderId="32" xfId="6" applyFont="1" applyBorder="1" applyAlignment="1">
      <alignment horizontal="center" wrapText="1"/>
    </xf>
    <xf numFmtId="0" fontId="5" fillId="0" borderId="32" xfId="6" applyFont="1" applyBorder="1" applyAlignment="1">
      <alignment horizontal="left" wrapText="1"/>
    </xf>
    <xf numFmtId="0" fontId="1" fillId="0" borderId="32" xfId="6" applyBorder="1" applyAlignment="1">
      <alignment horizontal="left" wrapText="1"/>
    </xf>
    <xf numFmtId="6" fontId="1" fillId="0" borderId="32" xfId="6" applyNumberFormat="1" applyBorder="1" applyAlignment="1">
      <alignment horizontal="right" wrapText="1"/>
    </xf>
    <xf numFmtId="9" fontId="1" fillId="0" borderId="32" xfId="6" applyNumberFormat="1" applyBorder="1" applyAlignment="1">
      <alignment horizontal="right" wrapText="1"/>
    </xf>
    <xf numFmtId="0" fontId="2" fillId="0" borderId="32" xfId="6" applyFont="1" applyBorder="1" applyAlignment="1">
      <alignment horizontal="center" wrapText="1"/>
    </xf>
    <xf numFmtId="0" fontId="4" fillId="0" borderId="32" xfId="6" applyFont="1" applyBorder="1" applyAlignment="1">
      <alignment horizontal="left" wrapText="1"/>
    </xf>
    <xf numFmtId="0" fontId="6" fillId="0" borderId="32" xfId="6" applyFont="1" applyFill="1" applyBorder="1" applyAlignment="1">
      <alignment horizontal="center" wrapText="1"/>
    </xf>
    <xf numFmtId="0" fontId="6" fillId="0" borderId="32" xfId="6" applyFont="1" applyFill="1" applyBorder="1" applyAlignment="1">
      <alignment horizontal="left" wrapText="1"/>
    </xf>
    <xf numFmtId="9" fontId="6" fillId="0" borderId="32" xfId="6" applyNumberFormat="1" applyFont="1" applyFill="1" applyBorder="1" applyAlignment="1">
      <alignment horizontal="right" wrapText="1"/>
    </xf>
    <xf numFmtId="0" fontId="16" fillId="0" borderId="32" xfId="6" applyFont="1" applyBorder="1" applyAlignment="1">
      <alignment wrapText="1"/>
    </xf>
    <xf numFmtId="5" fontId="6" fillId="0" borderId="32" xfId="6" applyNumberFormat="1" applyFont="1" applyBorder="1" applyAlignment="1">
      <alignment horizontal="right" wrapText="1"/>
    </xf>
    <xf numFmtId="165" fontId="6" fillId="0" borderId="32" xfId="6" applyNumberFormat="1" applyFont="1" applyBorder="1" applyAlignment="1">
      <alignment horizontal="right" wrapText="1"/>
    </xf>
    <xf numFmtId="165" fontId="3" fillId="0" borderId="32" xfId="6" applyNumberFormat="1" applyFont="1" applyBorder="1" applyAlignment="1">
      <alignment horizontal="right" wrapText="1"/>
    </xf>
    <xf numFmtId="0" fontId="1" fillId="0" borderId="32" xfId="6" applyFont="1" applyBorder="1" applyAlignment="1">
      <alignment horizontal="right" wrapText="1"/>
    </xf>
    <xf numFmtId="0" fontId="11" fillId="0" borderId="32" xfId="6" applyFont="1" applyBorder="1" applyAlignment="1">
      <alignment wrapText="1"/>
    </xf>
    <xf numFmtId="164" fontId="5" fillId="0" borderId="32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2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5" xfId="7" applyFont="1" applyFill="1" applyBorder="1" applyAlignment="1">
      <alignment horizontal="center"/>
    </xf>
    <xf numFmtId="0" fontId="3" fillId="2" borderId="32" xfId="7" applyFont="1" applyFill="1" applyBorder="1" applyAlignment="1">
      <alignment horizontal="center"/>
    </xf>
    <xf numFmtId="0" fontId="4" fillId="2" borderId="32" xfId="7" applyFont="1" applyFill="1" applyBorder="1" applyAlignment="1">
      <alignment horizontal="left"/>
    </xf>
    <xf numFmtId="5" fontId="3" fillId="2" borderId="32" xfId="7" applyNumberFormat="1" applyFont="1" applyFill="1" applyBorder="1" applyAlignment="1">
      <alignment horizontal="right"/>
    </xf>
    <xf numFmtId="165" fontId="3" fillId="2" borderId="32" xfId="7" applyNumberFormat="1" applyFont="1" applyFill="1" applyBorder="1" applyAlignment="1">
      <alignment horizontal="right"/>
    </xf>
    <xf numFmtId="0" fontId="5" fillId="2" borderId="32" xfId="7" applyFont="1" applyFill="1" applyBorder="1" applyAlignment="1">
      <alignment horizontal="left"/>
    </xf>
    <xf numFmtId="43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center"/>
    </xf>
    <xf numFmtId="0" fontId="6" fillId="2" borderId="32" xfId="7" applyFont="1" applyFill="1" applyBorder="1" applyAlignment="1">
      <alignment horizontal="left" wrapText="1"/>
    </xf>
    <xf numFmtId="5" fontId="6" fillId="2" borderId="32" xfId="7" applyNumberFormat="1" applyFont="1" applyFill="1" applyBorder="1" applyAlignment="1"/>
    <xf numFmtId="0" fontId="2" fillId="2" borderId="32" xfId="7" applyFont="1" applyFill="1" applyBorder="1" applyAlignment="1">
      <alignment horizontal="left"/>
    </xf>
    <xf numFmtId="164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left"/>
    </xf>
    <xf numFmtId="5" fontId="1" fillId="2" borderId="32" xfId="7" applyNumberFormat="1" applyFont="1" applyFill="1" applyBorder="1" applyAlignment="1"/>
    <xf numFmtId="0" fontId="1" fillId="2" borderId="34" xfId="7" applyFont="1" applyFill="1" applyBorder="1" applyAlignment="1">
      <alignment horizontal="left"/>
    </xf>
    <xf numFmtId="0" fontId="8" fillId="2" borderId="32" xfId="7" applyFill="1" applyBorder="1"/>
    <xf numFmtId="5" fontId="3" fillId="2" borderId="32" xfId="7" applyNumberFormat="1" applyFont="1" applyFill="1" applyBorder="1" applyAlignment="1"/>
    <xf numFmtId="165" fontId="3" fillId="2" borderId="32" xfId="7" applyNumberFormat="1" applyFont="1" applyFill="1" applyBorder="1" applyAlignment="1"/>
    <xf numFmtId="1" fontId="3" fillId="2" borderId="32" xfId="7" applyNumberFormat="1" applyFont="1" applyFill="1" applyBorder="1" applyAlignment="1"/>
    <xf numFmtId="42" fontId="1" fillId="2" borderId="32" xfId="7" applyNumberFormat="1" applyFont="1" applyFill="1" applyBorder="1" applyAlignment="1"/>
    <xf numFmtId="42" fontId="6" fillId="2" borderId="32" xfId="7" applyNumberFormat="1" applyFont="1" applyFill="1" applyBorder="1" applyAlignment="1"/>
    <xf numFmtId="5" fontId="6" fillId="2" borderId="32" xfId="7" applyNumberFormat="1" applyFont="1" applyFill="1" applyBorder="1" applyAlignment="1">
      <alignment horizontal="right"/>
    </xf>
    <xf numFmtId="42" fontId="6" fillId="2" borderId="32" xfId="7" applyNumberFormat="1" applyFont="1" applyFill="1" applyBorder="1" applyAlignment="1">
      <alignment horizontal="right"/>
    </xf>
    <xf numFmtId="1" fontId="3" fillId="2" borderId="32" xfId="7" applyNumberFormat="1" applyFont="1" applyFill="1" applyBorder="1" applyAlignment="1">
      <alignment horizontal="right"/>
    </xf>
    <xf numFmtId="165" fontId="6" fillId="2" borderId="32" xfId="7" applyNumberFormat="1" applyFont="1" applyFill="1" applyBorder="1" applyAlignment="1">
      <alignment horizontal="right"/>
    </xf>
    <xf numFmtId="168" fontId="3" fillId="2" borderId="32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2" xfId="7" applyNumberFormat="1" applyFont="1" applyFill="1" applyBorder="1" applyAlignment="1"/>
    <xf numFmtId="0" fontId="1" fillId="0" borderId="13" xfId="7" applyFont="1" applyBorder="1" applyAlignment="1">
      <alignment horizontal="center"/>
    </xf>
    <xf numFmtId="164" fontId="2" fillId="0" borderId="9" xfId="7" applyNumberFormat="1" applyFont="1" applyBorder="1" applyAlignment="1"/>
    <xf numFmtId="164" fontId="2" fillId="0" borderId="9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13" xfId="7" applyFont="1" applyBorder="1" applyAlignment="1">
      <alignment horizontal="center"/>
    </xf>
    <xf numFmtId="164" fontId="5" fillId="0" borderId="9" xfId="7" applyNumberFormat="1" applyFont="1" applyFill="1" applyBorder="1" applyAlignment="1"/>
    <xf numFmtId="164" fontId="5" fillId="0" borderId="9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9" xfId="7" applyNumberFormat="1" applyFont="1" applyBorder="1" applyAlignment="1">
      <alignment horizontal="center"/>
    </xf>
    <xf numFmtId="0" fontId="6" fillId="0" borderId="13" xfId="7" applyFont="1" applyBorder="1" applyAlignment="1">
      <alignment horizontal="center"/>
    </xf>
    <xf numFmtId="164" fontId="6" fillId="0" borderId="9" xfId="7" applyNumberFormat="1" applyFont="1" applyBorder="1" applyAlignment="1"/>
    <xf numFmtId="3" fontId="1" fillId="0" borderId="9" xfId="7" applyNumberFormat="1" applyFont="1" applyBorder="1" applyAlignment="1">
      <alignment horizontal="right"/>
    </xf>
    <xf numFmtId="1" fontId="1" fillId="0" borderId="9" xfId="7" applyNumberFormat="1" applyFont="1" applyBorder="1" applyAlignment="1">
      <alignment horizontal="right"/>
    </xf>
    <xf numFmtId="167" fontId="1" fillId="0" borderId="9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9" xfId="7" applyNumberFormat="1" applyFont="1" applyBorder="1" applyAlignment="1"/>
    <xf numFmtId="3" fontId="3" fillId="0" borderId="9" xfId="7" applyNumberFormat="1" applyFont="1" applyBorder="1" applyAlignment="1">
      <alignment horizontal="right"/>
    </xf>
    <xf numFmtId="167" fontId="3" fillId="0" borderId="9" xfId="9" applyNumberFormat="1" applyFont="1" applyBorder="1" applyAlignment="1">
      <alignment horizontal="right"/>
    </xf>
    <xf numFmtId="164" fontId="1" fillId="0" borderId="9" xfId="7" applyNumberFormat="1" applyFont="1" applyBorder="1" applyAlignment="1"/>
    <xf numFmtId="3" fontId="2" fillId="0" borderId="9" xfId="7" applyNumberFormat="1" applyFont="1" applyBorder="1" applyAlignment="1">
      <alignment horizontal="right"/>
    </xf>
    <xf numFmtId="167" fontId="2" fillId="0" borderId="9" xfId="9" applyNumberFormat="1" applyFont="1" applyBorder="1" applyAlignment="1">
      <alignment horizontal="right"/>
    </xf>
    <xf numFmtId="1" fontId="2" fillId="0" borderId="9" xfId="7" applyNumberFormat="1" applyFont="1" applyBorder="1" applyAlignment="1">
      <alignment horizontal="right"/>
    </xf>
    <xf numFmtId="167" fontId="2" fillId="0" borderId="9" xfId="7" applyNumberFormat="1" applyFont="1" applyBorder="1" applyAlignment="1">
      <alignment horizontal="right"/>
    </xf>
    <xf numFmtId="37" fontId="2" fillId="0" borderId="9" xfId="7" applyNumberFormat="1" applyFont="1" applyBorder="1" applyAlignment="1">
      <alignment horizontal="right"/>
    </xf>
    <xf numFmtId="9" fontId="2" fillId="0" borderId="9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wrapText="1"/>
    </xf>
    <xf numFmtId="37" fontId="3" fillId="0" borderId="9" xfId="2" applyNumberFormat="1" applyFont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9" fontId="3" fillId="0" borderId="9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20" xfId="7" applyFont="1" applyBorder="1" applyAlignment="1">
      <alignment horizontal="center"/>
    </xf>
    <xf numFmtId="164" fontId="5" fillId="0" borderId="9" xfId="7" applyNumberFormat="1" applyFont="1" applyBorder="1" applyAlignment="1">
      <alignment wrapText="1"/>
    </xf>
    <xf numFmtId="164" fontId="4" fillId="0" borderId="9" xfId="7" applyNumberFormat="1" applyFont="1" applyBorder="1" applyAlignment="1">
      <alignment horizontal="center"/>
    </xf>
    <xf numFmtId="164" fontId="6" fillId="0" borderId="9" xfId="7" applyNumberFormat="1" applyFont="1" applyBorder="1" applyAlignment="1">
      <alignment wrapText="1"/>
    </xf>
    <xf numFmtId="3" fontId="1" fillId="0" borderId="9" xfId="2" applyNumberFormat="1" applyFont="1" applyBorder="1" applyAlignment="1">
      <alignment horizontal="right"/>
    </xf>
    <xf numFmtId="9" fontId="1" fillId="0" borderId="9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9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9" xfId="7" applyNumberFormat="1" applyFont="1" applyBorder="1" applyAlignment="1">
      <alignment horizontal="right"/>
    </xf>
    <xf numFmtId="3" fontId="6" fillId="0" borderId="9" xfId="2" applyNumberFormat="1" applyFont="1" applyBorder="1" applyAlignment="1">
      <alignment horizontal="right"/>
    </xf>
    <xf numFmtId="170" fontId="1" fillId="0" borderId="9" xfId="7" applyNumberFormat="1" applyFont="1" applyBorder="1" applyAlignment="1">
      <alignment horizontal="right"/>
    </xf>
    <xf numFmtId="170" fontId="1" fillId="0" borderId="9" xfId="2" applyNumberFormat="1" applyFont="1" applyBorder="1" applyAlignment="1">
      <alignment horizontal="right"/>
    </xf>
    <xf numFmtId="170" fontId="3" fillId="0" borderId="9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9" xfId="8" applyFont="1" applyBorder="1" applyAlignment="1" applyProtection="1">
      <alignment horizontal="left"/>
      <protection locked="0"/>
    </xf>
    <xf numFmtId="0" fontId="3" fillId="0" borderId="9" xfId="8" applyFont="1" applyBorder="1" applyAlignment="1" applyProtection="1">
      <alignment horizontal="center"/>
      <protection locked="0"/>
    </xf>
    <xf numFmtId="0" fontId="11" fillId="0" borderId="22" xfId="8" applyFont="1" applyBorder="1" applyProtection="1">
      <protection locked="0"/>
    </xf>
    <xf numFmtId="0" fontId="18" fillId="0" borderId="9" xfId="8" applyFont="1" applyBorder="1" applyAlignment="1" applyProtection="1">
      <alignment horizontal="center"/>
      <protection locked="0"/>
    </xf>
    <xf numFmtId="0" fontId="18" fillId="0" borderId="2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18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9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9" xfId="8" applyFont="1" applyBorder="1" applyAlignment="1"/>
    <xf numFmtId="0" fontId="9" fillId="0" borderId="9" xfId="8" applyFont="1" applyBorder="1" applyAlignment="1">
      <alignment horizontal="center" vertical="top"/>
    </xf>
    <xf numFmtId="0" fontId="5" fillId="0" borderId="9" xfId="8" applyFont="1" applyBorder="1" applyAlignment="1"/>
    <xf numFmtId="0" fontId="19" fillId="0" borderId="9" xfId="8" applyFont="1" applyBorder="1" applyAlignment="1" applyProtection="1">
      <alignment horizontal="center"/>
      <protection locked="0"/>
    </xf>
    <xf numFmtId="0" fontId="11" fillId="0" borderId="9" xfId="8" applyFont="1" applyBorder="1" applyAlignment="1">
      <alignment horizontal="center"/>
    </xf>
    <xf numFmtId="0" fontId="11" fillId="0" borderId="9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9" xfId="8" applyFont="1" applyBorder="1" applyAlignment="1">
      <alignment horizontal="center" vertical="top"/>
    </xf>
    <xf numFmtId="0" fontId="20" fillId="0" borderId="9" xfId="8" applyFont="1" applyBorder="1" applyAlignment="1">
      <alignment vertical="top"/>
    </xf>
    <xf numFmtId="0" fontId="11" fillId="0" borderId="9" xfId="8" applyFont="1" applyBorder="1" applyProtection="1">
      <protection locked="0"/>
    </xf>
    <xf numFmtId="0" fontId="11" fillId="0" borderId="9" xfId="8" applyFont="1" applyBorder="1" applyAlignment="1">
      <alignment vertical="top" wrapText="1"/>
    </xf>
    <xf numFmtId="0" fontId="11" fillId="0" borderId="9" xfId="8" applyFont="1" applyBorder="1" applyAlignment="1">
      <alignment horizontal="center" vertical="top"/>
    </xf>
    <xf numFmtId="6" fontId="11" fillId="0" borderId="9" xfId="8" applyNumberFormat="1" applyFont="1" applyBorder="1" applyAlignment="1">
      <alignment horizontal="right" vertical="top"/>
    </xf>
    <xf numFmtId="6" fontId="11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horizontal="right" vertical="top"/>
    </xf>
    <xf numFmtId="0" fontId="18" fillId="0" borderId="9" xfId="8" applyFont="1" applyBorder="1" applyAlignment="1">
      <alignment vertical="top" wrapText="1"/>
    </xf>
    <xf numFmtId="6" fontId="18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vertical="top"/>
    </xf>
    <xf numFmtId="0" fontId="19" fillId="0" borderId="9" xfId="8" applyFont="1" applyBorder="1" applyAlignment="1" applyProtection="1">
      <alignment horizontal="left"/>
      <protection locked="0"/>
    </xf>
    <xf numFmtId="0" fontId="19" fillId="0" borderId="9" xfId="8" applyFont="1" applyBorder="1" applyProtection="1">
      <protection locked="0"/>
    </xf>
    <xf numFmtId="0" fontId="20" fillId="0" borderId="9" xfId="8" applyFont="1" applyBorder="1" applyProtection="1">
      <protection locked="0"/>
    </xf>
    <xf numFmtId="0" fontId="20" fillId="0" borderId="9" xfId="8" applyFont="1" applyBorder="1" applyAlignment="1"/>
    <xf numFmtId="10" fontId="11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>
      <alignment vertical="top"/>
    </xf>
    <xf numFmtId="10" fontId="18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 applyProtection="1">
      <alignment horizontal="center"/>
      <protection locked="0"/>
    </xf>
    <xf numFmtId="0" fontId="18" fillId="0" borderId="9" xfId="8" applyFont="1" applyBorder="1" applyProtection="1">
      <protection locked="0"/>
    </xf>
    <xf numFmtId="167" fontId="11" fillId="0" borderId="9" xfId="11" applyNumberFormat="1" applyFont="1" applyBorder="1" applyAlignment="1">
      <alignment vertical="top"/>
    </xf>
    <xf numFmtId="0" fontId="9" fillId="0" borderId="9" xfId="8" applyFont="1" applyBorder="1" applyAlignment="1" applyProtection="1">
      <alignment horizontal="center"/>
      <protection locked="0"/>
    </xf>
    <xf numFmtId="3" fontId="11" fillId="0" borderId="9" xfId="8" applyNumberFormat="1" applyFont="1" applyBorder="1" applyAlignment="1">
      <alignment horizontal="right" vertical="top"/>
    </xf>
    <xf numFmtId="176" fontId="11" fillId="0" borderId="9" xfId="3" applyNumberFormat="1" applyFont="1" applyBorder="1" applyAlignment="1">
      <alignment vertical="top"/>
    </xf>
    <xf numFmtId="3" fontId="18" fillId="0" borderId="9" xfId="8" applyNumberFormat="1" applyFont="1" applyBorder="1" applyAlignment="1">
      <alignment vertical="top"/>
    </xf>
    <xf numFmtId="176" fontId="18" fillId="0" borderId="9" xfId="3" applyNumberFormat="1" applyFont="1" applyBorder="1" applyAlignment="1">
      <alignment vertical="top"/>
    </xf>
    <xf numFmtId="3" fontId="11" fillId="0" borderId="9" xfId="8" applyNumberFormat="1" applyFont="1" applyBorder="1" applyAlignment="1">
      <alignment vertical="top"/>
    </xf>
    <xf numFmtId="3" fontId="11" fillId="0" borderId="9" xfId="8" applyNumberFormat="1" applyFont="1" applyFill="1" applyBorder="1" applyAlignment="1">
      <alignment vertical="top"/>
    </xf>
    <xf numFmtId="170" fontId="11" fillId="0" borderId="9" xfId="8" applyNumberFormat="1" applyFont="1" applyBorder="1" applyAlignment="1">
      <alignment vertical="top"/>
    </xf>
    <xf numFmtId="174" fontId="11" fillId="0" borderId="9" xfId="3" applyNumberFormat="1" applyFont="1" applyBorder="1" applyAlignment="1">
      <alignment vertical="top"/>
    </xf>
    <xf numFmtId="170" fontId="18" fillId="0" borderId="9" xfId="8" applyNumberFormat="1" applyFont="1" applyBorder="1" applyAlignment="1">
      <alignment vertical="top"/>
    </xf>
    <xf numFmtId="174" fontId="18" fillId="0" borderId="9" xfId="3" applyNumberFormat="1" applyFont="1" applyBorder="1" applyAlignment="1">
      <alignment vertical="top"/>
    </xf>
    <xf numFmtId="174" fontId="11" fillId="0" borderId="9" xfId="8" applyNumberFormat="1" applyFont="1" applyBorder="1" applyAlignment="1">
      <alignment vertical="top"/>
    </xf>
    <xf numFmtId="180" fontId="11" fillId="0" borderId="9" xfId="8" applyNumberFormat="1" applyFont="1" applyBorder="1" applyAlignment="1">
      <alignment horizontal="right" vertical="top"/>
    </xf>
    <xf numFmtId="172" fontId="11" fillId="0" borderId="9" xfId="3" applyNumberFormat="1" applyFont="1" applyBorder="1" applyAlignment="1">
      <alignment vertical="top"/>
    </xf>
    <xf numFmtId="180" fontId="18" fillId="0" borderId="9" xfId="8" applyNumberFormat="1" applyFont="1" applyBorder="1" applyAlignment="1">
      <alignment horizontal="right" vertical="top"/>
    </xf>
    <xf numFmtId="172" fontId="18" fillId="0" borderId="9" xfId="3" applyNumberFormat="1" applyFont="1" applyBorder="1" applyAlignment="1">
      <alignment vertical="top"/>
    </xf>
    <xf numFmtId="0" fontId="11" fillId="0" borderId="9" xfId="8" applyFont="1" applyBorder="1" applyAlignment="1">
      <alignment horizontal="right" vertical="top"/>
    </xf>
    <xf numFmtId="6" fontId="11" fillId="0" borderId="9" xfId="8" applyNumberFormat="1" applyFont="1" applyBorder="1" applyProtection="1">
      <protection locked="0"/>
    </xf>
    <xf numFmtId="10" fontId="11" fillId="0" borderId="9" xfId="11" applyNumberFormat="1" applyFont="1" applyBorder="1" applyProtection="1">
      <protection locked="0"/>
    </xf>
    <xf numFmtId="0" fontId="27" fillId="0" borderId="9" xfId="8" applyFont="1" applyFill="1" applyBorder="1" applyAlignment="1">
      <alignment vertical="top" wrapText="1"/>
    </xf>
    <xf numFmtId="6" fontId="11" fillId="0" borderId="9" xfId="8" applyNumberFormat="1" applyFont="1" applyFill="1" applyBorder="1" applyProtection="1">
      <protection locked="0"/>
    </xf>
    <xf numFmtId="0" fontId="5" fillId="0" borderId="9" xfId="8" applyFont="1" applyBorder="1" applyAlignment="1">
      <alignment vertical="top"/>
    </xf>
    <xf numFmtId="0" fontId="11" fillId="0" borderId="9" xfId="8" applyFont="1" applyBorder="1" applyAlignment="1" applyProtection="1">
      <alignment horizontal="left"/>
      <protection locked="0"/>
    </xf>
    <xf numFmtId="0" fontId="18" fillId="0" borderId="9" xfId="8" applyFont="1" applyBorder="1" applyAlignment="1" applyProtection="1">
      <alignment horizontal="left"/>
      <protection locked="0"/>
    </xf>
    <xf numFmtId="169" fontId="11" fillId="0" borderId="9" xfId="3" applyNumberFormat="1" applyFont="1" applyBorder="1" applyProtection="1">
      <protection locked="0"/>
    </xf>
    <xf numFmtId="169" fontId="11" fillId="0" borderId="9" xfId="8" applyNumberFormat="1" applyFont="1" applyBorder="1" applyProtection="1">
      <protection locked="0"/>
    </xf>
    <xf numFmtId="169" fontId="18" fillId="0" borderId="9" xfId="3" applyNumberFormat="1" applyFont="1" applyBorder="1" applyProtection="1">
      <protection locked="0"/>
    </xf>
    <xf numFmtId="169" fontId="18" fillId="0" borderId="9" xfId="8" applyNumberFormat="1" applyFont="1" applyBorder="1" applyProtection="1">
      <protection locked="0"/>
    </xf>
    <xf numFmtId="181" fontId="11" fillId="0" borderId="9" xfId="8" applyNumberFormat="1" applyFont="1" applyBorder="1" applyProtection="1">
      <protection locked="0"/>
    </xf>
    <xf numFmtId="181" fontId="18" fillId="0" borderId="9" xfId="8" applyNumberFormat="1" applyFont="1" applyBorder="1" applyProtection="1">
      <protection locked="0"/>
    </xf>
    <xf numFmtId="182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Protection="1">
      <protection locked="0"/>
    </xf>
    <xf numFmtId="8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Alignment="1" applyProtection="1">
      <alignment horizontal="right"/>
      <protection locked="0"/>
    </xf>
    <xf numFmtId="8" fontId="18" fillId="0" borderId="9" xfId="8" applyNumberFormat="1" applyFont="1" applyBorder="1" applyAlignment="1" applyProtection="1">
      <alignment horizontal="right"/>
      <protection locked="0"/>
    </xf>
    <xf numFmtId="6" fontId="18" fillId="0" borderId="9" xfId="8" applyNumberFormat="1" applyFont="1" applyBorder="1" applyProtection="1">
      <protection locked="0"/>
    </xf>
    <xf numFmtId="6" fontId="29" fillId="0" borderId="9" xfId="8" applyNumberFormat="1" applyFont="1" applyBorder="1" applyProtection="1">
      <protection locked="0"/>
    </xf>
    <xf numFmtId="183" fontId="11" fillId="0" borderId="9" xfId="3" applyNumberFormat="1" applyFont="1" applyBorder="1" applyProtection="1">
      <protection locked="0"/>
    </xf>
    <xf numFmtId="184" fontId="11" fillId="0" borderId="9" xfId="8" applyNumberFormat="1" applyFont="1" applyBorder="1" applyProtection="1">
      <protection locked="0"/>
    </xf>
    <xf numFmtId="6" fontId="11" fillId="0" borderId="14" xfId="8" applyNumberFormat="1" applyFont="1" applyBorder="1" applyProtection="1">
      <protection locked="0"/>
    </xf>
    <xf numFmtId="0" fontId="11" fillId="0" borderId="9" xfId="8" applyFont="1" applyFill="1" applyBorder="1" applyAlignment="1">
      <alignment horizontal="center" vertical="top"/>
    </xf>
    <xf numFmtId="0" fontId="11" fillId="0" borderId="9" xfId="8" applyFont="1" applyFill="1" applyBorder="1" applyAlignment="1">
      <alignment vertical="top"/>
    </xf>
    <xf numFmtId="6" fontId="29" fillId="0" borderId="9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9" xfId="8" applyFont="1" applyBorder="1" applyAlignment="1">
      <alignment vertical="top"/>
    </xf>
    <xf numFmtId="10" fontId="11" fillId="0" borderId="9" xfId="8" applyNumberFormat="1" applyFont="1" applyBorder="1" applyProtection="1">
      <protection locked="0"/>
    </xf>
    <xf numFmtId="10" fontId="18" fillId="0" borderId="9" xfId="11" applyNumberFormat="1" applyFont="1" applyBorder="1" applyProtection="1">
      <protection locked="0"/>
    </xf>
    <xf numFmtId="10" fontId="18" fillId="0" borderId="9" xfId="8" applyNumberFormat="1" applyFont="1" applyBorder="1" applyProtection="1">
      <protection locked="0"/>
    </xf>
    <xf numFmtId="0" fontId="3" fillId="0" borderId="9" xfId="8" applyFont="1" applyBorder="1" applyAlignment="1"/>
    <xf numFmtId="6" fontId="11" fillId="0" borderId="9" xfId="8" applyNumberFormat="1" applyFont="1" applyFill="1" applyBorder="1" applyAlignment="1">
      <alignment horizontal="right" vertical="top"/>
    </xf>
    <xf numFmtId="6" fontId="11" fillId="0" borderId="9" xfId="8" applyNumberFormat="1" applyFont="1" applyFill="1" applyBorder="1" applyAlignment="1">
      <alignment vertical="top"/>
    </xf>
    <xf numFmtId="6" fontId="18" fillId="0" borderId="9" xfId="8" applyNumberFormat="1" applyFont="1" applyFill="1" applyBorder="1" applyAlignment="1">
      <alignment vertical="top"/>
    </xf>
    <xf numFmtId="6" fontId="18" fillId="0" borderId="9" xfId="8" applyNumberFormat="1" applyFont="1" applyBorder="1" applyAlignment="1">
      <alignment horizontal="right" vertical="top"/>
    </xf>
    <xf numFmtId="6" fontId="18" fillId="0" borderId="9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9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9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9" xfId="8" applyFont="1" applyBorder="1" applyAlignment="1">
      <alignment vertical="top"/>
    </xf>
    <xf numFmtId="0" fontId="6" fillId="0" borderId="9" xfId="8" applyFont="1" applyBorder="1" applyProtection="1">
      <protection locked="0"/>
    </xf>
    <xf numFmtId="0" fontId="6" fillId="0" borderId="9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9" xfId="8" applyNumberFormat="1" applyFont="1" applyBorder="1" applyAlignment="1">
      <alignment horizontal="right" vertical="top"/>
    </xf>
    <xf numFmtId="10" fontId="11" fillId="0" borderId="9" xfId="8" applyNumberFormat="1" applyFont="1" applyBorder="1" applyAlignment="1">
      <alignment horizontal="right" vertical="top"/>
    </xf>
    <xf numFmtId="185" fontId="11" fillId="0" borderId="9" xfId="8" applyNumberFormat="1" applyFont="1" applyBorder="1" applyProtection="1">
      <protection locked="0"/>
    </xf>
    <xf numFmtId="0" fontId="6" fillId="0" borderId="9" xfId="8" applyFont="1" applyFill="1" applyBorder="1" applyAlignment="1">
      <alignment vertical="top"/>
    </xf>
    <xf numFmtId="0" fontId="6" fillId="0" borderId="9" xfId="8" applyFont="1" applyBorder="1" applyAlignment="1" applyProtection="1">
      <alignment horizontal="center"/>
      <protection locked="0"/>
    </xf>
    <xf numFmtId="6" fontId="11" fillId="0" borderId="18" xfId="8" applyNumberFormat="1" applyFont="1" applyBorder="1" applyAlignment="1">
      <alignment horizontal="right" vertical="top"/>
    </xf>
    <xf numFmtId="6" fontId="11" fillId="0" borderId="18" xfId="8" applyNumberFormat="1" applyFont="1" applyBorder="1" applyAlignment="1">
      <alignment vertical="top"/>
    </xf>
    <xf numFmtId="6" fontId="18" fillId="0" borderId="18" xfId="8" applyNumberFormat="1" applyFont="1" applyBorder="1" applyAlignment="1">
      <alignment horizontal="right" vertical="top"/>
    </xf>
    <xf numFmtId="0" fontId="1" fillId="0" borderId="32" xfId="7" applyFont="1" applyBorder="1"/>
    <xf numFmtId="0" fontId="3" fillId="0" borderId="0" xfId="7" applyFont="1" applyBorder="1" applyAlignment="1">
      <alignment horizontal="right"/>
    </xf>
    <xf numFmtId="37" fontId="2" fillId="0" borderId="32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2" xfId="7" applyFont="1" applyBorder="1" applyAlignment="1">
      <alignment horizontal="center"/>
    </xf>
    <xf numFmtId="0" fontId="5" fillId="0" borderId="32" xfId="7" applyFont="1" applyBorder="1"/>
    <xf numFmtId="0" fontId="4" fillId="0" borderId="32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2" xfId="7" applyFont="1" applyBorder="1"/>
    <xf numFmtId="43" fontId="6" fillId="0" borderId="32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2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2" xfId="7" applyNumberFormat="1" applyFont="1" applyBorder="1" applyAlignment="1">
      <alignment horizontal="right"/>
    </xf>
    <xf numFmtId="43" fontId="6" fillId="0" borderId="32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2" xfId="2" applyFont="1" applyFill="1" applyBorder="1" applyAlignment="1" applyProtection="1">
      <alignment horizontal="left" wrapText="1"/>
      <protection locked="0"/>
    </xf>
    <xf numFmtId="0" fontId="6" fillId="0" borderId="32" xfId="7" applyFont="1" applyBorder="1"/>
    <xf numFmtId="43" fontId="3" fillId="0" borderId="32" xfId="2" applyFont="1" applyBorder="1" applyAlignment="1" applyProtection="1">
      <alignment horizontal="left"/>
      <protection locked="0"/>
    </xf>
    <xf numFmtId="37" fontId="10" fillId="0" borderId="32" xfId="7" applyNumberFormat="1" applyFont="1" applyBorder="1" applyAlignment="1">
      <alignment horizontal="right"/>
    </xf>
    <xf numFmtId="9" fontId="10" fillId="0" borderId="32" xfId="7" applyNumberFormat="1" applyFont="1" applyBorder="1" applyAlignment="1">
      <alignment horizontal="right"/>
    </xf>
    <xf numFmtId="0" fontId="30" fillId="0" borderId="32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167" fontId="3" fillId="0" borderId="32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2" xfId="7" applyNumberFormat="1" applyFont="1" applyBorder="1" applyAlignment="1">
      <alignment horizontal="right"/>
    </xf>
    <xf numFmtId="0" fontId="2" fillId="0" borderId="32" xfId="7" applyFont="1" applyBorder="1" applyAlignment="1"/>
    <xf numFmtId="0" fontId="31" fillId="0" borderId="32" xfId="7" applyFont="1" applyBorder="1" applyAlignment="1">
      <alignment horizontal="left"/>
    </xf>
    <xf numFmtId="5" fontId="31" fillId="0" borderId="32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2" xfId="7" applyFont="1" applyBorder="1" applyAlignment="1">
      <alignment horizontal="left"/>
    </xf>
    <xf numFmtId="43" fontId="11" fillId="0" borderId="32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4" xfId="6" applyFont="1" applyBorder="1" applyAlignment="1">
      <alignment horizontal="center"/>
    </xf>
    <xf numFmtId="0" fontId="2" fillId="0" borderId="36" xfId="6" applyFont="1" applyBorder="1" applyAlignment="1">
      <alignment horizontal="center"/>
    </xf>
    <xf numFmtId="0" fontId="2" fillId="0" borderId="37" xfId="6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36" xfId="7" applyFont="1" applyBorder="1" applyAlignment="1">
      <alignment horizontal="center"/>
    </xf>
    <xf numFmtId="0" fontId="3" fillId="0" borderId="37" xfId="7" applyFont="1" applyBorder="1" applyAlignment="1">
      <alignment horizontal="center"/>
    </xf>
    <xf numFmtId="164" fontId="3" fillId="0" borderId="2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2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23" xfId="6" applyNumberFormat="1" applyFont="1" applyBorder="1" applyAlignment="1">
      <alignment horizontal="center"/>
    </xf>
    <xf numFmtId="5" fontId="6" fillId="0" borderId="24" xfId="6" applyNumberFormat="1" applyFont="1" applyBorder="1" applyAlignment="1">
      <alignment horizontal="center"/>
    </xf>
    <xf numFmtId="5" fontId="6" fillId="0" borderId="25" xfId="6" applyNumberFormat="1" applyFont="1" applyBorder="1" applyAlignment="1">
      <alignment horizontal="center"/>
    </xf>
    <xf numFmtId="5" fontId="6" fillId="0" borderId="20" xfId="6" applyNumberFormat="1" applyFont="1" applyBorder="1" applyAlignment="1">
      <alignment horizontal="center"/>
    </xf>
    <xf numFmtId="5" fontId="6" fillId="0" borderId="21" xfId="6" applyNumberFormat="1" applyFont="1" applyBorder="1" applyAlignment="1">
      <alignment horizontal="center"/>
    </xf>
    <xf numFmtId="5" fontId="6" fillId="0" borderId="19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20" xfId="6" applyNumberFormat="1" applyFont="1" applyFill="1" applyBorder="1" applyAlignment="1">
      <alignment horizontal="center" wrapText="1"/>
    </xf>
    <xf numFmtId="164" fontId="3" fillId="3" borderId="21" xfId="6" applyNumberFormat="1" applyFont="1" applyFill="1" applyBorder="1" applyAlignment="1">
      <alignment horizontal="center" wrapText="1"/>
    </xf>
    <xf numFmtId="164" fontId="3" fillId="3" borderId="19" xfId="6" applyNumberFormat="1" applyFont="1" applyFill="1" applyBorder="1" applyAlignment="1">
      <alignment horizontal="center" wrapText="1"/>
    </xf>
    <xf numFmtId="0" fontId="3" fillId="0" borderId="13" xfId="7" applyFont="1" applyBorder="1" applyAlignment="1">
      <alignment horizontal="center"/>
    </xf>
    <xf numFmtId="0" fontId="3" fillId="0" borderId="26" xfId="7" applyFont="1" applyBorder="1" applyAlignment="1">
      <alignment horizontal="center"/>
    </xf>
    <xf numFmtId="0" fontId="3" fillId="0" borderId="27" xfId="7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9" xfId="6" applyNumberFormat="1" applyFont="1" applyFill="1" applyBorder="1" applyAlignment="1">
      <alignment horizontal="center" wrapText="1"/>
    </xf>
    <xf numFmtId="164" fontId="12" fillId="3" borderId="30" xfId="6" applyNumberFormat="1" applyFont="1" applyFill="1" applyBorder="1" applyAlignment="1">
      <alignment horizontal="center" wrapText="1"/>
    </xf>
    <xf numFmtId="164" fontId="12" fillId="3" borderId="31" xfId="6" applyNumberFormat="1" applyFont="1" applyFill="1" applyBorder="1" applyAlignment="1">
      <alignment horizontal="center" wrapText="1"/>
    </xf>
    <xf numFmtId="0" fontId="14" fillId="0" borderId="14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4" xfId="6" applyFont="1" applyBorder="1" applyAlignment="1"/>
    <xf numFmtId="0" fontId="15" fillId="0" borderId="8" xfId="6" applyFont="1" applyBorder="1" applyAlignment="1"/>
    <xf numFmtId="164" fontId="12" fillId="0" borderId="18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28" xfId="6" applyNumberFormat="1" applyFont="1" applyBorder="1" applyAlignment="1">
      <alignment horizontal="center" wrapText="1"/>
    </xf>
    <xf numFmtId="164" fontId="12" fillId="0" borderId="20" xfId="6" applyNumberFormat="1" applyFont="1" applyBorder="1" applyAlignment="1">
      <alignment horizontal="center" wrapText="1"/>
    </xf>
    <xf numFmtId="164" fontId="12" fillId="0" borderId="21" xfId="6" applyNumberFormat="1" applyFont="1" applyBorder="1" applyAlignment="1">
      <alignment horizontal="center" wrapText="1"/>
    </xf>
    <xf numFmtId="164" fontId="12" fillId="0" borderId="19" xfId="6" applyNumberFormat="1" applyFont="1" applyBorder="1" applyAlignment="1">
      <alignment horizontal="center" wrapText="1"/>
    </xf>
    <xf numFmtId="0" fontId="14" fillId="0" borderId="22" xfId="6" applyFont="1" applyBorder="1" applyAlignment="1">
      <alignment horizontal="center"/>
    </xf>
    <xf numFmtId="0" fontId="15" fillId="0" borderId="2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23" xfId="6" applyNumberFormat="1" applyFont="1" applyBorder="1" applyAlignment="1">
      <alignment horizontal="center" wrapText="1"/>
    </xf>
    <xf numFmtId="164" fontId="12" fillId="0" borderId="24" xfId="6" applyNumberFormat="1" applyFont="1" applyBorder="1" applyAlignment="1">
      <alignment horizontal="center" wrapText="1"/>
    </xf>
    <xf numFmtId="164" fontId="12" fillId="0" borderId="2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2" fillId="0" borderId="34" xfId="6" applyFont="1" applyBorder="1" applyAlignment="1">
      <alignment horizontal="center" wrapText="1"/>
    </xf>
    <xf numFmtId="0" fontId="2" fillId="0" borderId="36" xfId="6" applyFont="1" applyBorder="1" applyAlignment="1">
      <alignment horizontal="center" wrapText="1"/>
    </xf>
    <xf numFmtId="0" fontId="2" fillId="0" borderId="37" xfId="6" applyFont="1" applyBorder="1" applyAlignment="1">
      <alignment horizontal="center" wrapText="1"/>
    </xf>
    <xf numFmtId="0" fontId="2" fillId="0" borderId="13" xfId="7" applyFont="1" applyBorder="1" applyAlignment="1">
      <alignment horizontal="center"/>
    </xf>
    <xf numFmtId="0" fontId="2" fillId="0" borderId="26" xfId="7" applyFont="1" applyBorder="1" applyAlignment="1">
      <alignment horizontal="center"/>
    </xf>
    <xf numFmtId="0" fontId="2" fillId="0" borderId="27" xfId="7" applyFont="1" applyBorder="1" applyAlignment="1">
      <alignment horizontal="center"/>
    </xf>
    <xf numFmtId="164" fontId="3" fillId="0" borderId="13" xfId="7" applyNumberFormat="1" applyFont="1" applyBorder="1" applyAlignment="1">
      <alignment wrapText="1"/>
    </xf>
    <xf numFmtId="164" fontId="3" fillId="0" borderId="26" xfId="7" applyNumberFormat="1" applyFont="1" applyBorder="1" applyAlignment="1">
      <alignment wrapText="1"/>
    </xf>
    <xf numFmtId="164" fontId="3" fillId="0" borderId="27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13" xfId="8" applyFont="1" applyBorder="1" applyAlignment="1" applyProtection="1">
      <alignment horizontal="center"/>
      <protection locked="0"/>
    </xf>
    <xf numFmtId="0" fontId="3" fillId="0" borderId="26" xfId="8" applyFont="1" applyBorder="1" applyAlignment="1" applyProtection="1">
      <alignment horizontal="center"/>
      <protection locked="0"/>
    </xf>
    <xf numFmtId="0" fontId="3" fillId="0" borderId="27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13" xfId="8" applyNumberFormat="1" applyFont="1" applyBorder="1" applyAlignment="1" applyProtection="1">
      <alignment horizontal="center"/>
      <protection locked="0"/>
    </xf>
    <xf numFmtId="164" fontId="3" fillId="0" borderId="26" xfId="8" applyNumberFormat="1" applyFont="1" applyBorder="1" applyAlignment="1" applyProtection="1">
      <alignment horizontal="center"/>
      <protection locked="0"/>
    </xf>
    <xf numFmtId="164" fontId="3" fillId="0" borderId="27" xfId="8" applyNumberFormat="1" applyFont="1" applyBorder="1" applyAlignment="1" applyProtection="1">
      <alignment horizontal="center"/>
      <protection locked="0"/>
    </xf>
    <xf numFmtId="0" fontId="1" fillId="0" borderId="34" xfId="7" applyFont="1" applyBorder="1"/>
    <xf numFmtId="0" fontId="1" fillId="0" borderId="36" xfId="7" applyFont="1" applyBorder="1"/>
    <xf numFmtId="0" fontId="1" fillId="0" borderId="37" xfId="7" applyFont="1" applyBorder="1"/>
    <xf numFmtId="0" fontId="2" fillId="0" borderId="34" xfId="7" applyFont="1" applyBorder="1" applyAlignment="1">
      <alignment horizontal="center"/>
    </xf>
    <xf numFmtId="0" fontId="2" fillId="0" borderId="36" xfId="7" applyFont="1" applyBorder="1" applyAlignment="1">
      <alignment horizontal="center"/>
    </xf>
    <xf numFmtId="0" fontId="2" fillId="0" borderId="37" xfId="7" applyFont="1" applyBorder="1" applyAlignment="1">
      <alignment horizontal="center"/>
    </xf>
    <xf numFmtId="0" fontId="3" fillId="0" borderId="34" xfId="7" applyFont="1" applyBorder="1" applyAlignment="1">
      <alignment horizontal="left"/>
    </xf>
    <xf numFmtId="0" fontId="3" fillId="0" borderId="36" xfId="7" applyFont="1" applyBorder="1" applyAlignment="1">
      <alignment horizontal="left"/>
    </xf>
    <xf numFmtId="0" fontId="3" fillId="0" borderId="37" xfId="7" applyFont="1" applyBorder="1" applyAlignment="1">
      <alignment horizontal="left"/>
    </xf>
    <xf numFmtId="0" fontId="3" fillId="0" borderId="34" xfId="7" applyFont="1" applyBorder="1" applyAlignment="1">
      <alignment horizontal="left" wrapText="1"/>
    </xf>
    <xf numFmtId="0" fontId="3" fillId="0" borderId="36" xfId="7" applyFont="1" applyBorder="1" applyAlignment="1">
      <alignment horizontal="left" wrapText="1"/>
    </xf>
    <xf numFmtId="0" fontId="3" fillId="0" borderId="37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0</v>
      </c>
      <c r="D13" s="22">
        <v>193394</v>
      </c>
      <c r="E13" s="22">
        <f t="shared" ref="E13:E22" si="0">D13-C13</f>
        <v>193394</v>
      </c>
      <c r="F13" s="23">
        <f t="shared" ref="F13:F22" si="1">IF(C13=0,0,E13/C13)</f>
        <v>0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6272473</v>
      </c>
      <c r="D15" s="22">
        <v>6149131</v>
      </c>
      <c r="E15" s="22">
        <f t="shared" si="0"/>
        <v>-123342</v>
      </c>
      <c r="F15" s="23">
        <f t="shared" si="1"/>
        <v>-1.9664014496355745E-2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137029</v>
      </c>
      <c r="D18" s="22">
        <v>0</v>
      </c>
      <c r="E18" s="22">
        <f t="shared" si="0"/>
        <v>-137029</v>
      </c>
      <c r="F18" s="23">
        <f t="shared" si="1"/>
        <v>-1</v>
      </c>
    </row>
    <row r="19" spans="1:11" ht="24" customHeight="1" x14ac:dyDescent="0.2">
      <c r="A19" s="20">
        <v>7</v>
      </c>
      <c r="B19" s="21" t="s">
        <v>22</v>
      </c>
      <c r="C19" s="22">
        <v>1159614</v>
      </c>
      <c r="D19" s="22">
        <v>1321574</v>
      </c>
      <c r="E19" s="22">
        <f t="shared" si="0"/>
        <v>161960</v>
      </c>
      <c r="F19" s="23">
        <f t="shared" si="1"/>
        <v>0.13966716510838953</v>
      </c>
    </row>
    <row r="20" spans="1:11" ht="24" customHeight="1" x14ac:dyDescent="0.2">
      <c r="A20" s="20">
        <v>8</v>
      </c>
      <c r="B20" s="21" t="s">
        <v>23</v>
      </c>
      <c r="C20" s="22">
        <v>952893</v>
      </c>
      <c r="D20" s="22">
        <v>635358</v>
      </c>
      <c r="E20" s="22">
        <f t="shared" si="0"/>
        <v>-317535</v>
      </c>
      <c r="F20" s="23">
        <f t="shared" si="1"/>
        <v>-0.33323258749933099</v>
      </c>
    </row>
    <row r="21" spans="1:11" ht="24" customHeight="1" x14ac:dyDescent="0.2">
      <c r="A21" s="20">
        <v>9</v>
      </c>
      <c r="B21" s="21" t="s">
        <v>24</v>
      </c>
      <c r="C21" s="22">
        <v>1484938</v>
      </c>
      <c r="D21" s="22">
        <v>0</v>
      </c>
      <c r="E21" s="22">
        <f t="shared" si="0"/>
        <v>-1484938</v>
      </c>
      <c r="F21" s="23">
        <f t="shared" si="1"/>
        <v>-1</v>
      </c>
    </row>
    <row r="22" spans="1:11" ht="24" customHeight="1" x14ac:dyDescent="0.25">
      <c r="A22" s="24"/>
      <c r="B22" s="25" t="s">
        <v>25</v>
      </c>
      <c r="C22" s="26">
        <f>SUM(C13:C21)</f>
        <v>10006947</v>
      </c>
      <c r="D22" s="26">
        <f>SUM(D13:D21)</f>
        <v>8299457</v>
      </c>
      <c r="E22" s="26">
        <f t="shared" si="0"/>
        <v>-1707490</v>
      </c>
      <c r="F22" s="27">
        <f t="shared" si="1"/>
        <v>-0.17063046301734186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0</v>
      </c>
      <c r="D29" s="26">
        <f>SUM(D25:D28)</f>
        <v>0</v>
      </c>
      <c r="E29" s="26">
        <f>D29-C29</f>
        <v>0</v>
      </c>
      <c r="F29" s="27">
        <f>IF(C29=0,0,E29/C29)</f>
        <v>0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707178</v>
      </c>
      <c r="D33" s="22">
        <v>4438562</v>
      </c>
      <c r="E33" s="22">
        <f>D33-C33</f>
        <v>3731384</v>
      </c>
      <c r="F33" s="23">
        <f>IF(C33=0,0,E33/C33)</f>
        <v>5.2764424232654292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64190748</v>
      </c>
      <c r="D36" s="22">
        <v>15566790</v>
      </c>
      <c r="E36" s="22">
        <f>D36-C36</f>
        <v>-48623958</v>
      </c>
      <c r="F36" s="23">
        <f>IF(C36=0,0,E36/C36)</f>
        <v>-0.75749168711977</v>
      </c>
    </row>
    <row r="37" spans="1:8" ht="24" customHeight="1" x14ac:dyDescent="0.2">
      <c r="A37" s="20">
        <v>2</v>
      </c>
      <c r="B37" s="21" t="s">
        <v>39</v>
      </c>
      <c r="C37" s="22">
        <v>31083584</v>
      </c>
      <c r="D37" s="22">
        <v>0</v>
      </c>
      <c r="E37" s="22">
        <f>D37-C37</f>
        <v>-31083584</v>
      </c>
      <c r="F37" s="23">
        <f>IF(C37=0,0,E37/C37)</f>
        <v>-1</v>
      </c>
    </row>
    <row r="38" spans="1:8" ht="24" customHeight="1" x14ac:dyDescent="0.25">
      <c r="A38" s="24"/>
      <c r="B38" s="25" t="s">
        <v>40</v>
      </c>
      <c r="C38" s="26">
        <f>C36-C37</f>
        <v>33107164</v>
      </c>
      <c r="D38" s="26">
        <f>D36-D37</f>
        <v>15566790</v>
      </c>
      <c r="E38" s="26">
        <f>D38-C38</f>
        <v>-17540374</v>
      </c>
      <c r="F38" s="27">
        <f>IF(C38=0,0,E38/C38)</f>
        <v>-0.52980599606779966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0</v>
      </c>
      <c r="D40" s="22">
        <v>108959</v>
      </c>
      <c r="E40" s="22">
        <f>D40-C40</f>
        <v>108959</v>
      </c>
      <c r="F40" s="23">
        <f>IF(C40=0,0,E40/C40)</f>
        <v>0</v>
      </c>
    </row>
    <row r="41" spans="1:8" ht="24" customHeight="1" x14ac:dyDescent="0.25">
      <c r="A41" s="24"/>
      <c r="B41" s="25" t="s">
        <v>42</v>
      </c>
      <c r="C41" s="26">
        <f>+C38+C40</f>
        <v>33107164</v>
      </c>
      <c r="D41" s="26">
        <f>+D38+D40</f>
        <v>15675749</v>
      </c>
      <c r="E41" s="26">
        <f>D41-C41</f>
        <v>-17431415</v>
      </c>
      <c r="F41" s="27">
        <f>IF(C41=0,0,E41/C41)</f>
        <v>-0.52651489568843768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43821289</v>
      </c>
      <c r="D43" s="26">
        <f>D22+D29+D31+D32+D33+D41</f>
        <v>28413768</v>
      </c>
      <c r="E43" s="26">
        <f>D43-C43</f>
        <v>-15407521</v>
      </c>
      <c r="F43" s="27">
        <f>IF(C43=0,0,E43/C43)</f>
        <v>-0.3515989910748632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1693632</v>
      </c>
      <c r="D49" s="22">
        <v>1371389</v>
      </c>
      <c r="E49" s="22">
        <f t="shared" ref="E49:E56" si="2">D49-C49</f>
        <v>-322243</v>
      </c>
      <c r="F49" s="23">
        <f t="shared" ref="F49:F56" si="3">IF(C49=0,0,E49/C49)</f>
        <v>-0.19026742527302271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2929986</v>
      </c>
      <c r="D50" s="22">
        <v>3615081</v>
      </c>
      <c r="E50" s="22">
        <f t="shared" si="2"/>
        <v>685095</v>
      </c>
      <c r="F50" s="23">
        <f t="shared" si="3"/>
        <v>0.23382193635054913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0</v>
      </c>
      <c r="D51" s="22">
        <v>96881</v>
      </c>
      <c r="E51" s="22">
        <f t="shared" si="2"/>
        <v>96881</v>
      </c>
      <c r="F51" s="23">
        <f t="shared" si="3"/>
        <v>0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0</v>
      </c>
      <c r="D53" s="22">
        <v>0</v>
      </c>
      <c r="E53" s="22">
        <f t="shared" si="2"/>
        <v>0</v>
      </c>
      <c r="F53" s="23">
        <f t="shared" si="3"/>
        <v>0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165055</v>
      </c>
      <c r="D54" s="22">
        <v>174279</v>
      </c>
      <c r="E54" s="22">
        <f t="shared" si="2"/>
        <v>9224</v>
      </c>
      <c r="F54" s="23">
        <f t="shared" si="3"/>
        <v>5.588440216897398E-2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0</v>
      </c>
      <c r="D55" s="22">
        <v>0</v>
      </c>
      <c r="E55" s="22">
        <f t="shared" si="2"/>
        <v>0</v>
      </c>
      <c r="F55" s="23">
        <f t="shared" si="3"/>
        <v>0</v>
      </c>
    </row>
    <row r="56" spans="1:6" ht="24" customHeight="1" x14ac:dyDescent="0.25">
      <c r="A56" s="24"/>
      <c r="B56" s="25" t="s">
        <v>54</v>
      </c>
      <c r="C56" s="26">
        <f>SUM(C49:C55)</f>
        <v>4788673</v>
      </c>
      <c r="D56" s="26">
        <f>SUM(D49:D55)</f>
        <v>5257630</v>
      </c>
      <c r="E56" s="26">
        <f t="shared" si="2"/>
        <v>468957</v>
      </c>
      <c r="F56" s="27">
        <f t="shared" si="3"/>
        <v>9.7930470508218043E-2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4264339</v>
      </c>
      <c r="D60" s="22">
        <v>0</v>
      </c>
      <c r="E60" s="22">
        <f>D60-C60</f>
        <v>-4264339</v>
      </c>
      <c r="F60" s="23">
        <f>IF(C60=0,0,E60/C60)</f>
        <v>-1</v>
      </c>
    </row>
    <row r="61" spans="1:6" ht="24" customHeight="1" x14ac:dyDescent="0.25">
      <c r="A61" s="24"/>
      <c r="B61" s="25" t="s">
        <v>58</v>
      </c>
      <c r="C61" s="26">
        <f>SUM(C59:C60)</f>
        <v>4264339</v>
      </c>
      <c r="D61" s="26">
        <f>SUM(D59:D60)</f>
        <v>0</v>
      </c>
      <c r="E61" s="26">
        <f>D61-C61</f>
        <v>-4264339</v>
      </c>
      <c r="F61" s="27">
        <f>IF(C61=0,0,E61/C61)</f>
        <v>-1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1450000</v>
      </c>
      <c r="D63" s="22">
        <v>1304000</v>
      </c>
      <c r="E63" s="22">
        <f>D63-C63</f>
        <v>-146000</v>
      </c>
      <c r="F63" s="23">
        <f>IF(C63=0,0,E63/C63)</f>
        <v>-0.10068965517241379</v>
      </c>
    </row>
    <row r="64" spans="1:6" ht="24" customHeight="1" x14ac:dyDescent="0.2">
      <c r="A64" s="20">
        <v>4</v>
      </c>
      <c r="B64" s="21" t="s">
        <v>60</v>
      </c>
      <c r="C64" s="22">
        <v>508824</v>
      </c>
      <c r="D64" s="22">
        <v>338837</v>
      </c>
      <c r="E64" s="22">
        <f>D64-C64</f>
        <v>-169987</v>
      </c>
      <c r="F64" s="23">
        <f>IF(C64=0,0,E64/C64)</f>
        <v>-0.33407818813577977</v>
      </c>
    </row>
    <row r="65" spans="1:6" ht="24" customHeight="1" x14ac:dyDescent="0.25">
      <c r="A65" s="24"/>
      <c r="B65" s="25" t="s">
        <v>61</v>
      </c>
      <c r="C65" s="26">
        <f>SUM(C61:C64)</f>
        <v>6223163</v>
      </c>
      <c r="D65" s="26">
        <f>SUM(D61:D64)</f>
        <v>1642837</v>
      </c>
      <c r="E65" s="26">
        <f>D65-C65</f>
        <v>-4580326</v>
      </c>
      <c r="F65" s="27">
        <f>IF(C65=0,0,E65/C65)</f>
        <v>-0.7360125389612967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32809453</v>
      </c>
      <c r="D70" s="22">
        <v>21513301</v>
      </c>
      <c r="E70" s="22">
        <f>D70-C70</f>
        <v>-11296152</v>
      </c>
      <c r="F70" s="23">
        <f>IF(C70=0,0,E70/C70)</f>
        <v>-0.34429565162211023</v>
      </c>
    </row>
    <row r="71" spans="1:6" ht="24" customHeight="1" x14ac:dyDescent="0.2">
      <c r="A71" s="20">
        <v>2</v>
      </c>
      <c r="B71" s="21" t="s">
        <v>65</v>
      </c>
      <c r="C71" s="22">
        <v>0</v>
      </c>
      <c r="D71" s="22">
        <v>0</v>
      </c>
      <c r="E71" s="22">
        <f>D71-C71</f>
        <v>0</v>
      </c>
      <c r="F71" s="23">
        <f>IF(C71=0,0,E71/C71)</f>
        <v>0</v>
      </c>
    </row>
    <row r="72" spans="1:6" ht="24" customHeight="1" x14ac:dyDescent="0.2">
      <c r="A72" s="20">
        <v>3</v>
      </c>
      <c r="B72" s="21" t="s">
        <v>66</v>
      </c>
      <c r="C72" s="22">
        <v>0</v>
      </c>
      <c r="D72" s="22">
        <v>0</v>
      </c>
      <c r="E72" s="22">
        <f>D72-C72</f>
        <v>0</v>
      </c>
      <c r="F72" s="23">
        <f>IF(C72=0,0,E72/C72)</f>
        <v>0</v>
      </c>
    </row>
    <row r="73" spans="1:6" ht="24" customHeight="1" x14ac:dyDescent="0.25">
      <c r="A73" s="20"/>
      <c r="B73" s="25" t="s">
        <v>67</v>
      </c>
      <c r="C73" s="26">
        <f>SUM(C70:C72)</f>
        <v>32809453</v>
      </c>
      <c r="D73" s="26">
        <f>SUM(D70:D72)</f>
        <v>21513301</v>
      </c>
      <c r="E73" s="26">
        <f>D73-C73</f>
        <v>-11296152</v>
      </c>
      <c r="F73" s="27">
        <f>IF(C73=0,0,E73/C73)</f>
        <v>-0.34429565162211023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43821289</v>
      </c>
      <c r="D75" s="26">
        <f>D56+D65+D67+D73</f>
        <v>28413768</v>
      </c>
      <c r="E75" s="26">
        <f>D75-C75</f>
        <v>-15407521</v>
      </c>
      <c r="F75" s="27">
        <f>IF(C75=0,0,E75/C75)</f>
        <v>-0.3515989910748632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0" fitToHeight="0" orientation="portrait" horizontalDpi="1200" verticalDpi="1200" r:id="rId1"/>
  <headerFooter>
    <oddHeader>&amp;LOFFICE OF HEALTH CARE ACCESS&amp;CTWELVE MONTHS ACTUAL FILING&amp;RESSENT-SHARON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60248744</v>
      </c>
      <c r="D11" s="76">
        <v>56110242</v>
      </c>
      <c r="E11" s="76">
        <v>54951775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429185</v>
      </c>
      <c r="D12" s="185">
        <v>1205475</v>
      </c>
      <c r="E12" s="185">
        <v>934163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60677929</v>
      </c>
      <c r="D13" s="76">
        <f>+D11+D12</f>
        <v>57315717</v>
      </c>
      <c r="E13" s="76">
        <f>+E11+E12</f>
        <v>55885938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59153702</v>
      </c>
      <c r="D14" s="185">
        <v>58726061</v>
      </c>
      <c r="E14" s="185">
        <v>58755094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1524227</v>
      </c>
      <c r="D15" s="76">
        <f>+D13-D14</f>
        <v>-1410344</v>
      </c>
      <c r="E15" s="76">
        <f>+E13-E14</f>
        <v>-2869156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0</v>
      </c>
      <c r="D16" s="185">
        <v>0</v>
      </c>
      <c r="E16" s="185">
        <v>-15331206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1524227</v>
      </c>
      <c r="D17" s="76">
        <f>D15+D16</f>
        <v>-1410344</v>
      </c>
      <c r="E17" s="76">
        <f>E15+E16</f>
        <v>-18200362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2.5119957538432137E-2</v>
      </c>
      <c r="D20" s="189">
        <f>IF(+D27=0,0,+D24/+D27)</f>
        <v>-2.4606583914844857E-2</v>
      </c>
      <c r="E20" s="189">
        <f>IF(+E27=0,0,+E24/+E27)</f>
        <v>-7.0747748992645298E-2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0</v>
      </c>
      <c r="D21" s="189">
        <f>IF(+D27=0,0,+D26/+D27)</f>
        <v>0</v>
      </c>
      <c r="E21" s="189">
        <f>IF(+E27=0,0,+E26/+E27)</f>
        <v>-0.37803741373509753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2.5119957538432137E-2</v>
      </c>
      <c r="D22" s="189">
        <f>IF(+D27=0,0,+D28/+D27)</f>
        <v>-2.4606583914844857E-2</v>
      </c>
      <c r="E22" s="189">
        <f>IF(+E27=0,0,+E28/+E27)</f>
        <v>-0.44878516272774283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1524227</v>
      </c>
      <c r="D24" s="76">
        <f>+D15</f>
        <v>-1410344</v>
      </c>
      <c r="E24" s="76">
        <f>+E15</f>
        <v>-2869156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60677929</v>
      </c>
      <c r="D25" s="76">
        <f>+D13</f>
        <v>57315717</v>
      </c>
      <c r="E25" s="76">
        <f>+E13</f>
        <v>55885938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0</v>
      </c>
      <c r="D26" s="76">
        <f>+D16</f>
        <v>0</v>
      </c>
      <c r="E26" s="76">
        <f>+E16</f>
        <v>-15331206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60677929</v>
      </c>
      <c r="D27" s="76">
        <f>SUM(D25:D26)</f>
        <v>57315717</v>
      </c>
      <c r="E27" s="76">
        <f>SUM(E25:E26)</f>
        <v>40554732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1524227</v>
      </c>
      <c r="D28" s="76">
        <f>+D17</f>
        <v>-1410344</v>
      </c>
      <c r="E28" s="76">
        <f>+E17</f>
        <v>-18200362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17604993</v>
      </c>
      <c r="D31" s="76">
        <v>16068631</v>
      </c>
      <c r="E31" s="76">
        <v>21513301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17604993</v>
      </c>
      <c r="D32" s="76">
        <v>16068631</v>
      </c>
      <c r="E32" s="76">
        <v>21513301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1612174</v>
      </c>
      <c r="D33" s="76">
        <f>+D32-C32</f>
        <v>-1536362</v>
      </c>
      <c r="E33" s="76">
        <f>+E32-D32</f>
        <v>5444670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1.1008</v>
      </c>
      <c r="D34" s="193">
        <f>IF(C32=0,0,+D33/C32)</f>
        <v>-8.7268537965337442E-2</v>
      </c>
      <c r="E34" s="193">
        <f>IF(D32=0,0,+E33/D32)</f>
        <v>0.33883844865191065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1.9451293640492726</v>
      </c>
      <c r="D38" s="338">
        <f>IF(+D40=0,0,+D39/+D40)</f>
        <v>1.9318854825960778</v>
      </c>
      <c r="E38" s="338">
        <f>IF(+E40=0,0,+E39/+E40)</f>
        <v>1.4508702704712639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12350418</v>
      </c>
      <c r="D39" s="341">
        <v>10714886</v>
      </c>
      <c r="E39" s="341">
        <v>9013356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6349407</v>
      </c>
      <c r="D40" s="341">
        <v>5546336</v>
      </c>
      <c r="E40" s="341">
        <v>6212379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0.76080432784746899</v>
      </c>
      <c r="D42" s="343">
        <f>IF((D48/365)=0,0,+D45/(D48/365))</f>
        <v>6.8027522854084713E-2</v>
      </c>
      <c r="E42" s="343">
        <f>IF((E48/365)=0,0,+E45/(E48/365))</f>
        <v>2.0594136170243198</v>
      </c>
    </row>
    <row r="43" spans="1:14" ht="24" customHeight="1" x14ac:dyDescent="0.2">
      <c r="A43" s="339">
        <v>5</v>
      </c>
      <c r="B43" s="344" t="s">
        <v>16</v>
      </c>
      <c r="C43" s="345">
        <v>117062</v>
      </c>
      <c r="D43" s="345">
        <v>10465</v>
      </c>
      <c r="E43" s="345">
        <v>317130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117062</v>
      </c>
      <c r="D45" s="341">
        <f>+D43+D44</f>
        <v>10465</v>
      </c>
      <c r="E45" s="341">
        <f>+E43+E44</f>
        <v>317130</v>
      </c>
    </row>
    <row r="46" spans="1:14" ht="24" customHeight="1" x14ac:dyDescent="0.2">
      <c r="A46" s="339">
        <v>8</v>
      </c>
      <c r="B46" s="340" t="s">
        <v>334</v>
      </c>
      <c r="C46" s="341">
        <f>+C14</f>
        <v>59153702</v>
      </c>
      <c r="D46" s="341">
        <f>+D14</f>
        <v>58726061</v>
      </c>
      <c r="E46" s="341">
        <f>+E14</f>
        <v>58755094</v>
      </c>
    </row>
    <row r="47" spans="1:14" ht="24" customHeight="1" x14ac:dyDescent="0.2">
      <c r="A47" s="339">
        <v>9</v>
      </c>
      <c r="B47" s="340" t="s">
        <v>356</v>
      </c>
      <c r="C47" s="341">
        <v>2992573</v>
      </c>
      <c r="D47" s="341">
        <v>2576361</v>
      </c>
      <c r="E47" s="341">
        <v>2548585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56161129</v>
      </c>
      <c r="D48" s="341">
        <f>+D46-D47</f>
        <v>56149700</v>
      </c>
      <c r="E48" s="341">
        <f>+E46-E47</f>
        <v>56206509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45.974383465985611</v>
      </c>
      <c r="D50" s="350">
        <f>IF((D55/365)=0,0,+D54/(D55/365))</f>
        <v>45.808375768545076</v>
      </c>
      <c r="E50" s="350">
        <f>IF((E55/365)=0,0,+E54/(E55/365))</f>
        <v>43.585490550578214</v>
      </c>
    </row>
    <row r="51" spans="1:5" ht="24" customHeight="1" x14ac:dyDescent="0.2">
      <c r="A51" s="339">
        <v>12</v>
      </c>
      <c r="B51" s="344" t="s">
        <v>359</v>
      </c>
      <c r="C51" s="351">
        <v>7934530</v>
      </c>
      <c r="D51" s="351">
        <v>6904941</v>
      </c>
      <c r="E51" s="351">
        <v>6658799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137029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345766</v>
      </c>
      <c r="D53" s="341">
        <v>0</v>
      </c>
      <c r="E53" s="341">
        <v>96881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7588764</v>
      </c>
      <c r="D54" s="352">
        <f>+D51+D52-D53</f>
        <v>7041970</v>
      </c>
      <c r="E54" s="352">
        <f>+E51+E52-E53</f>
        <v>6561918</v>
      </c>
    </row>
    <row r="55" spans="1:5" ht="24" customHeight="1" x14ac:dyDescent="0.2">
      <c r="A55" s="339">
        <v>16</v>
      </c>
      <c r="B55" s="340" t="s">
        <v>75</v>
      </c>
      <c r="C55" s="341">
        <f>+C11</f>
        <v>60248744</v>
      </c>
      <c r="D55" s="341">
        <f>+D11</f>
        <v>56110242</v>
      </c>
      <c r="E55" s="341">
        <f>+E11</f>
        <v>54951775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41.265793552690148</v>
      </c>
      <c r="D57" s="355">
        <f>IF((D61/365)=0,0,+D58/(D61/365))</f>
        <v>36.053846057948668</v>
      </c>
      <c r="E57" s="355">
        <f>IF((E61/365)=0,0,+E58/(E61/365))</f>
        <v>40.342628911537631</v>
      </c>
    </row>
    <row r="58" spans="1:5" ht="24" customHeight="1" x14ac:dyDescent="0.2">
      <c r="A58" s="339">
        <v>18</v>
      </c>
      <c r="B58" s="340" t="s">
        <v>54</v>
      </c>
      <c r="C58" s="353">
        <f>+C40</f>
        <v>6349407</v>
      </c>
      <c r="D58" s="353">
        <f>+D40</f>
        <v>5546336</v>
      </c>
      <c r="E58" s="353">
        <f>+E40</f>
        <v>6212379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59153702</v>
      </c>
      <c r="D59" s="353">
        <f t="shared" si="0"/>
        <v>58726061</v>
      </c>
      <c r="E59" s="353">
        <f t="shared" si="0"/>
        <v>58755094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2992573</v>
      </c>
      <c r="D60" s="356">
        <f t="shared" si="0"/>
        <v>2576361</v>
      </c>
      <c r="E60" s="356">
        <f t="shared" si="0"/>
        <v>2548585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56161129</v>
      </c>
      <c r="D61" s="353">
        <f>+D59-D60</f>
        <v>56149700</v>
      </c>
      <c r="E61" s="353">
        <f>+E59-E60</f>
        <v>56206509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36.964371245138565</v>
      </c>
      <c r="D65" s="357">
        <f>IF(D67=0,0,(D66/D67)*100)</f>
        <v>36.0860915475917</v>
      </c>
      <c r="E65" s="357">
        <f>IF(E67=0,0,(E66/E67)*100)</f>
        <v>73.252936128848461</v>
      </c>
    </row>
    <row r="66" spans="1:5" ht="24" customHeight="1" x14ac:dyDescent="0.2">
      <c r="A66" s="339">
        <v>2</v>
      </c>
      <c r="B66" s="340" t="s">
        <v>67</v>
      </c>
      <c r="C66" s="353">
        <f>+C32</f>
        <v>17604993</v>
      </c>
      <c r="D66" s="353">
        <f>+D32</f>
        <v>16068631</v>
      </c>
      <c r="E66" s="353">
        <f>+E32</f>
        <v>21513301</v>
      </c>
    </row>
    <row r="67" spans="1:5" ht="24" customHeight="1" x14ac:dyDescent="0.2">
      <c r="A67" s="339">
        <v>3</v>
      </c>
      <c r="B67" s="340" t="s">
        <v>43</v>
      </c>
      <c r="C67" s="353">
        <v>47626924</v>
      </c>
      <c r="D67" s="353">
        <v>44528599</v>
      </c>
      <c r="E67" s="353">
        <v>29368517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16.160501891492149</v>
      </c>
      <c r="D69" s="357">
        <f>IF(D75=0,0,(D72/D75)*100)</f>
        <v>4.4417759469834914</v>
      </c>
      <c r="E69" s="357">
        <f>IF(E75=0,0,(E72/E75)*100)</f>
        <v>-251.94497953199573</v>
      </c>
    </row>
    <row r="70" spans="1:5" ht="24" customHeight="1" x14ac:dyDescent="0.2">
      <c r="A70" s="339">
        <v>5</v>
      </c>
      <c r="B70" s="340" t="s">
        <v>366</v>
      </c>
      <c r="C70" s="353">
        <f>+C28</f>
        <v>1524227</v>
      </c>
      <c r="D70" s="353">
        <f>+D28</f>
        <v>-1410344</v>
      </c>
      <c r="E70" s="353">
        <f>+E28</f>
        <v>-18200362</v>
      </c>
    </row>
    <row r="71" spans="1:5" ht="24" customHeight="1" x14ac:dyDescent="0.2">
      <c r="A71" s="339">
        <v>6</v>
      </c>
      <c r="B71" s="340" t="s">
        <v>356</v>
      </c>
      <c r="C71" s="356">
        <f>+C47</f>
        <v>2992573</v>
      </c>
      <c r="D71" s="356">
        <f>+D47</f>
        <v>2576361</v>
      </c>
      <c r="E71" s="356">
        <f>+E47</f>
        <v>2548585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4516800</v>
      </c>
      <c r="D72" s="353">
        <f>+D70+D71</f>
        <v>1166017</v>
      </c>
      <c r="E72" s="353">
        <f>+E70+E71</f>
        <v>-15651777</v>
      </c>
    </row>
    <row r="73" spans="1:5" ht="24" customHeight="1" x14ac:dyDescent="0.2">
      <c r="A73" s="339">
        <v>8</v>
      </c>
      <c r="B73" s="340" t="s">
        <v>54</v>
      </c>
      <c r="C73" s="341">
        <f>+C40</f>
        <v>6349407</v>
      </c>
      <c r="D73" s="341">
        <f>+D40</f>
        <v>5546336</v>
      </c>
      <c r="E73" s="341">
        <f>+E40</f>
        <v>6212379</v>
      </c>
    </row>
    <row r="74" spans="1:5" ht="24" customHeight="1" x14ac:dyDescent="0.2">
      <c r="A74" s="339">
        <v>9</v>
      </c>
      <c r="B74" s="340" t="s">
        <v>58</v>
      </c>
      <c r="C74" s="353">
        <v>21600220</v>
      </c>
      <c r="D74" s="353">
        <v>20704808</v>
      </c>
      <c r="E74" s="353">
        <v>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27949627</v>
      </c>
      <c r="D75" s="341">
        <f>+D73+D74</f>
        <v>26251144</v>
      </c>
      <c r="E75" s="341">
        <f>+E73+E74</f>
        <v>6212379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55.095275212508085</v>
      </c>
      <c r="D77" s="359">
        <f>IF(D80=0,0,(D78/D80)*100)</f>
        <v>56.303703333267251</v>
      </c>
      <c r="E77" s="359">
        <f>IF(E80=0,0,(E78/E80)*100)</f>
        <v>0</v>
      </c>
    </row>
    <row r="78" spans="1:5" ht="24" customHeight="1" x14ac:dyDescent="0.2">
      <c r="A78" s="339">
        <v>12</v>
      </c>
      <c r="B78" s="340" t="s">
        <v>58</v>
      </c>
      <c r="C78" s="341">
        <f>+C74</f>
        <v>21600220</v>
      </c>
      <c r="D78" s="341">
        <f>+D74</f>
        <v>20704808</v>
      </c>
      <c r="E78" s="341">
        <f>+E74</f>
        <v>0</v>
      </c>
    </row>
    <row r="79" spans="1:5" ht="24" customHeight="1" x14ac:dyDescent="0.2">
      <c r="A79" s="339">
        <v>13</v>
      </c>
      <c r="B79" s="340" t="s">
        <v>67</v>
      </c>
      <c r="C79" s="341">
        <f>+C32</f>
        <v>17604993</v>
      </c>
      <c r="D79" s="341">
        <f>+D32</f>
        <v>16068631</v>
      </c>
      <c r="E79" s="341">
        <f>+E32</f>
        <v>21513301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39205213</v>
      </c>
      <c r="D80" s="341">
        <f>+D78+D79</f>
        <v>36773439</v>
      </c>
      <c r="E80" s="341">
        <f>+E78+E79</f>
        <v>21513301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FILING&amp;R&amp;8SHARON HOSPITAL HOLDING CO,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5314</v>
      </c>
      <c r="D11" s="376">
        <v>1619</v>
      </c>
      <c r="E11" s="376">
        <v>1057</v>
      </c>
      <c r="F11" s="377">
        <v>22</v>
      </c>
      <c r="G11" s="377">
        <v>47</v>
      </c>
      <c r="H11" s="378">
        <f>IF(F11=0,0,$C11/(F11*365))</f>
        <v>0.66176836861768373</v>
      </c>
      <c r="I11" s="378">
        <f>IF(G11=0,0,$C11/(G11*365))</f>
        <v>0.30976391722529872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793</v>
      </c>
      <c r="D13" s="376">
        <v>320</v>
      </c>
      <c r="E13" s="376">
        <v>0</v>
      </c>
      <c r="F13" s="377">
        <v>7</v>
      </c>
      <c r="G13" s="377">
        <v>11</v>
      </c>
      <c r="H13" s="378">
        <f>IF(F13=0,0,$C13/(F13*365))</f>
        <v>0.31037181996086105</v>
      </c>
      <c r="I13" s="378">
        <f>IF(G13=0,0,$C13/(G13*365))</f>
        <v>0.1975093399750934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3646</v>
      </c>
      <c r="D16" s="376">
        <v>317</v>
      </c>
      <c r="E16" s="376">
        <v>305</v>
      </c>
      <c r="F16" s="377">
        <v>12</v>
      </c>
      <c r="G16" s="377">
        <v>12</v>
      </c>
      <c r="H16" s="378">
        <f t="shared" si="0"/>
        <v>0.83242009132420092</v>
      </c>
      <c r="I16" s="378">
        <f t="shared" si="0"/>
        <v>0.83242009132420092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3646</v>
      </c>
      <c r="D17" s="381">
        <f>SUM(D15:D16)</f>
        <v>317</v>
      </c>
      <c r="E17" s="381">
        <f>SUM(E15:E16)</f>
        <v>305</v>
      </c>
      <c r="F17" s="381">
        <f>SUM(F15:F16)</f>
        <v>12</v>
      </c>
      <c r="G17" s="381">
        <f>SUM(G15:G16)</f>
        <v>12</v>
      </c>
      <c r="H17" s="382">
        <f t="shared" si="0"/>
        <v>0.83242009132420092</v>
      </c>
      <c r="I17" s="382">
        <f t="shared" si="0"/>
        <v>0.83242009132420092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681</v>
      </c>
      <c r="D21" s="376">
        <v>270</v>
      </c>
      <c r="E21" s="376">
        <v>265</v>
      </c>
      <c r="F21" s="377">
        <v>4</v>
      </c>
      <c r="G21" s="377">
        <v>8</v>
      </c>
      <c r="H21" s="378">
        <f>IF(F21=0,0,$C21/(F21*365))</f>
        <v>0.46643835616438356</v>
      </c>
      <c r="I21" s="378">
        <f>IF(G21=0,0,$C21/(G21*365))</f>
        <v>0.23321917808219178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595</v>
      </c>
      <c r="D23" s="376">
        <v>260</v>
      </c>
      <c r="E23" s="376">
        <v>259</v>
      </c>
      <c r="F23" s="377">
        <v>4</v>
      </c>
      <c r="G23" s="377">
        <v>16</v>
      </c>
      <c r="H23" s="378">
        <f>IF(F23=0,0,$C23/(F23*365))</f>
        <v>0.40753424657534248</v>
      </c>
      <c r="I23" s="378">
        <f>IF(G23=0,0,$C23/(G23*365))</f>
        <v>0.10188356164383562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10434</v>
      </c>
      <c r="D31" s="384">
        <f>SUM(D10:D29)-D13-D17-D23</f>
        <v>2206</v>
      </c>
      <c r="E31" s="384">
        <f>SUM(E10:E29)-E17-E23</f>
        <v>1627</v>
      </c>
      <c r="F31" s="384">
        <f>SUM(F10:F29)-F17-F23</f>
        <v>45</v>
      </c>
      <c r="G31" s="384">
        <f>SUM(G10:G29)-G17-G23</f>
        <v>78</v>
      </c>
      <c r="H31" s="385">
        <f>IF(F31=0,0,$C31/(F31*365))</f>
        <v>0.63525114155251139</v>
      </c>
      <c r="I31" s="385">
        <f>IF(G31=0,0,$C31/(G31*365))</f>
        <v>0.36649104320337195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11029</v>
      </c>
      <c r="D33" s="384">
        <f>SUM(D10:D29)-D13-D17</f>
        <v>2466</v>
      </c>
      <c r="E33" s="384">
        <f>SUM(E10:E29)-E17</f>
        <v>1886</v>
      </c>
      <c r="F33" s="384">
        <f>SUM(F10:F29)-F17</f>
        <v>49</v>
      </c>
      <c r="G33" s="384">
        <f>SUM(G10:G29)-G17</f>
        <v>94</v>
      </c>
      <c r="H33" s="385">
        <f>IF(F33=0,0,$C33/(F33*365))</f>
        <v>0.61666200726866094</v>
      </c>
      <c r="I33" s="385">
        <f>IF(G33=0,0,$C33/(G33*365))</f>
        <v>0.32145147187408918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11029</v>
      </c>
      <c r="D36" s="384">
        <f t="shared" si="1"/>
        <v>2466</v>
      </c>
      <c r="E36" s="384">
        <f t="shared" si="1"/>
        <v>1886</v>
      </c>
      <c r="F36" s="384">
        <f t="shared" si="1"/>
        <v>49</v>
      </c>
      <c r="G36" s="384">
        <f t="shared" si="1"/>
        <v>94</v>
      </c>
      <c r="H36" s="387">
        <f t="shared" si="1"/>
        <v>0.61666200726866094</v>
      </c>
      <c r="I36" s="387">
        <f t="shared" si="1"/>
        <v>0.32145147187408918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11690</v>
      </c>
      <c r="D37" s="384">
        <v>2616</v>
      </c>
      <c r="E37" s="384">
        <v>2041</v>
      </c>
      <c r="F37" s="386">
        <v>49</v>
      </c>
      <c r="G37" s="386">
        <v>94</v>
      </c>
      <c r="H37" s="385">
        <f>IF(F37=0,0,$C37/(F37*365))</f>
        <v>0.6536203522504892</v>
      </c>
      <c r="I37" s="385">
        <f>IF(G37=0,0,$C37/(G37*365))</f>
        <v>0.34071699213057416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-661</v>
      </c>
      <c r="D38" s="384">
        <f t="shared" si="2"/>
        <v>-150</v>
      </c>
      <c r="E38" s="384">
        <f t="shared" si="2"/>
        <v>-155</v>
      </c>
      <c r="F38" s="384">
        <f t="shared" si="2"/>
        <v>0</v>
      </c>
      <c r="G38" s="384">
        <f t="shared" si="2"/>
        <v>0</v>
      </c>
      <c r="H38" s="387">
        <f t="shared" si="2"/>
        <v>-3.6958344981828262E-2</v>
      </c>
      <c r="I38" s="387">
        <f t="shared" si="2"/>
        <v>-1.926552025648498E-2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-5.6544054747647565E-2</v>
      </c>
      <c r="D40" s="389">
        <f t="shared" si="3"/>
        <v>-5.7339449541284407E-2</v>
      </c>
      <c r="E40" s="389">
        <f t="shared" si="3"/>
        <v>-7.5943165115139641E-2</v>
      </c>
      <c r="F40" s="389">
        <f t="shared" si="3"/>
        <v>0</v>
      </c>
      <c r="G40" s="389">
        <f t="shared" si="3"/>
        <v>0</v>
      </c>
      <c r="H40" s="389">
        <f t="shared" si="3"/>
        <v>-5.6544054747647433E-2</v>
      </c>
      <c r="I40" s="389">
        <f t="shared" si="3"/>
        <v>-5.6544054747647537E-2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94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scale="70" fitToHeight="0" orientation="landscape" horizontalDpi="1200" verticalDpi="1200" r:id="rId1"/>
  <headerFooter>
    <oddHeader>&amp;LOFFICE OF HEALTH CARE ACCESS&amp;CTWELVE MONTHS ACTUAL FILING&amp;RESSENT-SHARON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361</v>
      </c>
      <c r="D12" s="409">
        <v>349</v>
      </c>
      <c r="E12" s="409">
        <f>+D12-C12</f>
        <v>-12</v>
      </c>
      <c r="F12" s="410">
        <f>IF(C12=0,0,+E12/C12)</f>
        <v>-3.3240997229916899E-2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1487</v>
      </c>
      <c r="D13" s="409">
        <v>1458</v>
      </c>
      <c r="E13" s="409">
        <f>+D13-C13</f>
        <v>-29</v>
      </c>
      <c r="F13" s="410">
        <f>IF(C13=0,0,+E13/C13)</f>
        <v>-1.9502353732347006E-2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3161</v>
      </c>
      <c r="D14" s="409">
        <v>3867</v>
      </c>
      <c r="E14" s="409">
        <f>+D14-C14</f>
        <v>706</v>
      </c>
      <c r="F14" s="410">
        <f>IF(C14=0,0,+E14/C14)</f>
        <v>0.22334704207529263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5009</v>
      </c>
      <c r="D16" s="401">
        <f>SUM(D12:D15)</f>
        <v>5674</v>
      </c>
      <c r="E16" s="401">
        <f>+D16-C16</f>
        <v>665</v>
      </c>
      <c r="F16" s="402">
        <f>IF(C16=0,0,+E16/C16)</f>
        <v>0.13276103014573767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175</v>
      </c>
      <c r="D19" s="409">
        <v>188</v>
      </c>
      <c r="E19" s="409">
        <f>+D19-C19</f>
        <v>13</v>
      </c>
      <c r="F19" s="410">
        <f>IF(C19=0,0,+E19/C19)</f>
        <v>7.4285714285714288E-2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1668</v>
      </c>
      <c r="D20" s="409">
        <v>1615</v>
      </c>
      <c r="E20" s="409">
        <f>+D20-C20</f>
        <v>-53</v>
      </c>
      <c r="F20" s="410">
        <f>IF(C20=0,0,+E20/C20)</f>
        <v>-3.1774580335731412E-2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92</v>
      </c>
      <c r="D21" s="409">
        <v>97</v>
      </c>
      <c r="E21" s="409">
        <f>+D21-C21</f>
        <v>5</v>
      </c>
      <c r="F21" s="410">
        <f>IF(C21=0,0,+E21/C21)</f>
        <v>5.434782608695652E-2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1935</v>
      </c>
      <c r="D23" s="401">
        <f>SUM(D19:D22)</f>
        <v>1900</v>
      </c>
      <c r="E23" s="401">
        <f>+D23-C23</f>
        <v>-35</v>
      </c>
      <c r="F23" s="402">
        <f>IF(C23=0,0,+E23/C23)</f>
        <v>-1.8087855297157621E-2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409</v>
      </c>
      <c r="D63" s="409">
        <v>322</v>
      </c>
      <c r="E63" s="409">
        <f>+D63-C63</f>
        <v>-87</v>
      </c>
      <c r="F63" s="410">
        <f>IF(C63=0,0,+E63/C63)</f>
        <v>-0.21271393643031786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1297</v>
      </c>
      <c r="D64" s="409">
        <v>1271</v>
      </c>
      <c r="E64" s="409">
        <f>+D64-C64</f>
        <v>-26</v>
      </c>
      <c r="F64" s="410">
        <f>IF(C64=0,0,+E64/C64)</f>
        <v>-2.0046260601387818E-2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1706</v>
      </c>
      <c r="D65" s="401">
        <f>SUM(D63:D64)</f>
        <v>1593</v>
      </c>
      <c r="E65" s="401">
        <f>+D65-C65</f>
        <v>-113</v>
      </c>
      <c r="F65" s="402">
        <f>IF(C65=0,0,+E65/C65)</f>
        <v>-6.6236811254396247E-2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96</v>
      </c>
      <c r="D68" s="409">
        <v>86</v>
      </c>
      <c r="E68" s="409">
        <f>+D68-C68</f>
        <v>-10</v>
      </c>
      <c r="F68" s="410">
        <f>IF(C68=0,0,+E68/C68)</f>
        <v>-0.10416666666666667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860</v>
      </c>
      <c r="D69" s="409">
        <v>776</v>
      </c>
      <c r="E69" s="409">
        <f>+D69-C69</f>
        <v>-84</v>
      </c>
      <c r="F69" s="412">
        <f>IF(C69=0,0,+E69/C69)</f>
        <v>-9.7674418604651161E-2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956</v>
      </c>
      <c r="D70" s="401">
        <f>SUM(D68:D69)</f>
        <v>862</v>
      </c>
      <c r="E70" s="401">
        <f>+D70-C70</f>
        <v>-94</v>
      </c>
      <c r="F70" s="402">
        <f>IF(C70=0,0,+E70/C70)</f>
        <v>-9.832635983263599E-2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1593</v>
      </c>
      <c r="D73" s="376">
        <v>1561</v>
      </c>
      <c r="E73" s="409">
        <f>+D73-C73</f>
        <v>-32</v>
      </c>
      <c r="F73" s="410">
        <f>IF(C73=0,0,+E73/C73)</f>
        <v>-2.0087884494664157E-2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14825</v>
      </c>
      <c r="D74" s="376">
        <v>14819</v>
      </c>
      <c r="E74" s="409">
        <f>+D74-C74</f>
        <v>-6</v>
      </c>
      <c r="F74" s="410">
        <f>IF(C74=0,0,+E74/C74)</f>
        <v>-4.0472175379426646E-4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16418</v>
      </c>
      <c r="D75" s="401">
        <f>SUM(D73:D74)</f>
        <v>16380</v>
      </c>
      <c r="E75" s="401">
        <f>SUM(E73:E74)</f>
        <v>-38</v>
      </c>
      <c r="F75" s="402">
        <f>IF(C75=0,0,+E75/C75)</f>
        <v>-2.3145328298209283E-3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468</v>
      </c>
      <c r="D90" s="376">
        <v>383</v>
      </c>
      <c r="E90" s="409">
        <f t="shared" si="0"/>
        <v>-85</v>
      </c>
      <c r="F90" s="410">
        <f t="shared" si="1"/>
        <v>-0.18162393162393162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1669</v>
      </c>
      <c r="D91" s="376">
        <v>1652</v>
      </c>
      <c r="E91" s="409">
        <f t="shared" si="0"/>
        <v>-17</v>
      </c>
      <c r="F91" s="410">
        <f t="shared" si="1"/>
        <v>-1.018573996405033E-2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2137</v>
      </c>
      <c r="D92" s="381">
        <f>SUM(D79:D91)</f>
        <v>2035</v>
      </c>
      <c r="E92" s="401">
        <f t="shared" si="0"/>
        <v>-102</v>
      </c>
      <c r="F92" s="402">
        <f t="shared" si="1"/>
        <v>-4.7730463266261111E-2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8931</v>
      </c>
      <c r="D95" s="414">
        <v>9161</v>
      </c>
      <c r="E95" s="415">
        <f t="shared" ref="E95:E100" si="2">+D95-C95</f>
        <v>230</v>
      </c>
      <c r="F95" s="412">
        <f t="shared" ref="F95:F100" si="3">IF(C95=0,0,+E95/C95)</f>
        <v>2.5752995185309595E-2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4457</v>
      </c>
      <c r="D96" s="414">
        <v>4325</v>
      </c>
      <c r="E96" s="409">
        <f t="shared" si="2"/>
        <v>-132</v>
      </c>
      <c r="F96" s="410">
        <f t="shared" si="3"/>
        <v>-2.9616333856854388E-2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468</v>
      </c>
      <c r="D97" s="414">
        <v>1131</v>
      </c>
      <c r="E97" s="409">
        <f t="shared" si="2"/>
        <v>663</v>
      </c>
      <c r="F97" s="410">
        <f t="shared" si="3"/>
        <v>1.4166666666666667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0</v>
      </c>
      <c r="D98" s="414">
        <v>0</v>
      </c>
      <c r="E98" s="409">
        <f t="shared" si="2"/>
        <v>0</v>
      </c>
      <c r="F98" s="410">
        <f t="shared" si="3"/>
        <v>0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47995</v>
      </c>
      <c r="D99" s="414">
        <v>47531</v>
      </c>
      <c r="E99" s="409">
        <f t="shared" si="2"/>
        <v>-464</v>
      </c>
      <c r="F99" s="410">
        <f t="shared" si="3"/>
        <v>-9.6676737160120846E-3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61851</v>
      </c>
      <c r="D100" s="381">
        <f>SUM(D95:D99)</f>
        <v>62148</v>
      </c>
      <c r="E100" s="401">
        <f t="shared" si="2"/>
        <v>297</v>
      </c>
      <c r="F100" s="402">
        <f t="shared" si="3"/>
        <v>4.8018625406218169E-3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102.6</v>
      </c>
      <c r="D104" s="416">
        <v>95</v>
      </c>
      <c r="E104" s="417">
        <f>+D104-C104</f>
        <v>-7.5999999999999943</v>
      </c>
      <c r="F104" s="410">
        <f>IF(C104=0,0,+E104/C104)</f>
        <v>-7.4074074074074028E-2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0</v>
      </c>
      <c r="D105" s="416">
        <v>0</v>
      </c>
      <c r="E105" s="417">
        <f>+D105-C105</f>
        <v>0</v>
      </c>
      <c r="F105" s="410">
        <f>IF(C105=0,0,+E105/C105)</f>
        <v>0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157</v>
      </c>
      <c r="D106" s="416">
        <v>158.9</v>
      </c>
      <c r="E106" s="417">
        <f>+D106-C106</f>
        <v>1.9000000000000057</v>
      </c>
      <c r="F106" s="410">
        <f>IF(C106=0,0,+E106/C106)</f>
        <v>1.2101910828025513E-2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259.60000000000002</v>
      </c>
      <c r="D107" s="418">
        <f>SUM(D104:D106)</f>
        <v>253.9</v>
      </c>
      <c r="E107" s="418">
        <f>+D107-C107</f>
        <v>-5.7000000000000171</v>
      </c>
      <c r="F107" s="402">
        <f>IF(C107=0,0,+E107/C107)</f>
        <v>-2.1956856702619477E-2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FILING&amp;RESSENT-SHARON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1297</v>
      </c>
      <c r="D12" s="409">
        <v>1271</v>
      </c>
      <c r="E12" s="409">
        <f>+D12-C12</f>
        <v>-26</v>
      </c>
      <c r="F12" s="410">
        <f>IF(C12=0,0,+E12/C12)</f>
        <v>-2.0046260601387818E-2</v>
      </c>
    </row>
    <row r="13" spans="1:6" ht="15.75" customHeight="1" x14ac:dyDescent="0.25">
      <c r="A13" s="374"/>
      <c r="B13" s="399" t="s">
        <v>622</v>
      </c>
      <c r="C13" s="401">
        <f>SUM(C11:C12)</f>
        <v>1297</v>
      </c>
      <c r="D13" s="401">
        <f>SUM(D11:D12)</f>
        <v>1271</v>
      </c>
      <c r="E13" s="401">
        <f>+D13-C13</f>
        <v>-26</v>
      </c>
      <c r="F13" s="402">
        <f>IF(C13=0,0,+E13/C13)</f>
        <v>-2.0046260601387818E-2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860</v>
      </c>
      <c r="D16" s="409">
        <v>776</v>
      </c>
      <c r="E16" s="409">
        <f>+D16-C16</f>
        <v>-84</v>
      </c>
      <c r="F16" s="410">
        <f>IF(C16=0,0,+E16/C16)</f>
        <v>-9.7674418604651161E-2</v>
      </c>
    </row>
    <row r="17" spans="1:6" ht="15.75" customHeight="1" x14ac:dyDescent="0.25">
      <c r="A17" s="374"/>
      <c r="B17" s="399" t="s">
        <v>623</v>
      </c>
      <c r="C17" s="401">
        <f>SUM(C15:C16)</f>
        <v>860</v>
      </c>
      <c r="D17" s="401">
        <f>SUM(D15:D16)</f>
        <v>776</v>
      </c>
      <c r="E17" s="401">
        <f>+D17-C17</f>
        <v>-84</v>
      </c>
      <c r="F17" s="402">
        <f>IF(C17=0,0,+E17/C17)</f>
        <v>-9.7674418604651161E-2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14825</v>
      </c>
      <c r="D20" s="409">
        <v>14819</v>
      </c>
      <c r="E20" s="409">
        <f>+D20-C20</f>
        <v>-6</v>
      </c>
      <c r="F20" s="410">
        <f>IF(C20=0,0,+E20/C20)</f>
        <v>-4.0472175379426646E-4</v>
      </c>
    </row>
    <row r="21" spans="1:6" ht="15.75" customHeight="1" x14ac:dyDescent="0.25">
      <c r="A21" s="374"/>
      <c r="B21" s="399" t="s">
        <v>625</v>
      </c>
      <c r="C21" s="401">
        <f>SUM(C19:C20)</f>
        <v>14825</v>
      </c>
      <c r="D21" s="401">
        <f>SUM(D19:D20)</f>
        <v>14819</v>
      </c>
      <c r="E21" s="401">
        <f>+D21-C21</f>
        <v>-6</v>
      </c>
      <c r="F21" s="402">
        <f>IF(C21=0,0,+E21/C21)</f>
        <v>-4.0472175379426646E-4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626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627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628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scale="82" fitToHeight="0" orientation="portrait" horizontalDpi="1200" verticalDpi="1200" r:id="rId1"/>
  <headerFooter>
    <oddHeader>&amp;LOFFICE OF HEALTH CARE ACCESS&amp;CTWELVE MONTHS ACTUAL FILING&amp;RESSENT-SHARON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38229340</v>
      </c>
      <c r="D15" s="448">
        <v>36430178</v>
      </c>
      <c r="E15" s="448">
        <f t="shared" ref="E15:E24" si="0">D15-C15</f>
        <v>-1799162</v>
      </c>
      <c r="F15" s="449">
        <f t="shared" ref="F15:F24" si="1">IF(C15=0,0,E15/C15)</f>
        <v>-4.7062334845435469E-2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16145227</v>
      </c>
      <c r="D16" s="448">
        <v>15328148</v>
      </c>
      <c r="E16" s="448">
        <f t="shared" si="0"/>
        <v>-817079</v>
      </c>
      <c r="F16" s="449">
        <f t="shared" si="1"/>
        <v>-5.0608083738927917E-2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0.42232554891086271</v>
      </c>
      <c r="D17" s="453">
        <f>IF(LN_IA1=0,0,LN_IA2/LN_IA1)</f>
        <v>0.4207541341137559</v>
      </c>
      <c r="E17" s="454">
        <f t="shared" si="0"/>
        <v>-1.5714147971068182E-3</v>
      </c>
      <c r="F17" s="449">
        <f t="shared" si="1"/>
        <v>-3.7208613145933204E-3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1461</v>
      </c>
      <c r="D18" s="456">
        <v>1410</v>
      </c>
      <c r="E18" s="456">
        <f t="shared" si="0"/>
        <v>-51</v>
      </c>
      <c r="F18" s="449">
        <f t="shared" si="1"/>
        <v>-3.4907597535934289E-2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1.1961999999999999</v>
      </c>
      <c r="D19" s="459">
        <v>1.1719999999999999</v>
      </c>
      <c r="E19" s="460">
        <f t="shared" si="0"/>
        <v>-2.4199999999999999E-2</v>
      </c>
      <c r="F19" s="449">
        <f t="shared" si="1"/>
        <v>-2.023073064704899E-2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1747.6481999999999</v>
      </c>
      <c r="D20" s="463">
        <f>LN_IA4*LN_IA5</f>
        <v>1652.52</v>
      </c>
      <c r="E20" s="463">
        <f t="shared" si="0"/>
        <v>-95.128199999999879</v>
      </c>
      <c r="F20" s="449">
        <f t="shared" si="1"/>
        <v>-5.4432121979698135E-2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9238.2591645160628</v>
      </c>
      <c r="D21" s="465">
        <f>IF(LN_IA6=0,0,LN_IA2/LN_IA6)</f>
        <v>9275.6202648076869</v>
      </c>
      <c r="E21" s="465">
        <f t="shared" si="0"/>
        <v>37.361100291624098</v>
      </c>
      <c r="F21" s="449">
        <f t="shared" si="1"/>
        <v>4.044171052824239E-3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8225</v>
      </c>
      <c r="D22" s="456">
        <v>7687</v>
      </c>
      <c r="E22" s="456">
        <f t="shared" si="0"/>
        <v>-538</v>
      </c>
      <c r="F22" s="449">
        <f t="shared" si="1"/>
        <v>-6.5410334346504562E-2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1962.9455319148935</v>
      </c>
      <c r="D23" s="465">
        <f>IF(LN_IA8=0,0,LN_IA2/LN_IA8)</f>
        <v>1994.0351242357226</v>
      </c>
      <c r="E23" s="465">
        <f t="shared" si="0"/>
        <v>31.08959232082907</v>
      </c>
      <c r="F23" s="449">
        <f t="shared" si="1"/>
        <v>1.5838234844193836E-2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5.6297056810403836</v>
      </c>
      <c r="D24" s="466">
        <f>IF(LN_IA4=0,0,LN_IA8/LN_IA4)</f>
        <v>5.4517730496453902</v>
      </c>
      <c r="E24" s="466">
        <f t="shared" si="0"/>
        <v>-0.17793263139499338</v>
      </c>
      <c r="F24" s="449">
        <f t="shared" si="1"/>
        <v>-3.1606027290952625E-2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35294487</v>
      </c>
      <c r="D27" s="448">
        <v>34940236</v>
      </c>
      <c r="E27" s="448">
        <f t="shared" ref="E27:E32" si="2">D27-C27</f>
        <v>-354251</v>
      </c>
      <c r="F27" s="449">
        <f t="shared" ref="F27:F32" si="3">IF(C27=0,0,E27/C27)</f>
        <v>-1.0037006629392289E-2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7500871</v>
      </c>
      <c r="D28" s="448">
        <v>7089829</v>
      </c>
      <c r="E28" s="448">
        <f t="shared" si="2"/>
        <v>-411042</v>
      </c>
      <c r="F28" s="449">
        <f t="shared" si="3"/>
        <v>-5.4799235982061281E-2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0.21252245428584923</v>
      </c>
      <c r="D29" s="453">
        <f>IF(LN_IA11=0,0,LN_IA12/LN_IA11)</f>
        <v>0.20291302554453267</v>
      </c>
      <c r="E29" s="454">
        <f t="shared" si="2"/>
        <v>-9.6094287413165669E-3</v>
      </c>
      <c r="F29" s="449">
        <f t="shared" si="3"/>
        <v>-4.5216063279560993E-2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0.92323035134794373</v>
      </c>
      <c r="D30" s="453">
        <f>IF(LN_IA1=0,0,LN_IA11/LN_IA1)</f>
        <v>0.95910143507945533</v>
      </c>
      <c r="E30" s="454">
        <f t="shared" si="2"/>
        <v>3.5871083731511599E-2</v>
      </c>
      <c r="F30" s="449">
        <f t="shared" si="3"/>
        <v>3.8853882651430111E-2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1348.8395433193457</v>
      </c>
      <c r="D31" s="463">
        <f>LN_IA14*LN_IA4</f>
        <v>1352.3330234620321</v>
      </c>
      <c r="E31" s="463">
        <f t="shared" si="2"/>
        <v>3.4934801426863942</v>
      </c>
      <c r="F31" s="449">
        <f t="shared" si="3"/>
        <v>2.589989417191406E-3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5560.9809462889725</v>
      </c>
      <c r="D32" s="465">
        <f>IF(LN_IA15=0,0,LN_IA12/LN_IA15)</f>
        <v>5242.6649922736678</v>
      </c>
      <c r="E32" s="465">
        <f t="shared" si="2"/>
        <v>-318.31595401530467</v>
      </c>
      <c r="F32" s="449">
        <f t="shared" si="3"/>
        <v>-5.7240971887833475E-2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73523827</v>
      </c>
      <c r="D35" s="448">
        <f>LN_IA1+LN_IA11</f>
        <v>71370414</v>
      </c>
      <c r="E35" s="448">
        <f>D35-C35</f>
        <v>-2153413</v>
      </c>
      <c r="F35" s="449">
        <f>IF(C35=0,0,E35/C35)</f>
        <v>-2.9288641354319057E-2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23646098</v>
      </c>
      <c r="D36" s="448">
        <f>LN_IA2+LN_IA12</f>
        <v>22417977</v>
      </c>
      <c r="E36" s="448">
        <f>D36-C36</f>
        <v>-1228121</v>
      </c>
      <c r="F36" s="449">
        <f>IF(C36=0,0,E36/C36)</f>
        <v>-5.1937575493428131E-2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49877729</v>
      </c>
      <c r="D37" s="448">
        <f>LN_IA17-LN_IA18</f>
        <v>48952437</v>
      </c>
      <c r="E37" s="448">
        <f>D37-C37</f>
        <v>-925292</v>
      </c>
      <c r="F37" s="449">
        <f>IF(C37=0,0,E37/C37)</f>
        <v>-1.855120548892673E-2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12430476</v>
      </c>
      <c r="D42" s="448">
        <v>9870758</v>
      </c>
      <c r="E42" s="448">
        <f t="shared" ref="E42:E53" si="4">D42-C42</f>
        <v>-2559718</v>
      </c>
      <c r="F42" s="449">
        <f t="shared" ref="F42:F53" si="5">IF(C42=0,0,E42/C42)</f>
        <v>-0.20592276595039483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5086670</v>
      </c>
      <c r="D43" s="448">
        <v>4688042</v>
      </c>
      <c r="E43" s="448">
        <f t="shared" si="4"/>
        <v>-398628</v>
      </c>
      <c r="F43" s="449">
        <f t="shared" si="5"/>
        <v>-7.836718324562042E-2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0.40920959100842158</v>
      </c>
      <c r="D44" s="453">
        <f>IF(LN_IB1=0,0,LN_IB2/LN_IB1)</f>
        <v>0.47494245122816303</v>
      </c>
      <c r="E44" s="454">
        <f t="shared" si="4"/>
        <v>6.5732860219741451E-2</v>
      </c>
      <c r="F44" s="449">
        <f t="shared" si="5"/>
        <v>0.1606337233146343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703</v>
      </c>
      <c r="D45" s="456">
        <v>647</v>
      </c>
      <c r="E45" s="456">
        <f t="shared" si="4"/>
        <v>-56</v>
      </c>
      <c r="F45" s="449">
        <f t="shared" si="5"/>
        <v>-7.9658605974395447E-2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0.92369999999999997</v>
      </c>
      <c r="D46" s="459">
        <v>0.87690000000000001</v>
      </c>
      <c r="E46" s="460">
        <f t="shared" si="4"/>
        <v>-4.6799999999999953E-2</v>
      </c>
      <c r="F46" s="449">
        <f t="shared" si="5"/>
        <v>-5.066580058460534E-2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649.36109999999996</v>
      </c>
      <c r="D47" s="463">
        <f>LN_IB4*LN_IB5</f>
        <v>567.35429999999997</v>
      </c>
      <c r="E47" s="463">
        <f t="shared" si="4"/>
        <v>-82.006799999999998</v>
      </c>
      <c r="F47" s="449">
        <f t="shared" si="5"/>
        <v>-0.12628843951385446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7833.3457301338194</v>
      </c>
      <c r="D48" s="465">
        <f>IF(LN_IB6=0,0,LN_IB2/LN_IB6)</f>
        <v>8262.9884007224409</v>
      </c>
      <c r="E48" s="465">
        <f t="shared" si="4"/>
        <v>429.64267058862151</v>
      </c>
      <c r="F48" s="449">
        <f t="shared" si="5"/>
        <v>5.4847913699997232E-2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1404.9134343822434</v>
      </c>
      <c r="D49" s="465">
        <f>LN_IA7-LN_IB7</f>
        <v>1012.631864085246</v>
      </c>
      <c r="E49" s="465">
        <f t="shared" si="4"/>
        <v>-392.28157029699742</v>
      </c>
      <c r="F49" s="449">
        <f t="shared" si="5"/>
        <v>-0.2792211681494014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912296.13315523136</v>
      </c>
      <c r="D50" s="479">
        <f>LN_IB8*LN_IB6</f>
        <v>574521.04240577982</v>
      </c>
      <c r="E50" s="479">
        <f t="shared" si="4"/>
        <v>-337775.09074945154</v>
      </c>
      <c r="F50" s="449">
        <f t="shared" si="5"/>
        <v>-0.37024720205843242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2110</v>
      </c>
      <c r="D51" s="456">
        <v>1868</v>
      </c>
      <c r="E51" s="456">
        <f t="shared" si="4"/>
        <v>-242</v>
      </c>
      <c r="F51" s="449">
        <f t="shared" si="5"/>
        <v>-0.11469194312796209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2410.7440758293837</v>
      </c>
      <c r="D52" s="465">
        <f>IF(LN_IB10=0,0,LN_IB2/LN_IB10)</f>
        <v>2509.6584582441114</v>
      </c>
      <c r="E52" s="465">
        <f t="shared" si="4"/>
        <v>98.914382414727697</v>
      </c>
      <c r="F52" s="449">
        <f t="shared" si="5"/>
        <v>4.1030644192580894E-2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3.0014224751066858</v>
      </c>
      <c r="D53" s="466">
        <f>IF(LN_IB4=0,0,LN_IB10/LN_IB4)</f>
        <v>2.8871715610510047</v>
      </c>
      <c r="E53" s="466">
        <f t="shared" si="4"/>
        <v>-0.11425091405568111</v>
      </c>
      <c r="F53" s="449">
        <f t="shared" si="5"/>
        <v>-3.8065588901016023E-2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39811467</v>
      </c>
      <c r="D56" s="448">
        <v>41221496</v>
      </c>
      <c r="E56" s="448">
        <f t="shared" ref="E56:E63" si="6">D56-C56</f>
        <v>1410029</v>
      </c>
      <c r="F56" s="449">
        <f t="shared" ref="F56:F63" si="7">IF(C56=0,0,E56/C56)</f>
        <v>3.5417659942046348E-2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16229069</v>
      </c>
      <c r="D57" s="448">
        <v>17242979</v>
      </c>
      <c r="E57" s="448">
        <f t="shared" si="6"/>
        <v>1013910</v>
      </c>
      <c r="F57" s="449">
        <f t="shared" si="7"/>
        <v>6.2474933096901615E-2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0.40764810299504917</v>
      </c>
      <c r="D58" s="453">
        <f>IF(LN_IB13=0,0,LN_IB14/LN_IB13)</f>
        <v>0.4183006604127128</v>
      </c>
      <c r="E58" s="454">
        <f t="shared" si="6"/>
        <v>1.0652557417663633E-2</v>
      </c>
      <c r="F58" s="449">
        <f t="shared" si="7"/>
        <v>2.6131747797666083E-2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3.2027306918898359</v>
      </c>
      <c r="D59" s="453">
        <f>IF(LN_IB1=0,0,LN_IB13/LN_IB1)</f>
        <v>4.176122644279193</v>
      </c>
      <c r="E59" s="454">
        <f t="shared" si="6"/>
        <v>0.97339195238935705</v>
      </c>
      <c r="F59" s="449">
        <f t="shared" si="7"/>
        <v>0.30392563285269153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2251.5196763985546</v>
      </c>
      <c r="D60" s="463">
        <f>LN_IB16*LN_IB4</f>
        <v>2701.951350848638</v>
      </c>
      <c r="E60" s="463">
        <f t="shared" si="6"/>
        <v>450.43167445008339</v>
      </c>
      <c r="F60" s="449">
        <f t="shared" si="7"/>
        <v>0.20005673464536486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7208.0511532368228</v>
      </c>
      <c r="D61" s="465">
        <f>IF(LN_IB17=0,0,LN_IB14/LN_IB17)</f>
        <v>6381.6763372087607</v>
      </c>
      <c r="E61" s="465">
        <f t="shared" si="6"/>
        <v>-826.37481602806201</v>
      </c>
      <c r="F61" s="449">
        <f t="shared" si="7"/>
        <v>-0.11464608095309825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-1647.0702069478502</v>
      </c>
      <c r="D62" s="465">
        <f>LN_IA16-LN_IB18</f>
        <v>-1139.0113449350929</v>
      </c>
      <c r="E62" s="465">
        <f t="shared" si="6"/>
        <v>508.05886201275734</v>
      </c>
      <c r="F62" s="449">
        <f t="shared" si="7"/>
        <v>-0.30846217718565266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-3708410.979352924</v>
      </c>
      <c r="D63" s="448">
        <f>LN_IB19*LN_IB17</f>
        <v>-3077553.242079298</v>
      </c>
      <c r="E63" s="448">
        <f t="shared" si="6"/>
        <v>630857.73727362603</v>
      </c>
      <c r="F63" s="449">
        <f t="shared" si="7"/>
        <v>-0.17011537846964944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52241943</v>
      </c>
      <c r="D66" s="448">
        <f>LN_IB1+LN_IB13</f>
        <v>51092254</v>
      </c>
      <c r="E66" s="448">
        <f>D66-C66</f>
        <v>-1149689</v>
      </c>
      <c r="F66" s="449">
        <f>IF(C66=0,0,E66/C66)</f>
        <v>-2.2007010726993827E-2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21315739</v>
      </c>
      <c r="D67" s="448">
        <f>LN_IB2+LN_IB14</f>
        <v>21931021</v>
      </c>
      <c r="E67" s="448">
        <f>D67-C67</f>
        <v>615282</v>
      </c>
      <c r="F67" s="449">
        <f>IF(C67=0,0,E67/C67)</f>
        <v>2.8865149831305403E-2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30926204</v>
      </c>
      <c r="D68" s="448">
        <f>LN_IB21-LN_IB22</f>
        <v>29161233</v>
      </c>
      <c r="E68" s="448">
        <f>D68-C68</f>
        <v>-1764971</v>
      </c>
      <c r="F68" s="449">
        <f>IF(C68=0,0,E68/C68)</f>
        <v>-5.7070405407660119E-2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-2796114.8461976927</v>
      </c>
      <c r="D70" s="441">
        <f>LN_IB9+LN_IB20</f>
        <v>-2503032.1996735181</v>
      </c>
      <c r="E70" s="448">
        <f>D70-C70</f>
        <v>293082.6465241746</v>
      </c>
      <c r="F70" s="449">
        <f>IF(C70=0,0,E70/C70)</f>
        <v>-0.10481781423346188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52241943</v>
      </c>
      <c r="D73" s="488">
        <v>51092254</v>
      </c>
      <c r="E73" s="488">
        <f>D73-C73</f>
        <v>-1149689</v>
      </c>
      <c r="F73" s="489">
        <f>IF(C73=0,0,E73/C73)</f>
        <v>-2.2007010726993827E-2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25479835</v>
      </c>
      <c r="D74" s="488">
        <v>25835394</v>
      </c>
      <c r="E74" s="488">
        <f>D74-C74</f>
        <v>355559</v>
      </c>
      <c r="F74" s="489">
        <f>IF(C74=0,0,E74/C74)</f>
        <v>1.3954525215724514E-2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26762108</v>
      </c>
      <c r="D76" s="441">
        <f>LN_IB32-LN_IB33</f>
        <v>25256860</v>
      </c>
      <c r="E76" s="488">
        <f>D76-C76</f>
        <v>-1505248</v>
      </c>
      <c r="F76" s="489">
        <f>IF(E76=0,0,E76/C76)</f>
        <v>-5.6245494562685419E-2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0.51227244744706379</v>
      </c>
      <c r="D77" s="453">
        <f>IF(LN_IB32=0,0,LN_IB34/LN_IB32)</f>
        <v>0.49433833942812544</v>
      </c>
      <c r="E77" s="493">
        <f>D77-C77</f>
        <v>-1.7934108018938355E-2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456951</v>
      </c>
      <c r="D83" s="448">
        <v>365024</v>
      </c>
      <c r="E83" s="448">
        <f t="shared" ref="E83:E95" si="8">D83-C83</f>
        <v>-91927</v>
      </c>
      <c r="F83" s="449">
        <f t="shared" ref="F83:F95" si="9">IF(C83=0,0,E83/C83)</f>
        <v>-0.2011747430249633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36844</v>
      </c>
      <c r="D84" s="448">
        <v>5900</v>
      </c>
      <c r="E84" s="448">
        <f t="shared" si="8"/>
        <v>-30944</v>
      </c>
      <c r="F84" s="449">
        <f t="shared" si="9"/>
        <v>-0.8398653783519705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8.0630089440662134E-2</v>
      </c>
      <c r="D85" s="453">
        <f>IF(LN_IC1=0,0,LN_IC2/LN_IC1)</f>
        <v>1.6163320767949504E-2</v>
      </c>
      <c r="E85" s="454">
        <f t="shared" si="8"/>
        <v>-6.4466768672712629E-2</v>
      </c>
      <c r="F85" s="449">
        <f t="shared" si="9"/>
        <v>-0.79953735782663948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40</v>
      </c>
      <c r="D86" s="456">
        <v>45</v>
      </c>
      <c r="E86" s="456">
        <f t="shared" si="8"/>
        <v>5</v>
      </c>
      <c r="F86" s="449">
        <f t="shared" si="9"/>
        <v>0.125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0.75600000000000001</v>
      </c>
      <c r="D87" s="459">
        <v>0.73839999999999995</v>
      </c>
      <c r="E87" s="460">
        <f t="shared" si="8"/>
        <v>-1.760000000000006E-2</v>
      </c>
      <c r="F87" s="449">
        <f t="shared" si="9"/>
        <v>-2.328042328042336E-2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30.240000000000002</v>
      </c>
      <c r="D88" s="463">
        <f>LN_IC4*LN_IC5</f>
        <v>33.227999999999994</v>
      </c>
      <c r="E88" s="463">
        <f t="shared" si="8"/>
        <v>2.9879999999999924</v>
      </c>
      <c r="F88" s="449">
        <f t="shared" si="9"/>
        <v>9.8809523809523556E-2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1218.3862433862432</v>
      </c>
      <c r="D89" s="465">
        <f>IF(LN_IC6=0,0,LN_IC2/LN_IC6)</f>
        <v>177.56109305405084</v>
      </c>
      <c r="E89" s="465">
        <f t="shared" si="8"/>
        <v>-1040.8251503321924</v>
      </c>
      <c r="F89" s="449">
        <f t="shared" si="9"/>
        <v>-0.85426534974610524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6614.9594867475762</v>
      </c>
      <c r="D90" s="465">
        <f>LN_IB7-LN_IC7</f>
        <v>8085.4273076683903</v>
      </c>
      <c r="E90" s="465">
        <f t="shared" si="8"/>
        <v>1470.4678209208141</v>
      </c>
      <c r="F90" s="449">
        <f t="shared" si="9"/>
        <v>0.22229430488074076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8019.8729211298196</v>
      </c>
      <c r="D91" s="465">
        <f>LN_IA7-LN_IC7</f>
        <v>9098.0591717536354</v>
      </c>
      <c r="E91" s="465">
        <f t="shared" si="8"/>
        <v>1078.1862506238158</v>
      </c>
      <c r="F91" s="449">
        <f t="shared" si="9"/>
        <v>0.13443931858111333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242520.95713496575</v>
      </c>
      <c r="D92" s="441">
        <f>LN_IC9*LN_IC6</f>
        <v>302310.31015902973</v>
      </c>
      <c r="E92" s="441">
        <f t="shared" si="8"/>
        <v>59789.353024063981</v>
      </c>
      <c r="F92" s="449">
        <f t="shared" si="9"/>
        <v>0.24653272744091351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93</v>
      </c>
      <c r="D93" s="456">
        <v>124</v>
      </c>
      <c r="E93" s="456">
        <f t="shared" si="8"/>
        <v>31</v>
      </c>
      <c r="F93" s="449">
        <f t="shared" si="9"/>
        <v>0.33333333333333331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396.1720430107527</v>
      </c>
      <c r="D94" s="499">
        <f>IF(LN_IC11=0,0,LN_IC2/LN_IC11)</f>
        <v>47.58064516129032</v>
      </c>
      <c r="E94" s="499">
        <f t="shared" si="8"/>
        <v>-348.5913978494624</v>
      </c>
      <c r="F94" s="449">
        <f t="shared" si="9"/>
        <v>-0.87989903376397793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2.3250000000000002</v>
      </c>
      <c r="D95" s="466">
        <f>IF(LN_IC4=0,0,LN_IC11/LN_IC4)</f>
        <v>2.7555555555555555</v>
      </c>
      <c r="E95" s="466">
        <f t="shared" si="8"/>
        <v>0.43055555555555536</v>
      </c>
      <c r="F95" s="449">
        <f t="shared" si="9"/>
        <v>0.18518518518518509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2398137</v>
      </c>
      <c r="D98" s="448">
        <v>2051499</v>
      </c>
      <c r="E98" s="448">
        <f t="shared" ref="E98:E106" si="10">D98-C98</f>
        <v>-346638</v>
      </c>
      <c r="F98" s="449">
        <f t="shared" ref="F98:F106" si="11">IF(C98=0,0,E98/C98)</f>
        <v>-0.14454470282556836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242542</v>
      </c>
      <c r="D99" s="448">
        <v>224891</v>
      </c>
      <c r="E99" s="448">
        <f t="shared" si="10"/>
        <v>-17651</v>
      </c>
      <c r="F99" s="449">
        <f t="shared" si="11"/>
        <v>-7.2775024531833668E-2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0.10113767478671985</v>
      </c>
      <c r="D100" s="453">
        <f>IF(LN_IC14=0,0,LN_IC15/LN_IC14)</f>
        <v>0.10962276852194419</v>
      </c>
      <c r="E100" s="454">
        <f t="shared" si="10"/>
        <v>8.4850937352243389E-3</v>
      </c>
      <c r="F100" s="449">
        <f t="shared" si="11"/>
        <v>8.389646838448471E-2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5.2481272609098131</v>
      </c>
      <c r="D101" s="453">
        <f>IF(LN_IC1=0,0,LN_IC14/LN_IC1)</f>
        <v>5.6201756596826513</v>
      </c>
      <c r="E101" s="454">
        <f t="shared" si="10"/>
        <v>0.37204839877283824</v>
      </c>
      <c r="F101" s="449">
        <f t="shared" si="11"/>
        <v>7.0891649587845565E-2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209.92509043639251</v>
      </c>
      <c r="D102" s="463">
        <f>LN_IC17*LN_IC4</f>
        <v>252.9079046857193</v>
      </c>
      <c r="E102" s="463">
        <f t="shared" si="10"/>
        <v>42.982814249326793</v>
      </c>
      <c r="F102" s="449">
        <f t="shared" si="11"/>
        <v>0.2047531057863263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1155.3740407866608</v>
      </c>
      <c r="D103" s="465">
        <f>IF(LN_IC18=0,0,LN_IC15/LN_IC18)</f>
        <v>889.22092126564792</v>
      </c>
      <c r="E103" s="465">
        <f t="shared" si="10"/>
        <v>-266.15311952101285</v>
      </c>
      <c r="F103" s="449">
        <f t="shared" si="11"/>
        <v>-0.23036100009638169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6052.677112450162</v>
      </c>
      <c r="D104" s="465">
        <f>LN_IB18-LN_IC19</f>
        <v>5492.4554159431127</v>
      </c>
      <c r="E104" s="465">
        <f t="shared" si="10"/>
        <v>-560.22169650704927</v>
      </c>
      <c r="F104" s="449">
        <f t="shared" si="11"/>
        <v>-9.2557670944430737E-2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4405.6069055023117</v>
      </c>
      <c r="D105" s="465">
        <f>LN_IA16-LN_IC19</f>
        <v>4353.4440710080198</v>
      </c>
      <c r="E105" s="465">
        <f t="shared" si="10"/>
        <v>-52.162834494291928</v>
      </c>
      <c r="F105" s="449">
        <f t="shared" si="11"/>
        <v>-1.1840101855012075E-2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924847.42806476809</v>
      </c>
      <c r="D106" s="448">
        <f>LN_IC21*LN_IC18</f>
        <v>1101020.4181651061</v>
      </c>
      <c r="E106" s="448">
        <f t="shared" si="10"/>
        <v>176172.99010033801</v>
      </c>
      <c r="F106" s="449">
        <f t="shared" si="11"/>
        <v>0.19048870630367415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2855088</v>
      </c>
      <c r="D109" s="448">
        <f>LN_IC1+LN_IC14</f>
        <v>2416523</v>
      </c>
      <c r="E109" s="448">
        <f>D109-C109</f>
        <v>-438565</v>
      </c>
      <c r="F109" s="449">
        <f>IF(C109=0,0,E109/C109)</f>
        <v>-0.15360822503544549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279386</v>
      </c>
      <c r="D110" s="448">
        <f>LN_IC2+LN_IC15</f>
        <v>230791</v>
      </c>
      <c r="E110" s="448">
        <f>D110-C110</f>
        <v>-48595</v>
      </c>
      <c r="F110" s="449">
        <f>IF(C110=0,0,E110/C110)</f>
        <v>-0.1739349860050253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2575702</v>
      </c>
      <c r="D111" s="448">
        <f>LN_IC23-LN_IC24</f>
        <v>2185732</v>
      </c>
      <c r="E111" s="448">
        <f>D111-C111</f>
        <v>-389970</v>
      </c>
      <c r="F111" s="449">
        <f>IF(C111=0,0,E111/C111)</f>
        <v>-0.15140338439772924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1167368.3851997338</v>
      </c>
      <c r="D113" s="448">
        <f>LN_IC10+LN_IC22</f>
        <v>1403330.7283241358</v>
      </c>
      <c r="E113" s="448">
        <f>D113-C113</f>
        <v>235962.34312440199</v>
      </c>
      <c r="F113" s="449">
        <f>IF(C113=0,0,E113/C113)</f>
        <v>0.20213186010175307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3849691</v>
      </c>
      <c r="D118" s="448">
        <v>3561353</v>
      </c>
      <c r="E118" s="448">
        <f t="shared" ref="E118:E130" si="12">D118-C118</f>
        <v>-288338</v>
      </c>
      <c r="F118" s="449">
        <f t="shared" ref="F118:F130" si="13">IF(C118=0,0,E118/C118)</f>
        <v>-7.4898998387143284E-2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993888</v>
      </c>
      <c r="D119" s="448">
        <v>1001592</v>
      </c>
      <c r="E119" s="448">
        <f t="shared" si="12"/>
        <v>7704</v>
      </c>
      <c r="F119" s="449">
        <f t="shared" si="13"/>
        <v>7.7513764126340189E-3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0.2581734482066223</v>
      </c>
      <c r="D120" s="453">
        <f>IF(LN_ID1=0,0,LN_1D2/LN_ID1)</f>
        <v>0.28123918072710008</v>
      </c>
      <c r="E120" s="454">
        <f t="shared" si="12"/>
        <v>2.3065732520477777E-2</v>
      </c>
      <c r="F120" s="449">
        <f t="shared" si="13"/>
        <v>8.9342001203848539E-2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235</v>
      </c>
      <c r="D121" s="456">
        <v>219</v>
      </c>
      <c r="E121" s="456">
        <f t="shared" si="12"/>
        <v>-16</v>
      </c>
      <c r="F121" s="449">
        <f t="shared" si="13"/>
        <v>-6.8085106382978725E-2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0.93440000000000001</v>
      </c>
      <c r="D122" s="459">
        <v>0.93510000000000004</v>
      </c>
      <c r="E122" s="460">
        <f t="shared" si="12"/>
        <v>7.0000000000003393E-4</v>
      </c>
      <c r="F122" s="449">
        <f t="shared" si="13"/>
        <v>7.4914383561647464E-4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219.584</v>
      </c>
      <c r="D123" s="463">
        <f>LN_ID4*LN_ID5</f>
        <v>204.7869</v>
      </c>
      <c r="E123" s="463">
        <f t="shared" si="12"/>
        <v>-14.7971</v>
      </c>
      <c r="F123" s="449">
        <f t="shared" si="13"/>
        <v>-6.7386968085106386E-2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4526.2314194112505</v>
      </c>
      <c r="D124" s="465">
        <f>IF(LN_ID6=0,0,LN_1D2/LN_ID6)</f>
        <v>4890.8987830764563</v>
      </c>
      <c r="E124" s="465">
        <f t="shared" si="12"/>
        <v>364.66736366520581</v>
      </c>
      <c r="F124" s="449">
        <f t="shared" si="13"/>
        <v>8.0567547231740949E-2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3307.1143107225689</v>
      </c>
      <c r="D125" s="465">
        <f>LN_IB7-LN_ID7</f>
        <v>3372.0896176459846</v>
      </c>
      <c r="E125" s="465">
        <f t="shared" si="12"/>
        <v>64.975306923415701</v>
      </c>
      <c r="F125" s="449">
        <f t="shared" si="13"/>
        <v>1.9647130645816503E-2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4712.0277451048123</v>
      </c>
      <c r="D126" s="465">
        <f>LN_IA7-LN_ID7</f>
        <v>4384.7214817312306</v>
      </c>
      <c r="E126" s="465">
        <f t="shared" si="12"/>
        <v>-327.30626337358171</v>
      </c>
      <c r="F126" s="449">
        <f t="shared" si="13"/>
        <v>-6.9461870998873174E-2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1034685.9003810951</v>
      </c>
      <c r="D127" s="479">
        <f>LN_ID9*LN_ID6</f>
        <v>897933.51960714534</v>
      </c>
      <c r="E127" s="479">
        <f t="shared" si="12"/>
        <v>-136752.38077394979</v>
      </c>
      <c r="F127" s="449">
        <f t="shared" si="13"/>
        <v>-0.13216801419984672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711</v>
      </c>
      <c r="D128" s="456">
        <v>795</v>
      </c>
      <c r="E128" s="456">
        <f t="shared" si="12"/>
        <v>84</v>
      </c>
      <c r="F128" s="449">
        <f t="shared" si="13"/>
        <v>0.11814345991561181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1397.873417721519</v>
      </c>
      <c r="D129" s="465">
        <f>IF(LN_ID11=0,0,LN_1D2/LN_ID11)</f>
        <v>1259.8641509433962</v>
      </c>
      <c r="E129" s="465">
        <f t="shared" si="12"/>
        <v>-138.00926677812276</v>
      </c>
      <c r="F129" s="449">
        <f t="shared" si="13"/>
        <v>-9.8728014302663161E-2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3.0255319148936168</v>
      </c>
      <c r="D130" s="466">
        <f>IF(LN_ID4=0,0,LN_ID11/LN_ID4)</f>
        <v>3.6301369863013697</v>
      </c>
      <c r="E130" s="466">
        <f t="shared" si="12"/>
        <v>0.60460507140775288</v>
      </c>
      <c r="F130" s="449">
        <f t="shared" si="13"/>
        <v>0.19983430630214055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6879873</v>
      </c>
      <c r="D133" s="448">
        <v>8023925</v>
      </c>
      <c r="E133" s="448">
        <f t="shared" ref="E133:E141" si="14">D133-C133</f>
        <v>1144052</v>
      </c>
      <c r="F133" s="449">
        <f t="shared" ref="F133:F141" si="15">IF(C133=0,0,E133/C133)</f>
        <v>0.16628969749877651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1453468</v>
      </c>
      <c r="D134" s="448">
        <v>1560189</v>
      </c>
      <c r="E134" s="448">
        <f t="shared" si="14"/>
        <v>106721</v>
      </c>
      <c r="F134" s="449">
        <f t="shared" si="15"/>
        <v>7.3425077125880991E-2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0.21126378350298036</v>
      </c>
      <c r="D135" s="453">
        <f>IF(LN_ID14=0,0,LN_ID15/LN_ID14)</f>
        <v>0.19444212153029844</v>
      </c>
      <c r="E135" s="454">
        <f t="shared" si="14"/>
        <v>-1.6821661972681923E-2</v>
      </c>
      <c r="F135" s="449">
        <f t="shared" si="15"/>
        <v>-7.9623973848052448E-2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1.7871234340626299</v>
      </c>
      <c r="D136" s="453">
        <f>IF(LN_ID1=0,0,LN_ID14/LN_ID1)</f>
        <v>2.2530552292906658</v>
      </c>
      <c r="E136" s="454">
        <f t="shared" si="14"/>
        <v>0.46593179522803596</v>
      </c>
      <c r="F136" s="449">
        <f t="shared" si="15"/>
        <v>0.26071606826219224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419.97400700471803</v>
      </c>
      <c r="D137" s="463">
        <f>LN_ID17*LN_ID4</f>
        <v>493.41909521465584</v>
      </c>
      <c r="E137" s="463">
        <f t="shared" si="14"/>
        <v>73.445088209937808</v>
      </c>
      <c r="F137" s="449">
        <f t="shared" si="15"/>
        <v>0.17488008063583022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3460.8522807547743</v>
      </c>
      <c r="D138" s="465">
        <f>IF(LN_ID18=0,0,LN_ID15/LN_ID18)</f>
        <v>3161.9955837364973</v>
      </c>
      <c r="E138" s="465">
        <f t="shared" si="14"/>
        <v>-298.85669701827692</v>
      </c>
      <c r="F138" s="449">
        <f t="shared" si="15"/>
        <v>-8.6353496992682827E-2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3747.1988724820485</v>
      </c>
      <c r="D139" s="465">
        <f>LN_IB18-LN_ID19</f>
        <v>3219.6807534722634</v>
      </c>
      <c r="E139" s="465">
        <f t="shared" si="14"/>
        <v>-527.5181190097851</v>
      </c>
      <c r="F139" s="449">
        <f t="shared" si="15"/>
        <v>-0.14077665396509115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2100.1286655341983</v>
      </c>
      <c r="D140" s="465">
        <f>LN_IA16-LN_ID19</f>
        <v>2080.6694085371705</v>
      </c>
      <c r="E140" s="465">
        <f t="shared" si="14"/>
        <v>-19.459256997027751</v>
      </c>
      <c r="F140" s="449">
        <f t="shared" si="15"/>
        <v>-9.2657451499896584E-3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881999.45088986855</v>
      </c>
      <c r="D141" s="441">
        <f>LN_ID21*LN_ID18</f>
        <v>1026642.0170012238</v>
      </c>
      <c r="E141" s="441">
        <f t="shared" si="14"/>
        <v>144642.56611135521</v>
      </c>
      <c r="F141" s="449">
        <f t="shared" si="15"/>
        <v>0.16399394122685923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10729564</v>
      </c>
      <c r="D144" s="448">
        <f>LN_ID1+LN_ID14</f>
        <v>11585278</v>
      </c>
      <c r="E144" s="448">
        <f>D144-C144</f>
        <v>855714</v>
      </c>
      <c r="F144" s="449">
        <f>IF(C144=0,0,E144/C144)</f>
        <v>7.975291447070916E-2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2447356</v>
      </c>
      <c r="D145" s="448">
        <f>LN_1D2+LN_ID15</f>
        <v>2561781</v>
      </c>
      <c r="E145" s="448">
        <f>D145-C145</f>
        <v>114425</v>
      </c>
      <c r="F145" s="449">
        <f>IF(C145=0,0,E145/C145)</f>
        <v>4.6754538367119451E-2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8282208</v>
      </c>
      <c r="D146" s="448">
        <f>LN_ID23-LN_ID24</f>
        <v>9023497</v>
      </c>
      <c r="E146" s="448">
        <f>D146-C146</f>
        <v>741289</v>
      </c>
      <c r="F146" s="449">
        <f>IF(C146=0,0,E146/C146)</f>
        <v>8.9503789327676872E-2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1916685.3512709637</v>
      </c>
      <c r="D148" s="448">
        <f>LN_ID10+LN_ID22</f>
        <v>1924575.5366083691</v>
      </c>
      <c r="E148" s="448">
        <f>D148-C148</f>
        <v>7890.185337405419</v>
      </c>
      <c r="F148" s="503">
        <f>IF(C148=0,0,E148/C148)</f>
        <v>4.1165783064880199E-3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3308200</v>
      </c>
      <c r="D153" s="448">
        <v>3593563</v>
      </c>
      <c r="E153" s="448">
        <f t="shared" ref="E153:E165" si="16">D153-C153</f>
        <v>285363</v>
      </c>
      <c r="F153" s="449">
        <f t="shared" ref="F153:F165" si="17">IF(C153=0,0,E153/C153)</f>
        <v>8.6259295084940457E-2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1236898</v>
      </c>
      <c r="D154" s="448">
        <v>1337350</v>
      </c>
      <c r="E154" s="448">
        <f t="shared" si="16"/>
        <v>100452</v>
      </c>
      <c r="F154" s="449">
        <f t="shared" si="17"/>
        <v>8.1212840509079967E-2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0.3738885194365516</v>
      </c>
      <c r="D155" s="453">
        <f>IF(LN_IE1=0,0,LN_IE2/LN_IE1)</f>
        <v>0.37215153873745915</v>
      </c>
      <c r="E155" s="454">
        <f t="shared" si="16"/>
        <v>-1.7369806990924497E-3</v>
      </c>
      <c r="F155" s="449">
        <f t="shared" si="17"/>
        <v>-4.6457181988633191E-3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212</v>
      </c>
      <c r="D156" s="506">
        <v>179</v>
      </c>
      <c r="E156" s="506">
        <f t="shared" si="16"/>
        <v>-33</v>
      </c>
      <c r="F156" s="449">
        <f t="shared" si="17"/>
        <v>-0.15566037735849056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0.87749999999999995</v>
      </c>
      <c r="D157" s="459">
        <v>1.0068999999999999</v>
      </c>
      <c r="E157" s="460">
        <f t="shared" si="16"/>
        <v>0.12939999999999996</v>
      </c>
      <c r="F157" s="449">
        <f t="shared" si="17"/>
        <v>0.14746438746438742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186.03</v>
      </c>
      <c r="D158" s="463">
        <f>LN_IE4*LN_IE5</f>
        <v>180.23509999999999</v>
      </c>
      <c r="E158" s="463">
        <f t="shared" si="16"/>
        <v>-5.7949000000000126</v>
      </c>
      <c r="F158" s="449">
        <f t="shared" si="17"/>
        <v>-3.1150352093748387E-2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6648.9168413696716</v>
      </c>
      <c r="D159" s="465">
        <f>IF(LN_IE6=0,0,LN_IE2/LN_IE6)</f>
        <v>7420.0308375005761</v>
      </c>
      <c r="E159" s="465">
        <f t="shared" si="16"/>
        <v>771.11399613090452</v>
      </c>
      <c r="F159" s="449">
        <f t="shared" si="17"/>
        <v>0.11597588216670426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1184.4288887641478</v>
      </c>
      <c r="D160" s="465">
        <f>LN_IB7-LN_IE7</f>
        <v>842.9575632218648</v>
      </c>
      <c r="E160" s="465">
        <f t="shared" si="16"/>
        <v>-341.47132554228301</v>
      </c>
      <c r="F160" s="449">
        <f t="shared" si="17"/>
        <v>-0.2883004026510867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2589.3423231463912</v>
      </c>
      <c r="D161" s="465">
        <f>LN_IA7-LN_IE7</f>
        <v>1855.5894273071108</v>
      </c>
      <c r="E161" s="465">
        <f t="shared" si="16"/>
        <v>-733.75289583928043</v>
      </c>
      <c r="F161" s="449">
        <f t="shared" si="17"/>
        <v>-0.28337423340289525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481695.35237492318</v>
      </c>
      <c r="D162" s="479">
        <f>LN_IE9*LN_IE6</f>
        <v>334442.34598963981</v>
      </c>
      <c r="E162" s="479">
        <f t="shared" si="16"/>
        <v>-147253.00638528337</v>
      </c>
      <c r="F162" s="449">
        <f t="shared" si="17"/>
        <v>-0.30569737835184746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634</v>
      </c>
      <c r="D163" s="456">
        <v>657</v>
      </c>
      <c r="E163" s="506">
        <f t="shared" si="16"/>
        <v>23</v>
      </c>
      <c r="F163" s="449">
        <f t="shared" si="17"/>
        <v>3.6277602523659309E-2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1950.9432176656151</v>
      </c>
      <c r="D164" s="465">
        <f>IF(LN_IE11=0,0,LN_IE2/LN_IE11)</f>
        <v>2035.5403348554034</v>
      </c>
      <c r="E164" s="465">
        <f t="shared" si="16"/>
        <v>84.597117189788378</v>
      </c>
      <c r="F164" s="449">
        <f t="shared" si="17"/>
        <v>4.3362162683039211E-2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2.9905660377358489</v>
      </c>
      <c r="D165" s="466">
        <f>IF(LN_IE4=0,0,LN_IE11/LN_IE4)</f>
        <v>3.6703910614525141</v>
      </c>
      <c r="E165" s="466">
        <f t="shared" si="16"/>
        <v>0.6798250237166652</v>
      </c>
      <c r="F165" s="449">
        <f t="shared" si="17"/>
        <v>0.22732319405036755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5144701</v>
      </c>
      <c r="D168" s="511">
        <v>5718656</v>
      </c>
      <c r="E168" s="511">
        <f t="shared" ref="E168:E176" si="18">D168-C168</f>
        <v>573955</v>
      </c>
      <c r="F168" s="449">
        <f t="shared" ref="F168:F176" si="19">IF(C168=0,0,E168/C168)</f>
        <v>0.11156236290505513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621811</v>
      </c>
      <c r="D169" s="511">
        <v>731317</v>
      </c>
      <c r="E169" s="511">
        <f t="shared" si="18"/>
        <v>109506</v>
      </c>
      <c r="F169" s="449">
        <f t="shared" si="19"/>
        <v>0.1761081743487973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0.120864361213606</v>
      </c>
      <c r="D170" s="453">
        <f>IF(LN_IE14=0,0,LN_IE15/LN_IE14)</f>
        <v>0.12788267033372877</v>
      </c>
      <c r="E170" s="454">
        <f t="shared" si="18"/>
        <v>7.0183091201227732E-3</v>
      </c>
      <c r="F170" s="449">
        <f t="shared" si="19"/>
        <v>5.8067647482281194E-2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1.5551360256332749</v>
      </c>
      <c r="D171" s="453">
        <f>IF(LN_IE1=0,0,LN_IE14/LN_IE1)</f>
        <v>1.591360997427901</v>
      </c>
      <c r="E171" s="454">
        <f t="shared" si="18"/>
        <v>3.6224971794626137E-2</v>
      </c>
      <c r="F171" s="449">
        <f t="shared" si="19"/>
        <v>2.3293764145084852E-2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329.68883743425425</v>
      </c>
      <c r="D172" s="463">
        <f>LN_IE17*LN_IE4</f>
        <v>284.85361853959427</v>
      </c>
      <c r="E172" s="463">
        <f t="shared" si="18"/>
        <v>-44.835218894659988</v>
      </c>
      <c r="F172" s="449">
        <f t="shared" si="19"/>
        <v>-0.13599252933032929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1886.0541498436387</v>
      </c>
      <c r="D173" s="465">
        <f>IF(LN_IE18=0,0,LN_IE15/LN_IE18)</f>
        <v>2567.3431980585774</v>
      </c>
      <c r="E173" s="465">
        <f t="shared" si="18"/>
        <v>681.2890482149387</v>
      </c>
      <c r="F173" s="449">
        <f t="shared" si="19"/>
        <v>0.36122454292811279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5321.9970033931841</v>
      </c>
      <c r="D174" s="465">
        <f>LN_IB18-LN_IE19</f>
        <v>3814.3331391501833</v>
      </c>
      <c r="E174" s="465">
        <f t="shared" si="18"/>
        <v>-1507.6638642430007</v>
      </c>
      <c r="F174" s="449">
        <f t="shared" si="19"/>
        <v>-0.28328912310205145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3674.9267964453338</v>
      </c>
      <c r="D175" s="465">
        <f>LN_IA16-LN_IE19</f>
        <v>2675.3217942150904</v>
      </c>
      <c r="E175" s="465">
        <f t="shared" si="18"/>
        <v>-999.60500223024337</v>
      </c>
      <c r="F175" s="449">
        <f t="shared" si="19"/>
        <v>-0.27200677934513873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1211582.3431760503</v>
      </c>
      <c r="D176" s="441">
        <f>LN_IE21*LN_IE18</f>
        <v>762075.09384000825</v>
      </c>
      <c r="E176" s="441">
        <f t="shared" si="18"/>
        <v>-449507.24933604209</v>
      </c>
      <c r="F176" s="449">
        <f t="shared" si="19"/>
        <v>-0.37100841875732582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8452901</v>
      </c>
      <c r="D179" s="448">
        <f>LN_IE1+LN_IE14</f>
        <v>9312219</v>
      </c>
      <c r="E179" s="448">
        <f>D179-C179</f>
        <v>859318</v>
      </c>
      <c r="F179" s="449">
        <f>IF(C179=0,0,E179/C179)</f>
        <v>0.10165953676731811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1858709</v>
      </c>
      <c r="D180" s="448">
        <f>LN_IE15+LN_IE2</f>
        <v>2068667</v>
      </c>
      <c r="E180" s="448">
        <f>D180-C180</f>
        <v>209958</v>
      </c>
      <c r="F180" s="449">
        <f>IF(C180=0,0,E180/C180)</f>
        <v>0.11295904845782745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6594192</v>
      </c>
      <c r="D181" s="448">
        <f>LN_IE23-LN_IE24</f>
        <v>7243552</v>
      </c>
      <c r="E181" s="448">
        <f>D181-C181</f>
        <v>649360</v>
      </c>
      <c r="F181" s="449">
        <f>IF(C181=0,0,E181/C181)</f>
        <v>9.8474536379893091E-2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1693277.6955509735</v>
      </c>
      <c r="D183" s="448">
        <f>LN_IE10+LN_IE22</f>
        <v>1096517.439829648</v>
      </c>
      <c r="E183" s="441">
        <f>D183-C183</f>
        <v>-596760.25572132552</v>
      </c>
      <c r="F183" s="449">
        <f>IF(C183=0,0,E183/C183)</f>
        <v>-0.35242905359781901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7157891</v>
      </c>
      <c r="D188" s="448">
        <f>LN_ID1+LN_IE1</f>
        <v>7154916</v>
      </c>
      <c r="E188" s="448">
        <f t="shared" ref="E188:E200" si="20">D188-C188</f>
        <v>-2975</v>
      </c>
      <c r="F188" s="449">
        <f t="shared" ref="F188:F200" si="21">IF(C188=0,0,E188/C188)</f>
        <v>-4.1562521698081182E-4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2230786</v>
      </c>
      <c r="D189" s="448">
        <f>LN_1D2+LN_IE2</f>
        <v>2338942</v>
      </c>
      <c r="E189" s="448">
        <f t="shared" si="20"/>
        <v>108156</v>
      </c>
      <c r="F189" s="449">
        <f t="shared" si="21"/>
        <v>4.8483359676813463E-2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0.31165408917235538</v>
      </c>
      <c r="D190" s="453">
        <f>IF(LN_IF1=0,0,LN_IF2/LN_IF1)</f>
        <v>0.32689999435353262</v>
      </c>
      <c r="E190" s="454">
        <f t="shared" si="20"/>
        <v>1.5245905181177244E-2</v>
      </c>
      <c r="F190" s="449">
        <f t="shared" si="21"/>
        <v>4.8919316995535193E-2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447</v>
      </c>
      <c r="D191" s="456">
        <f>LN_ID4+LN_IE4</f>
        <v>398</v>
      </c>
      <c r="E191" s="456">
        <f t="shared" si="20"/>
        <v>-49</v>
      </c>
      <c r="F191" s="449">
        <f t="shared" si="21"/>
        <v>-0.10961968680089486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0.90741387024608511</v>
      </c>
      <c r="D192" s="459">
        <f>IF((LN_ID4+LN_IE4)=0,0,(LN_ID6+LN_IE6)/(LN_ID4+LN_IE4))</f>
        <v>0.96739195979899495</v>
      </c>
      <c r="E192" s="460">
        <f t="shared" si="20"/>
        <v>5.9978089552909841E-2</v>
      </c>
      <c r="F192" s="449">
        <f t="shared" si="21"/>
        <v>6.6097832003211662E-2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405.61400000000003</v>
      </c>
      <c r="D193" s="463">
        <f>LN_IF4*LN_IF5</f>
        <v>385.02199999999999</v>
      </c>
      <c r="E193" s="463">
        <f t="shared" si="20"/>
        <v>-20.592000000000041</v>
      </c>
      <c r="F193" s="449">
        <f t="shared" si="21"/>
        <v>-5.076747844009339E-2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5499.7756487695196</v>
      </c>
      <c r="D194" s="465">
        <f>IF(LN_IF6=0,0,LN_IF2/LN_IF6)</f>
        <v>6074.8268930087115</v>
      </c>
      <c r="E194" s="465">
        <f t="shared" si="20"/>
        <v>575.05124423919187</v>
      </c>
      <c r="F194" s="449">
        <f t="shared" si="21"/>
        <v>0.10455903676140857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2333.5700813642998</v>
      </c>
      <c r="D195" s="465">
        <f>LN_IB7-LN_IF7</f>
        <v>2188.1615077137294</v>
      </c>
      <c r="E195" s="465">
        <f t="shared" si="20"/>
        <v>-145.40857365057036</v>
      </c>
      <c r="F195" s="449">
        <f t="shared" si="21"/>
        <v>-6.2311637782722432E-2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3738.4835157465432</v>
      </c>
      <c r="D196" s="465">
        <f>LN_IA7-LN_IF7</f>
        <v>3200.7933717989754</v>
      </c>
      <c r="E196" s="465">
        <f t="shared" si="20"/>
        <v>-537.69014394756778</v>
      </c>
      <c r="F196" s="449">
        <f t="shared" si="21"/>
        <v>-0.14382573620635469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1516381.2527560182</v>
      </c>
      <c r="D197" s="479">
        <f>LN_IF9*LN_IF6</f>
        <v>1232375.865596785</v>
      </c>
      <c r="E197" s="479">
        <f t="shared" si="20"/>
        <v>-284005.38715923321</v>
      </c>
      <c r="F197" s="449">
        <f t="shared" si="21"/>
        <v>-0.18729154468446133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1345</v>
      </c>
      <c r="D198" s="456">
        <f>LN_ID11+LN_IE11</f>
        <v>1452</v>
      </c>
      <c r="E198" s="456">
        <f t="shared" si="20"/>
        <v>107</v>
      </c>
      <c r="F198" s="449">
        <f t="shared" si="21"/>
        <v>7.9553903345724902E-2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1658.5769516728624</v>
      </c>
      <c r="D199" s="519">
        <f>IF(LN_IF11=0,0,LN_IF2/LN_IF11)</f>
        <v>1610.8415977961433</v>
      </c>
      <c r="E199" s="519">
        <f t="shared" si="20"/>
        <v>-47.735353876719046</v>
      </c>
      <c r="F199" s="449">
        <f t="shared" si="21"/>
        <v>-2.8780909941243632E-2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3.0089485458612977</v>
      </c>
      <c r="D200" s="466">
        <f>IF(LN_IF4=0,0,LN_IF11/LN_IF4)</f>
        <v>3.6482412060301508</v>
      </c>
      <c r="E200" s="466">
        <f t="shared" si="20"/>
        <v>0.63929266016885311</v>
      </c>
      <c r="F200" s="449">
        <f t="shared" si="21"/>
        <v>0.21246380601894224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12024574</v>
      </c>
      <c r="D203" s="448">
        <f>LN_ID14+LN_IE14</f>
        <v>13742581</v>
      </c>
      <c r="E203" s="448">
        <f t="shared" ref="E203:E211" si="22">D203-C203</f>
        <v>1718007</v>
      </c>
      <c r="F203" s="449">
        <f t="shared" ref="F203:F211" si="23">IF(C203=0,0,E203/C203)</f>
        <v>0.14287466649546171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2075279</v>
      </c>
      <c r="D204" s="448">
        <f>LN_ID15+LN_IE15</f>
        <v>2291506</v>
      </c>
      <c r="E204" s="448">
        <f t="shared" si="22"/>
        <v>216227</v>
      </c>
      <c r="F204" s="449">
        <f t="shared" si="23"/>
        <v>0.1041917737325921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0.17258648830303677</v>
      </c>
      <c r="D205" s="453">
        <f>IF(LN_IF14=0,0,LN_IF15/LN_IF14)</f>
        <v>0.16674495133046696</v>
      </c>
      <c r="E205" s="454">
        <f t="shared" si="22"/>
        <v>-5.8415369725698107E-3</v>
      </c>
      <c r="F205" s="449">
        <f t="shared" si="23"/>
        <v>-3.3847012185061219E-2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1.6799045975972531</v>
      </c>
      <c r="D206" s="453">
        <f>IF(LN_IF1=0,0,LN_IF14/LN_IF1)</f>
        <v>1.9207187058520323</v>
      </c>
      <c r="E206" s="454">
        <f t="shared" si="22"/>
        <v>0.24081410825477922</v>
      </c>
      <c r="F206" s="449">
        <f t="shared" si="23"/>
        <v>0.14334987153390299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749.66284443897234</v>
      </c>
      <c r="D207" s="463">
        <f>LN_ID18+LN_IE18</f>
        <v>778.27271375425016</v>
      </c>
      <c r="E207" s="463">
        <f t="shared" si="22"/>
        <v>28.60986931527782</v>
      </c>
      <c r="F207" s="449">
        <f t="shared" si="23"/>
        <v>3.8163648535480883E-2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2768.2831227324377</v>
      </c>
      <c r="D208" s="465">
        <f>IF(LN_IF18=0,0,LN_IF15/LN_IF18)</f>
        <v>2944.3483749368261</v>
      </c>
      <c r="E208" s="465">
        <f t="shared" si="22"/>
        <v>176.06525220438834</v>
      </c>
      <c r="F208" s="449">
        <f t="shared" si="23"/>
        <v>6.3600883435146222E-2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4439.768030504385</v>
      </c>
      <c r="D209" s="465">
        <f>LN_IB18-LN_IF19</f>
        <v>3437.3279622719347</v>
      </c>
      <c r="E209" s="465">
        <f t="shared" si="22"/>
        <v>-1002.4400682324504</v>
      </c>
      <c r="F209" s="449">
        <f t="shared" si="23"/>
        <v>-0.22578658644887961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2792.6978235565348</v>
      </c>
      <c r="D210" s="465">
        <f>LN_IA16-LN_IF19</f>
        <v>2298.3166173368418</v>
      </c>
      <c r="E210" s="465">
        <f t="shared" si="22"/>
        <v>-494.38120621969301</v>
      </c>
      <c r="F210" s="449">
        <f t="shared" si="23"/>
        <v>-0.17702638719075325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2093581.7940659188</v>
      </c>
      <c r="D211" s="441">
        <f>LN_IF21*LN_IF18</f>
        <v>1788717.1108412324</v>
      </c>
      <c r="E211" s="441">
        <f t="shared" si="22"/>
        <v>-304864.68322468642</v>
      </c>
      <c r="F211" s="449">
        <f t="shared" si="23"/>
        <v>-0.14561871147752606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19182465</v>
      </c>
      <c r="D214" s="448">
        <f>LN_IF1+LN_IF14</f>
        <v>20897497</v>
      </c>
      <c r="E214" s="448">
        <f>D214-C214</f>
        <v>1715032</v>
      </c>
      <c r="F214" s="449">
        <f>IF(C214=0,0,E214/C214)</f>
        <v>8.9406236372645539E-2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4306065</v>
      </c>
      <c r="D215" s="448">
        <f>LN_IF2+LN_IF15</f>
        <v>4630448</v>
      </c>
      <c r="E215" s="448">
        <f>D215-C215</f>
        <v>324383</v>
      </c>
      <c r="F215" s="449">
        <f>IF(C215=0,0,E215/C215)</f>
        <v>7.5331654306193707E-2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14876400</v>
      </c>
      <c r="D216" s="448">
        <f>LN_IF23-LN_IF24</f>
        <v>16267049</v>
      </c>
      <c r="E216" s="448">
        <f>D216-C216</f>
        <v>1390649</v>
      </c>
      <c r="F216" s="449">
        <f>IF(C216=0,0,E216/C216)</f>
        <v>9.3480210265924554E-2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38140</v>
      </c>
      <c r="D221" s="448">
        <v>68340</v>
      </c>
      <c r="E221" s="448">
        <f t="shared" ref="E221:E230" si="24">D221-C221</f>
        <v>30200</v>
      </c>
      <c r="F221" s="449">
        <f t="shared" ref="F221:F230" si="25">IF(C221=0,0,E221/C221)</f>
        <v>0.79181961195595174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24273</v>
      </c>
      <c r="D222" s="448">
        <v>50049</v>
      </c>
      <c r="E222" s="448">
        <f t="shared" si="24"/>
        <v>25776</v>
      </c>
      <c r="F222" s="449">
        <f t="shared" si="25"/>
        <v>1.0619206525769374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0.63641845831148403</v>
      </c>
      <c r="D223" s="453">
        <f>IF(LN_IG1=0,0,LN_IG2/LN_IG1)</f>
        <v>0.73235294117647054</v>
      </c>
      <c r="E223" s="454">
        <f t="shared" si="24"/>
        <v>9.5934482864986514E-2</v>
      </c>
      <c r="F223" s="449">
        <f t="shared" si="25"/>
        <v>0.15074120118941151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5</v>
      </c>
      <c r="D224" s="456">
        <v>11</v>
      </c>
      <c r="E224" s="456">
        <f t="shared" si="24"/>
        <v>6</v>
      </c>
      <c r="F224" s="449">
        <f t="shared" si="25"/>
        <v>1.2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0.68859999999999999</v>
      </c>
      <c r="D225" s="459">
        <v>0.875</v>
      </c>
      <c r="E225" s="460">
        <f t="shared" si="24"/>
        <v>0.18640000000000001</v>
      </c>
      <c r="F225" s="449">
        <f t="shared" si="25"/>
        <v>0.27069416206796398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3.4430000000000001</v>
      </c>
      <c r="D226" s="463">
        <f>LN_IG3*LN_IG4</f>
        <v>9.625</v>
      </c>
      <c r="E226" s="463">
        <f t="shared" si="24"/>
        <v>6.1820000000000004</v>
      </c>
      <c r="F226" s="449">
        <f t="shared" si="25"/>
        <v>1.7955271565495208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7049.9564333430144</v>
      </c>
      <c r="D227" s="465">
        <f>IF(LN_IG5=0,0,LN_IG2/LN_IG5)</f>
        <v>5199.8961038961043</v>
      </c>
      <c r="E227" s="465">
        <f t="shared" si="24"/>
        <v>-1850.0603294469101</v>
      </c>
      <c r="F227" s="449">
        <f t="shared" si="25"/>
        <v>-0.26242152656390688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10</v>
      </c>
      <c r="D228" s="456">
        <v>22</v>
      </c>
      <c r="E228" s="456">
        <f t="shared" si="24"/>
        <v>12</v>
      </c>
      <c r="F228" s="449">
        <f t="shared" si="25"/>
        <v>1.2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2427.3000000000002</v>
      </c>
      <c r="D229" s="465">
        <f>IF(LN_IG6=0,0,LN_IG2/LN_IG6)</f>
        <v>2274.9545454545455</v>
      </c>
      <c r="E229" s="465">
        <f t="shared" si="24"/>
        <v>-152.34545454545469</v>
      </c>
      <c r="F229" s="449">
        <f t="shared" si="25"/>
        <v>-6.2763339737755802E-2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2</v>
      </c>
      <c r="D230" s="466">
        <f>IF(LN_IG3=0,0,LN_IG6/LN_IG3)</f>
        <v>2</v>
      </c>
      <c r="E230" s="466">
        <f t="shared" si="24"/>
        <v>0</v>
      </c>
      <c r="F230" s="449">
        <f t="shared" si="25"/>
        <v>0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185972</v>
      </c>
      <c r="D233" s="448">
        <v>177520</v>
      </c>
      <c r="E233" s="448">
        <f>D233-C233</f>
        <v>-8452</v>
      </c>
      <c r="F233" s="449">
        <f>IF(C233=0,0,E233/C233)</f>
        <v>-4.5447701804572728E-2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40711</v>
      </c>
      <c r="D234" s="448">
        <v>35754</v>
      </c>
      <c r="E234" s="448">
        <f>D234-C234</f>
        <v>-4957</v>
      </c>
      <c r="F234" s="449">
        <f>IF(C234=0,0,E234/C234)</f>
        <v>-0.1217607034953698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224112</v>
      </c>
      <c r="D237" s="448">
        <f>LN_IG1+LN_IG9</f>
        <v>245860</v>
      </c>
      <c r="E237" s="448">
        <f>D237-C237</f>
        <v>21748</v>
      </c>
      <c r="F237" s="449">
        <f>IF(C237=0,0,E237/C237)</f>
        <v>9.7040765331619899E-2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64984</v>
      </c>
      <c r="D238" s="448">
        <f>LN_IG2+LN_IG10</f>
        <v>85803</v>
      </c>
      <c r="E238" s="448">
        <f>D238-C238</f>
        <v>20819</v>
      </c>
      <c r="F238" s="449">
        <f>IF(C238=0,0,E238/C238)</f>
        <v>0.3203711682875785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159128</v>
      </c>
      <c r="D239" s="448">
        <f>LN_IG13-LN_IG14</f>
        <v>160057</v>
      </c>
      <c r="E239" s="448">
        <f>D239-C239</f>
        <v>929</v>
      </c>
      <c r="F239" s="449">
        <f>IF(C239=0,0,E239/C239)</f>
        <v>5.8380674676989592E-3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1092483</v>
      </c>
      <c r="D243" s="448">
        <v>851556</v>
      </c>
      <c r="E243" s="441">
        <f>D243-C243</f>
        <v>-240927</v>
      </c>
      <c r="F243" s="503">
        <f>IF(C243=0,0,E243/C243)</f>
        <v>-0.22053157806574564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48236048</v>
      </c>
      <c r="D244" s="448">
        <v>50076702</v>
      </c>
      <c r="E244" s="441">
        <f>D244-C244</f>
        <v>1840654</v>
      </c>
      <c r="F244" s="503">
        <f>IF(C244=0,0,E244/C244)</f>
        <v>3.8159303598006206E-2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892961</v>
      </c>
      <c r="D248" s="441">
        <v>741722</v>
      </c>
      <c r="E248" s="441">
        <f>D248-C248</f>
        <v>-151239</v>
      </c>
      <c r="F248" s="449">
        <f>IF(C248=0,0,E248/C248)</f>
        <v>-0.16936797911666915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2270701</v>
      </c>
      <c r="D249" s="441">
        <v>1930565</v>
      </c>
      <c r="E249" s="441">
        <f>D249-C249</f>
        <v>-340136</v>
      </c>
      <c r="F249" s="449">
        <f>IF(C249=0,0,E249/C249)</f>
        <v>-0.14979338979460527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3163662</v>
      </c>
      <c r="D250" s="441">
        <f>LN_IH4+LN_IH5</f>
        <v>2672287</v>
      </c>
      <c r="E250" s="441">
        <f>D250-C250</f>
        <v>-491375</v>
      </c>
      <c r="F250" s="449">
        <f>IF(C250=0,0,E250/C250)</f>
        <v>-0.15531842529322032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1075084.7528044167</v>
      </c>
      <c r="D251" s="441">
        <f>LN_IH6*LN_III10</f>
        <v>923794.32267655199</v>
      </c>
      <c r="E251" s="441">
        <f>D251-C251</f>
        <v>-151290.4301278647</v>
      </c>
      <c r="F251" s="449">
        <f>IF(C251=0,0,E251/C251)</f>
        <v>-0.14072418917040302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19182465</v>
      </c>
      <c r="D254" s="441">
        <f>LN_IF23</f>
        <v>20897497</v>
      </c>
      <c r="E254" s="441">
        <f>D254-C254</f>
        <v>1715032</v>
      </c>
      <c r="F254" s="449">
        <f>IF(C254=0,0,E254/C254)</f>
        <v>8.9406236372645539E-2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4306065</v>
      </c>
      <c r="D255" s="441">
        <f>LN_IF24</f>
        <v>4630448</v>
      </c>
      <c r="E255" s="441">
        <f>D255-C255</f>
        <v>324383</v>
      </c>
      <c r="F255" s="449">
        <f>IF(C255=0,0,E255/C255)</f>
        <v>7.5331654306193707E-2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6518640.6268129703</v>
      </c>
      <c r="D256" s="441">
        <f>LN_IH8*LN_III10</f>
        <v>7224145.1186756054</v>
      </c>
      <c r="E256" s="441">
        <f>D256-C256</f>
        <v>705504.49186263513</v>
      </c>
      <c r="F256" s="449">
        <f>IF(C256=0,0,E256/C256)</f>
        <v>0.10822877533096398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2212575.6268129703</v>
      </c>
      <c r="D257" s="441">
        <f>LN_IH10-LN_IH9</f>
        <v>2593697.1186756054</v>
      </c>
      <c r="E257" s="441">
        <f>D257-C257</f>
        <v>381121.49186263513</v>
      </c>
      <c r="F257" s="449">
        <f>IF(C257=0,0,E257/C257)</f>
        <v>0.17225241354195367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57855847</v>
      </c>
      <c r="D261" s="448">
        <f>LN_IA1+LN_IB1+LN_IF1+LN_IG1</f>
        <v>53524192</v>
      </c>
      <c r="E261" s="448">
        <f t="shared" ref="E261:E274" si="26">D261-C261</f>
        <v>-4331655</v>
      </c>
      <c r="F261" s="503">
        <f t="shared" ref="F261:F274" si="27">IF(C261=0,0,E261/C261)</f>
        <v>-7.4869788009498853E-2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23486956</v>
      </c>
      <c r="D262" s="448">
        <f>+LN_IA2+LN_IB2+LN_IF2+LN_IG2</f>
        <v>22405181</v>
      </c>
      <c r="E262" s="448">
        <f t="shared" si="26"/>
        <v>-1081775</v>
      </c>
      <c r="F262" s="503">
        <f t="shared" si="27"/>
        <v>-4.605854415531753E-2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0.40595648007711305</v>
      </c>
      <c r="D263" s="453">
        <f>IF(LN_IIA1=0,0,LN_IIA2/LN_IIA1)</f>
        <v>0.41859914485023891</v>
      </c>
      <c r="E263" s="454">
        <f t="shared" si="26"/>
        <v>1.2642664773125867E-2</v>
      </c>
      <c r="F263" s="458">
        <f t="shared" si="27"/>
        <v>3.1142906674933094E-2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2616</v>
      </c>
      <c r="D264" s="456">
        <f>LN_IA4+LN_IB4+LN_IF4+LN_IG3</f>
        <v>2466</v>
      </c>
      <c r="E264" s="456">
        <f t="shared" si="26"/>
        <v>-150</v>
      </c>
      <c r="F264" s="503">
        <f t="shared" si="27"/>
        <v>-5.7339449541284407E-2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1.0726553134556576</v>
      </c>
      <c r="D265" s="525">
        <f>IF(LN_IIA4=0,0,LN_IIA6/LN_IIA4)</f>
        <v>1.060227615571776</v>
      </c>
      <c r="E265" s="525">
        <f t="shared" si="26"/>
        <v>-1.2427697883881539E-2</v>
      </c>
      <c r="F265" s="503">
        <f t="shared" si="27"/>
        <v>-1.1585919286452391E-2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2806.0663</v>
      </c>
      <c r="D266" s="463">
        <f>LN_IA6+LN_IB6+LN_IF6+LN_IG5</f>
        <v>2614.5212999999999</v>
      </c>
      <c r="E266" s="463">
        <f t="shared" si="26"/>
        <v>-191.54500000000007</v>
      </c>
      <c r="F266" s="503">
        <f t="shared" si="27"/>
        <v>-6.8261038593421711E-2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87316500</v>
      </c>
      <c r="D267" s="448">
        <f>LN_IA11+LN_IB13+LN_IF14+LN_IG9</f>
        <v>90081833</v>
      </c>
      <c r="E267" s="448">
        <f t="shared" si="26"/>
        <v>2765333</v>
      </c>
      <c r="F267" s="503">
        <f t="shared" si="27"/>
        <v>3.1670222695595905E-2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1.5092078766040709</v>
      </c>
      <c r="D268" s="453">
        <f>IF(LN_IIA1=0,0,LN_IIA7/LN_IIA1)</f>
        <v>1.6830115436399302</v>
      </c>
      <c r="E268" s="454">
        <f t="shared" si="26"/>
        <v>0.17380366703585937</v>
      </c>
      <c r="F268" s="458">
        <f t="shared" si="27"/>
        <v>0.11516217860387926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25845930</v>
      </c>
      <c r="D269" s="448">
        <f>LN_IA12+LN_IB14+LN_IF15+LN_IG10</f>
        <v>26660068</v>
      </c>
      <c r="E269" s="448">
        <f t="shared" si="26"/>
        <v>814138</v>
      </c>
      <c r="F269" s="503">
        <f t="shared" si="27"/>
        <v>3.1499659714314787E-2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0.29600281733692946</v>
      </c>
      <c r="D270" s="453">
        <f>IF(LN_IIA7=0,0,LN_IIA9/LN_IIA7)</f>
        <v>0.29595388006813761</v>
      </c>
      <c r="E270" s="454">
        <f t="shared" si="26"/>
        <v>-4.8937268791848787E-5</v>
      </c>
      <c r="F270" s="458">
        <f t="shared" si="27"/>
        <v>-1.6532703719554547E-4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145172347</v>
      </c>
      <c r="D271" s="441">
        <f>LN_IIA1+LN_IIA7</f>
        <v>143606025</v>
      </c>
      <c r="E271" s="441">
        <f t="shared" si="26"/>
        <v>-1566322</v>
      </c>
      <c r="F271" s="503">
        <f t="shared" si="27"/>
        <v>-1.0789396413078587E-2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49332886</v>
      </c>
      <c r="D272" s="441">
        <f>LN_IIA2+LN_IIA9</f>
        <v>49065249</v>
      </c>
      <c r="E272" s="441">
        <f t="shared" si="26"/>
        <v>-267637</v>
      </c>
      <c r="F272" s="503">
        <f t="shared" si="27"/>
        <v>-5.4251235169983768E-3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0.33982288651708581</v>
      </c>
      <c r="D273" s="453">
        <f>IF(LN_IIA11=0,0,LN_IIA12/LN_IIA11)</f>
        <v>0.34166567175715645</v>
      </c>
      <c r="E273" s="454">
        <f t="shared" si="26"/>
        <v>1.8427852400706435E-3</v>
      </c>
      <c r="F273" s="458">
        <f t="shared" si="27"/>
        <v>5.4227814346400442E-3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11690</v>
      </c>
      <c r="D274" s="508">
        <f>LN_IA8+LN_IB10+LN_IF11+LN_IG6</f>
        <v>11029</v>
      </c>
      <c r="E274" s="528">
        <f t="shared" si="26"/>
        <v>-661</v>
      </c>
      <c r="F274" s="458">
        <f t="shared" si="27"/>
        <v>-5.6544054747647565E-2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45425371</v>
      </c>
      <c r="D277" s="448">
        <f>LN_IA1+LN_IF1+LN_IG1</f>
        <v>43653434</v>
      </c>
      <c r="E277" s="448">
        <f t="shared" ref="E277:E291" si="28">D277-C277</f>
        <v>-1771937</v>
      </c>
      <c r="F277" s="503">
        <f t="shared" ref="F277:F291" si="29">IF(C277=0,0,E277/C277)</f>
        <v>-3.9007650592440948E-2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18400286</v>
      </c>
      <c r="D278" s="448">
        <f>LN_IA2+LN_IF2+LN_IG2</f>
        <v>17717139</v>
      </c>
      <c r="E278" s="448">
        <f t="shared" si="28"/>
        <v>-683147</v>
      </c>
      <c r="F278" s="503">
        <f t="shared" si="29"/>
        <v>-3.7126977265462068E-2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0.40506627893033609</v>
      </c>
      <c r="D279" s="453">
        <f>IF(D277=0,0,LN_IIB2/D277)</f>
        <v>0.40585899840090472</v>
      </c>
      <c r="E279" s="454">
        <f t="shared" si="28"/>
        <v>7.927194705686369E-4</v>
      </c>
      <c r="F279" s="458">
        <f t="shared" si="29"/>
        <v>1.9570117578337595E-3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1913</v>
      </c>
      <c r="D280" s="456">
        <f>LN_IA4+LN_IF4+LN_IG3</f>
        <v>1819</v>
      </c>
      <c r="E280" s="456">
        <f t="shared" si="28"/>
        <v>-94</v>
      </c>
      <c r="F280" s="503">
        <f t="shared" si="29"/>
        <v>-4.9137480397281753E-2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1.1273942498693155</v>
      </c>
      <c r="D281" s="525">
        <f>IF(LN_IIB4=0,0,LN_IIB6/LN_IIB4)</f>
        <v>1.1254354040681693</v>
      </c>
      <c r="E281" s="525">
        <f t="shared" si="28"/>
        <v>-1.9588458011461363E-3</v>
      </c>
      <c r="F281" s="503">
        <f t="shared" si="29"/>
        <v>-1.737498485000434E-3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2156.7052000000003</v>
      </c>
      <c r="D282" s="463">
        <f>LN_IA6+LN_IF6+LN_IG5</f>
        <v>2047.1669999999999</v>
      </c>
      <c r="E282" s="463">
        <f t="shared" si="28"/>
        <v>-109.53820000000042</v>
      </c>
      <c r="F282" s="503">
        <f t="shared" si="29"/>
        <v>-5.0789602584535153E-2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47505033</v>
      </c>
      <c r="D283" s="448">
        <f>LN_IA11+LN_IF14+LN_IG9</f>
        <v>48860337</v>
      </c>
      <c r="E283" s="448">
        <f t="shared" si="28"/>
        <v>1355304</v>
      </c>
      <c r="F283" s="503">
        <f t="shared" si="29"/>
        <v>2.8529692843282523E-2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1.0457819485943218</v>
      </c>
      <c r="D284" s="453">
        <f>IF(D277=0,0,LN_IIB7/D277)</f>
        <v>1.1192781992820999</v>
      </c>
      <c r="E284" s="454">
        <f t="shared" si="28"/>
        <v>7.3496250687778097E-2</v>
      </c>
      <c r="F284" s="458">
        <f t="shared" si="29"/>
        <v>7.0278752455583501E-2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9616861</v>
      </c>
      <c r="D285" s="448">
        <f>LN_IA12+LN_IF15+LN_IG10</f>
        <v>9417089</v>
      </c>
      <c r="E285" s="448">
        <f t="shared" si="28"/>
        <v>-199772</v>
      </c>
      <c r="F285" s="503">
        <f t="shared" si="29"/>
        <v>-2.077309841537691E-2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0.20243878159183681</v>
      </c>
      <c r="D286" s="453">
        <f>IF(LN_IIB7=0,0,LN_IIB9/LN_IIB7)</f>
        <v>0.19273483520999865</v>
      </c>
      <c r="E286" s="454">
        <f t="shared" si="28"/>
        <v>-9.7039463818381633E-3</v>
      </c>
      <c r="F286" s="458">
        <f t="shared" si="29"/>
        <v>-4.7935214317795849E-2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92930404</v>
      </c>
      <c r="D287" s="441">
        <f>D277+LN_IIB7</f>
        <v>92513771</v>
      </c>
      <c r="E287" s="441">
        <f t="shared" si="28"/>
        <v>-416633</v>
      </c>
      <c r="F287" s="503">
        <f t="shared" si="29"/>
        <v>-4.4832797670824719E-3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28017147</v>
      </c>
      <c r="D288" s="441">
        <f>LN_IIB2+LN_IIB9</f>
        <v>27134228</v>
      </c>
      <c r="E288" s="441">
        <f t="shared" si="28"/>
        <v>-882919</v>
      </c>
      <c r="F288" s="503">
        <f t="shared" si="29"/>
        <v>-3.151352277232225E-2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0.3014852598725386</v>
      </c>
      <c r="D289" s="453">
        <f>IF(LN_IIB11=0,0,LN_IIB12/LN_IIB11)</f>
        <v>0.29329934026794779</v>
      </c>
      <c r="E289" s="454">
        <f t="shared" si="28"/>
        <v>-8.1859196045908078E-3</v>
      </c>
      <c r="F289" s="458">
        <f t="shared" si="29"/>
        <v>-2.7151972895960604E-2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9580</v>
      </c>
      <c r="D290" s="508">
        <f>LN_IA8+LN_IF11+LN_IG6</f>
        <v>9161</v>
      </c>
      <c r="E290" s="528">
        <f t="shared" si="28"/>
        <v>-419</v>
      </c>
      <c r="F290" s="458">
        <f t="shared" si="29"/>
        <v>-4.3736951983298536E-2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64913257</v>
      </c>
      <c r="D291" s="516">
        <f>LN_IIB11-LN_IIB12</f>
        <v>65379543</v>
      </c>
      <c r="E291" s="441">
        <f t="shared" si="28"/>
        <v>466286</v>
      </c>
      <c r="F291" s="503">
        <f t="shared" si="29"/>
        <v>7.1832168273423718E-3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5.6297056810403836</v>
      </c>
      <c r="D294" s="466">
        <f>IF(LN_IA4=0,0,LN_IA8/LN_IA4)</f>
        <v>5.4517730496453902</v>
      </c>
      <c r="E294" s="466">
        <f t="shared" ref="E294:E300" si="30">D294-C294</f>
        <v>-0.17793263139499338</v>
      </c>
      <c r="F294" s="503">
        <f t="shared" ref="F294:F300" si="31">IF(C294=0,0,E294/C294)</f>
        <v>-3.1606027290952625E-2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3.0014224751066858</v>
      </c>
      <c r="D295" s="466">
        <f>IF(LN_IB4=0,0,(LN_IB10)/(LN_IB4))</f>
        <v>2.8871715610510047</v>
      </c>
      <c r="E295" s="466">
        <f t="shared" si="30"/>
        <v>-0.11425091405568111</v>
      </c>
      <c r="F295" s="503">
        <f t="shared" si="31"/>
        <v>-3.8065588901016023E-2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2.3250000000000002</v>
      </c>
      <c r="D296" s="466">
        <f>IF(LN_IC4=0,0,LN_IC11/LN_IC4)</f>
        <v>2.7555555555555555</v>
      </c>
      <c r="E296" s="466">
        <f t="shared" si="30"/>
        <v>0.43055555555555536</v>
      </c>
      <c r="F296" s="503">
        <f t="shared" si="31"/>
        <v>0.18518518518518509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3.0255319148936168</v>
      </c>
      <c r="D297" s="466">
        <f>IF(LN_ID4=0,0,LN_ID11/LN_ID4)</f>
        <v>3.6301369863013697</v>
      </c>
      <c r="E297" s="466">
        <f t="shared" si="30"/>
        <v>0.60460507140775288</v>
      </c>
      <c r="F297" s="503">
        <f t="shared" si="31"/>
        <v>0.19983430630214055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2.9905660377358489</v>
      </c>
      <c r="D298" s="466">
        <f>IF(LN_IE4=0,0,LN_IE11/LN_IE4)</f>
        <v>3.6703910614525141</v>
      </c>
      <c r="E298" s="466">
        <f t="shared" si="30"/>
        <v>0.6798250237166652</v>
      </c>
      <c r="F298" s="503">
        <f t="shared" si="31"/>
        <v>0.22732319405036755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</v>
      </c>
      <c r="D299" s="466">
        <f>IF(LN_IG3=0,0,LN_IG6/LN_IG3)</f>
        <v>2</v>
      </c>
      <c r="E299" s="466">
        <f t="shared" si="30"/>
        <v>0</v>
      </c>
      <c r="F299" s="503">
        <f t="shared" si="31"/>
        <v>0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4.4686544342507641</v>
      </c>
      <c r="D300" s="466">
        <f>IF(LN_IIA4=0,0,LN_IIA14/LN_IIA4)</f>
        <v>4.4724249797242495</v>
      </c>
      <c r="E300" s="466">
        <f t="shared" si="30"/>
        <v>3.7705454734853205E-3</v>
      </c>
      <c r="F300" s="503">
        <f t="shared" si="31"/>
        <v>8.4377647208191617E-4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145172347</v>
      </c>
      <c r="D304" s="441">
        <f>LN_IIA11</f>
        <v>143606025</v>
      </c>
      <c r="E304" s="441">
        <f t="shared" ref="E304:E316" si="32">D304-C304</f>
        <v>-1566322</v>
      </c>
      <c r="F304" s="449">
        <f>IF(C304=0,0,E304/C304)</f>
        <v>-1.0789396413078587E-2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64913257</v>
      </c>
      <c r="D305" s="441">
        <f>LN_IIB14</f>
        <v>65379543</v>
      </c>
      <c r="E305" s="441">
        <f t="shared" si="32"/>
        <v>466286</v>
      </c>
      <c r="F305" s="449">
        <f>IF(C305=0,0,E305/C305)</f>
        <v>7.1832168273423718E-3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3163662</v>
      </c>
      <c r="D306" s="441">
        <f>LN_IH6</f>
        <v>2672287</v>
      </c>
      <c r="E306" s="441">
        <f t="shared" si="32"/>
        <v>-491375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26762108</v>
      </c>
      <c r="D307" s="441">
        <f>LN_IB32-LN_IB33</f>
        <v>25256860</v>
      </c>
      <c r="E307" s="441">
        <f t="shared" si="32"/>
        <v>-1505248</v>
      </c>
      <c r="F307" s="449">
        <f t="shared" ref="F307:F316" si="33">IF(C307=0,0,E307/C307)</f>
        <v>-5.6245494562685419E-2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1000434</v>
      </c>
      <c r="D308" s="441">
        <v>653554</v>
      </c>
      <c r="E308" s="441">
        <f t="shared" si="32"/>
        <v>-346880</v>
      </c>
      <c r="F308" s="449">
        <f t="shared" si="33"/>
        <v>-0.34672951938858537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95839461</v>
      </c>
      <c r="D309" s="441">
        <f>LN_III2+LN_III3+LN_III4+LN_III5</f>
        <v>93962244</v>
      </c>
      <c r="E309" s="441">
        <f t="shared" si="32"/>
        <v>-1877217</v>
      </c>
      <c r="F309" s="449">
        <f t="shared" si="33"/>
        <v>-1.9587098888212653E-2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49332886</v>
      </c>
      <c r="D310" s="441">
        <f>LN_III1-LN_III6</f>
        <v>49643781</v>
      </c>
      <c r="E310" s="441">
        <f t="shared" si="32"/>
        <v>310895</v>
      </c>
      <c r="F310" s="449">
        <f t="shared" si="33"/>
        <v>6.3019828193306999E-3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49332886</v>
      </c>
      <c r="D312" s="441">
        <f>LN_III7+LN_III8</f>
        <v>49643781</v>
      </c>
      <c r="E312" s="441">
        <f t="shared" si="32"/>
        <v>310895</v>
      </c>
      <c r="F312" s="449">
        <f t="shared" si="33"/>
        <v>6.3019828193306999E-3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0.33982288651708581</v>
      </c>
      <c r="D313" s="532">
        <f>IF(LN_III1=0,0,LN_III9/LN_III1)</f>
        <v>0.34569427710292794</v>
      </c>
      <c r="E313" s="532">
        <f t="shared" si="32"/>
        <v>5.8713905858421289E-3</v>
      </c>
      <c r="F313" s="449">
        <f t="shared" si="33"/>
        <v>1.7277796225025368E-2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1075084.7528044167</v>
      </c>
      <c r="D314" s="441">
        <f>D313*LN_III5</f>
        <v>923794.32267655199</v>
      </c>
      <c r="E314" s="441">
        <f t="shared" si="32"/>
        <v>-151290.4301278647</v>
      </c>
      <c r="F314" s="449">
        <f t="shared" si="33"/>
        <v>-0.14072418917040302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2212575.6268129703</v>
      </c>
      <c r="D315" s="441">
        <f>D313*LN_IH8-LN_IH9</f>
        <v>2593697.1186756054</v>
      </c>
      <c r="E315" s="441">
        <f t="shared" si="32"/>
        <v>381121.49186263513</v>
      </c>
      <c r="F315" s="449">
        <f t="shared" si="33"/>
        <v>0.17225241354195367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3287660.379617387</v>
      </c>
      <c r="D318" s="441">
        <f>D314+D315+D316</f>
        <v>3517491.4413521574</v>
      </c>
      <c r="E318" s="441">
        <f>D318-C318</f>
        <v>229831.06173477042</v>
      </c>
      <c r="F318" s="449">
        <f>IF(C318=0,0,E318/C318)</f>
        <v>6.9907178721884233E-2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881999.45088986855</v>
      </c>
      <c r="D322" s="441">
        <f>LN_ID22</f>
        <v>1026642.0170012238</v>
      </c>
      <c r="E322" s="441">
        <f>LN_IV2-C322</f>
        <v>144642.56611135521</v>
      </c>
      <c r="F322" s="449">
        <f>IF(C322=0,0,E322/C322)</f>
        <v>0.16399394122685923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1693277.6955509735</v>
      </c>
      <c r="D323" s="441">
        <f>LN_IE10+LN_IE22</f>
        <v>1096517.439829648</v>
      </c>
      <c r="E323" s="441">
        <f>LN_IV3-C323</f>
        <v>-596760.25572132552</v>
      </c>
      <c r="F323" s="449">
        <f>IF(C323=0,0,E323/C323)</f>
        <v>-0.35242905359781901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1167368.3851997338</v>
      </c>
      <c r="D324" s="441">
        <f>LN_IC10+LN_IC22</f>
        <v>1403330.7283241358</v>
      </c>
      <c r="E324" s="441">
        <f>LN_IV1-C324</f>
        <v>235962.34312440199</v>
      </c>
      <c r="F324" s="449">
        <f>IF(C324=0,0,E324/C324)</f>
        <v>0.20213186010175307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3742645.5316405757</v>
      </c>
      <c r="D325" s="516">
        <f>LN_IV1+LN_IV2+LN_IV3</f>
        <v>3526490.1851550075</v>
      </c>
      <c r="E325" s="441">
        <f>LN_IV4-C325</f>
        <v>-216155.34648556821</v>
      </c>
      <c r="F325" s="449">
        <f>IF(C325=0,0,E325/C325)</f>
        <v>-5.7754693747558095E-2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1748963</v>
      </c>
      <c r="D329" s="518">
        <v>1159710</v>
      </c>
      <c r="E329" s="518">
        <f t="shared" ref="E329:E335" si="34">D329-C329</f>
        <v>-589253</v>
      </c>
      <c r="F329" s="542">
        <f t="shared" ref="F329:F335" si="35">IF(C329=0,0,E329/C329)</f>
        <v>-0.33691564658600553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753030</v>
      </c>
      <c r="D330" s="516">
        <v>420328</v>
      </c>
      <c r="E330" s="518">
        <f t="shared" si="34"/>
        <v>-332702</v>
      </c>
      <c r="F330" s="543">
        <f t="shared" si="35"/>
        <v>-0.44181772306548212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50085912</v>
      </c>
      <c r="D331" s="516">
        <v>49485574</v>
      </c>
      <c r="E331" s="518">
        <f t="shared" si="34"/>
        <v>-600338</v>
      </c>
      <c r="F331" s="542">
        <f t="shared" si="35"/>
        <v>-1.1986164892035907E-2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145172348</v>
      </c>
      <c r="D333" s="516">
        <v>143606025</v>
      </c>
      <c r="E333" s="518">
        <f t="shared" si="34"/>
        <v>-1566323</v>
      </c>
      <c r="F333" s="542">
        <f t="shared" si="35"/>
        <v>-1.0789403227121462E-2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3163662</v>
      </c>
      <c r="D335" s="516">
        <v>2672287</v>
      </c>
      <c r="E335" s="516">
        <f t="shared" si="34"/>
        <v>-491375</v>
      </c>
      <c r="F335" s="542">
        <f t="shared" si="35"/>
        <v>-0.15531842529322032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scale="81" fitToHeight="0" orientation="portrait" horizontalDpi="1200" verticalDpi="1200" r:id="rId1"/>
  <headerFooter>
    <oddHeader>&amp;LOFFICE OF HEALTH CARE ACCESS&amp;CTWELVE MONTHS ACTUAL FILING&amp;RESSENT-SHARON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12430476</v>
      </c>
      <c r="D14" s="589">
        <v>9870758</v>
      </c>
      <c r="E14" s="590">
        <f t="shared" ref="E14:E22" si="0">D14-C14</f>
        <v>-2559718</v>
      </c>
    </row>
    <row r="15" spans="1:5" s="421" customFormat="1" x14ac:dyDescent="0.2">
      <c r="A15" s="588">
        <v>2</v>
      </c>
      <c r="B15" s="587" t="s">
        <v>635</v>
      </c>
      <c r="C15" s="589">
        <v>38229340</v>
      </c>
      <c r="D15" s="591">
        <v>36430178</v>
      </c>
      <c r="E15" s="590">
        <f t="shared" si="0"/>
        <v>-1799162</v>
      </c>
    </row>
    <row r="16" spans="1:5" s="421" customFormat="1" x14ac:dyDescent="0.2">
      <c r="A16" s="588">
        <v>3</v>
      </c>
      <c r="B16" s="587" t="s">
        <v>777</v>
      </c>
      <c r="C16" s="589">
        <v>7157891</v>
      </c>
      <c r="D16" s="591">
        <v>7154916</v>
      </c>
      <c r="E16" s="590">
        <f t="shared" si="0"/>
        <v>-2975</v>
      </c>
    </row>
    <row r="17" spans="1:5" s="421" customFormat="1" x14ac:dyDescent="0.2">
      <c r="A17" s="588">
        <v>4</v>
      </c>
      <c r="B17" s="587" t="s">
        <v>115</v>
      </c>
      <c r="C17" s="589">
        <v>3849691</v>
      </c>
      <c r="D17" s="591">
        <v>3561353</v>
      </c>
      <c r="E17" s="590">
        <f t="shared" si="0"/>
        <v>-288338</v>
      </c>
    </row>
    <row r="18" spans="1:5" s="421" customFormat="1" x14ac:dyDescent="0.2">
      <c r="A18" s="588">
        <v>5</v>
      </c>
      <c r="B18" s="587" t="s">
        <v>743</v>
      </c>
      <c r="C18" s="589">
        <v>3308200</v>
      </c>
      <c r="D18" s="591">
        <v>3593563</v>
      </c>
      <c r="E18" s="590">
        <f t="shared" si="0"/>
        <v>285363</v>
      </c>
    </row>
    <row r="19" spans="1:5" s="421" customFormat="1" x14ac:dyDescent="0.2">
      <c r="A19" s="588">
        <v>6</v>
      </c>
      <c r="B19" s="587" t="s">
        <v>424</v>
      </c>
      <c r="C19" s="589">
        <v>38140</v>
      </c>
      <c r="D19" s="591">
        <v>68340</v>
      </c>
      <c r="E19" s="590">
        <f t="shared" si="0"/>
        <v>30200</v>
      </c>
    </row>
    <row r="20" spans="1:5" s="421" customFormat="1" x14ac:dyDescent="0.2">
      <c r="A20" s="588">
        <v>7</v>
      </c>
      <c r="B20" s="587" t="s">
        <v>758</v>
      </c>
      <c r="C20" s="589">
        <v>456951</v>
      </c>
      <c r="D20" s="591">
        <v>365024</v>
      </c>
      <c r="E20" s="590">
        <f t="shared" si="0"/>
        <v>-91927</v>
      </c>
    </row>
    <row r="21" spans="1:5" s="421" customFormat="1" x14ac:dyDescent="0.2">
      <c r="A21" s="588"/>
      <c r="B21" s="592" t="s">
        <v>778</v>
      </c>
      <c r="C21" s="593">
        <f>SUM(C15+C16+C19)</f>
        <v>45425371</v>
      </c>
      <c r="D21" s="593">
        <f>SUM(D15+D16+D19)</f>
        <v>43653434</v>
      </c>
      <c r="E21" s="593">
        <f t="shared" si="0"/>
        <v>-1771937</v>
      </c>
    </row>
    <row r="22" spans="1:5" s="421" customFormat="1" x14ac:dyDescent="0.2">
      <c r="A22" s="588"/>
      <c r="B22" s="592" t="s">
        <v>465</v>
      </c>
      <c r="C22" s="593">
        <f>SUM(C14+C21)</f>
        <v>57855847</v>
      </c>
      <c r="D22" s="593">
        <f>SUM(D14+D21)</f>
        <v>53524192</v>
      </c>
      <c r="E22" s="593">
        <f t="shared" si="0"/>
        <v>-4331655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39811467</v>
      </c>
      <c r="D25" s="589">
        <v>41221496</v>
      </c>
      <c r="E25" s="590">
        <f t="shared" ref="E25:E33" si="1">D25-C25</f>
        <v>1410029</v>
      </c>
    </row>
    <row r="26" spans="1:5" s="421" customFormat="1" x14ac:dyDescent="0.2">
      <c r="A26" s="588">
        <v>2</v>
      </c>
      <c r="B26" s="587" t="s">
        <v>635</v>
      </c>
      <c r="C26" s="589">
        <v>35294487</v>
      </c>
      <c r="D26" s="591">
        <v>34940236</v>
      </c>
      <c r="E26" s="590">
        <f t="shared" si="1"/>
        <v>-354251</v>
      </c>
    </row>
    <row r="27" spans="1:5" s="421" customFormat="1" x14ac:dyDescent="0.2">
      <c r="A27" s="588">
        <v>3</v>
      </c>
      <c r="B27" s="587" t="s">
        <v>777</v>
      </c>
      <c r="C27" s="589">
        <v>12024574</v>
      </c>
      <c r="D27" s="591">
        <v>13742581</v>
      </c>
      <c r="E27" s="590">
        <f t="shared" si="1"/>
        <v>1718007</v>
      </c>
    </row>
    <row r="28" spans="1:5" s="421" customFormat="1" x14ac:dyDescent="0.2">
      <c r="A28" s="588">
        <v>4</v>
      </c>
      <c r="B28" s="587" t="s">
        <v>115</v>
      </c>
      <c r="C28" s="589">
        <v>6879873</v>
      </c>
      <c r="D28" s="591">
        <v>8023925</v>
      </c>
      <c r="E28" s="590">
        <f t="shared" si="1"/>
        <v>1144052</v>
      </c>
    </row>
    <row r="29" spans="1:5" s="421" customFormat="1" x14ac:dyDescent="0.2">
      <c r="A29" s="588">
        <v>5</v>
      </c>
      <c r="B29" s="587" t="s">
        <v>743</v>
      </c>
      <c r="C29" s="589">
        <v>5144701</v>
      </c>
      <c r="D29" s="591">
        <v>5718656</v>
      </c>
      <c r="E29" s="590">
        <f t="shared" si="1"/>
        <v>573955</v>
      </c>
    </row>
    <row r="30" spans="1:5" s="421" customFormat="1" x14ac:dyDescent="0.2">
      <c r="A30" s="588">
        <v>6</v>
      </c>
      <c r="B30" s="587" t="s">
        <v>424</v>
      </c>
      <c r="C30" s="589">
        <v>185972</v>
      </c>
      <c r="D30" s="591">
        <v>177520</v>
      </c>
      <c r="E30" s="590">
        <f t="shared" si="1"/>
        <v>-8452</v>
      </c>
    </row>
    <row r="31" spans="1:5" s="421" customFormat="1" x14ac:dyDescent="0.2">
      <c r="A31" s="588">
        <v>7</v>
      </c>
      <c r="B31" s="587" t="s">
        <v>758</v>
      </c>
      <c r="C31" s="590">
        <v>2398137</v>
      </c>
      <c r="D31" s="594">
        <v>2051499</v>
      </c>
      <c r="E31" s="590">
        <f t="shared" si="1"/>
        <v>-346638</v>
      </c>
    </row>
    <row r="32" spans="1:5" s="421" customFormat="1" x14ac:dyDescent="0.2">
      <c r="A32" s="588"/>
      <c r="B32" s="592" t="s">
        <v>780</v>
      </c>
      <c r="C32" s="593">
        <f>SUM(C26+C27+C30)</f>
        <v>47505033</v>
      </c>
      <c r="D32" s="593">
        <f>SUM(D26+D27+D30)</f>
        <v>48860337</v>
      </c>
      <c r="E32" s="593">
        <f t="shared" si="1"/>
        <v>1355304</v>
      </c>
    </row>
    <row r="33" spans="1:5" s="421" customFormat="1" x14ac:dyDescent="0.2">
      <c r="A33" s="588"/>
      <c r="B33" s="592" t="s">
        <v>467</v>
      </c>
      <c r="C33" s="593">
        <f>SUM(C25+C32)</f>
        <v>87316500</v>
      </c>
      <c r="D33" s="593">
        <f>SUM(D25+D32)</f>
        <v>90081833</v>
      </c>
      <c r="E33" s="593">
        <f t="shared" si="1"/>
        <v>2765333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52241943</v>
      </c>
      <c r="D36" s="590">
        <f t="shared" si="2"/>
        <v>51092254</v>
      </c>
      <c r="E36" s="590">
        <f t="shared" ref="E36:E44" si="3">D36-C36</f>
        <v>-1149689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73523827</v>
      </c>
      <c r="D37" s="590">
        <f t="shared" si="2"/>
        <v>71370414</v>
      </c>
      <c r="E37" s="590">
        <f t="shared" si="3"/>
        <v>-2153413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19182465</v>
      </c>
      <c r="D38" s="590">
        <f t="shared" si="2"/>
        <v>20897497</v>
      </c>
      <c r="E38" s="590">
        <f t="shared" si="3"/>
        <v>1715032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10729564</v>
      </c>
      <c r="D39" s="590">
        <f t="shared" si="2"/>
        <v>11585278</v>
      </c>
      <c r="E39" s="590">
        <f t="shared" si="3"/>
        <v>855714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8452901</v>
      </c>
      <c r="D40" s="590">
        <f t="shared" si="2"/>
        <v>9312219</v>
      </c>
      <c r="E40" s="590">
        <f t="shared" si="3"/>
        <v>859318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224112</v>
      </c>
      <c r="D41" s="590">
        <f t="shared" si="2"/>
        <v>245860</v>
      </c>
      <c r="E41" s="590">
        <f t="shared" si="3"/>
        <v>21748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2855088</v>
      </c>
      <c r="D42" s="590">
        <f t="shared" si="2"/>
        <v>2416523</v>
      </c>
      <c r="E42" s="590">
        <f t="shared" si="3"/>
        <v>-438565</v>
      </c>
    </row>
    <row r="43" spans="1:5" s="421" customFormat="1" x14ac:dyDescent="0.2">
      <c r="A43" s="588"/>
      <c r="B43" s="592" t="s">
        <v>788</v>
      </c>
      <c r="C43" s="593">
        <f>SUM(C37+C38+C41)</f>
        <v>92930404</v>
      </c>
      <c r="D43" s="593">
        <f>SUM(D37+D38+D41)</f>
        <v>92513771</v>
      </c>
      <c r="E43" s="593">
        <f t="shared" si="3"/>
        <v>-416633</v>
      </c>
    </row>
    <row r="44" spans="1:5" s="421" customFormat="1" x14ac:dyDescent="0.2">
      <c r="A44" s="588"/>
      <c r="B44" s="592" t="s">
        <v>725</v>
      </c>
      <c r="C44" s="593">
        <f>SUM(C36+C43)</f>
        <v>145172347</v>
      </c>
      <c r="D44" s="593">
        <f>SUM(D36+D43)</f>
        <v>143606025</v>
      </c>
      <c r="E44" s="593">
        <f t="shared" si="3"/>
        <v>-1566322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5086670</v>
      </c>
      <c r="D47" s="589">
        <v>4688042</v>
      </c>
      <c r="E47" s="590">
        <f t="shared" ref="E47:E55" si="4">D47-C47</f>
        <v>-398628</v>
      </c>
    </row>
    <row r="48" spans="1:5" s="421" customFormat="1" x14ac:dyDescent="0.2">
      <c r="A48" s="588">
        <v>2</v>
      </c>
      <c r="B48" s="587" t="s">
        <v>635</v>
      </c>
      <c r="C48" s="589">
        <v>16145227</v>
      </c>
      <c r="D48" s="591">
        <v>15328148</v>
      </c>
      <c r="E48" s="590">
        <f t="shared" si="4"/>
        <v>-817079</v>
      </c>
    </row>
    <row r="49" spans="1:5" s="421" customFormat="1" x14ac:dyDescent="0.2">
      <c r="A49" s="588">
        <v>3</v>
      </c>
      <c r="B49" s="587" t="s">
        <v>777</v>
      </c>
      <c r="C49" s="589">
        <v>2230786</v>
      </c>
      <c r="D49" s="591">
        <v>2338942</v>
      </c>
      <c r="E49" s="590">
        <f t="shared" si="4"/>
        <v>108156</v>
      </c>
    </row>
    <row r="50" spans="1:5" s="421" customFormat="1" x14ac:dyDescent="0.2">
      <c r="A50" s="588">
        <v>4</v>
      </c>
      <c r="B50" s="587" t="s">
        <v>115</v>
      </c>
      <c r="C50" s="589">
        <v>993888</v>
      </c>
      <c r="D50" s="591">
        <v>1001592</v>
      </c>
      <c r="E50" s="590">
        <f t="shared" si="4"/>
        <v>7704</v>
      </c>
    </row>
    <row r="51" spans="1:5" s="421" customFormat="1" x14ac:dyDescent="0.2">
      <c r="A51" s="588">
        <v>5</v>
      </c>
      <c r="B51" s="587" t="s">
        <v>743</v>
      </c>
      <c r="C51" s="589">
        <v>1236898</v>
      </c>
      <c r="D51" s="591">
        <v>1337350</v>
      </c>
      <c r="E51" s="590">
        <f t="shared" si="4"/>
        <v>100452</v>
      </c>
    </row>
    <row r="52" spans="1:5" s="421" customFormat="1" x14ac:dyDescent="0.2">
      <c r="A52" s="588">
        <v>6</v>
      </c>
      <c r="B52" s="587" t="s">
        <v>424</v>
      </c>
      <c r="C52" s="589">
        <v>24273</v>
      </c>
      <c r="D52" s="591">
        <v>50049</v>
      </c>
      <c r="E52" s="590">
        <f t="shared" si="4"/>
        <v>25776</v>
      </c>
    </row>
    <row r="53" spans="1:5" s="421" customFormat="1" x14ac:dyDescent="0.2">
      <c r="A53" s="588">
        <v>7</v>
      </c>
      <c r="B53" s="587" t="s">
        <v>758</v>
      </c>
      <c r="C53" s="589">
        <v>36844</v>
      </c>
      <c r="D53" s="591">
        <v>5900</v>
      </c>
      <c r="E53" s="590">
        <f t="shared" si="4"/>
        <v>-30944</v>
      </c>
    </row>
    <row r="54" spans="1:5" s="421" customFormat="1" x14ac:dyDescent="0.2">
      <c r="A54" s="588"/>
      <c r="B54" s="592" t="s">
        <v>790</v>
      </c>
      <c r="C54" s="593">
        <f>SUM(C48+C49+C52)</f>
        <v>18400286</v>
      </c>
      <c r="D54" s="593">
        <f>SUM(D48+D49+D52)</f>
        <v>17717139</v>
      </c>
      <c r="E54" s="593">
        <f t="shared" si="4"/>
        <v>-683147</v>
      </c>
    </row>
    <row r="55" spans="1:5" s="421" customFormat="1" x14ac:dyDescent="0.2">
      <c r="A55" s="588"/>
      <c r="B55" s="592" t="s">
        <v>466</v>
      </c>
      <c r="C55" s="593">
        <f>SUM(C47+C54)</f>
        <v>23486956</v>
      </c>
      <c r="D55" s="593">
        <f>SUM(D47+D54)</f>
        <v>22405181</v>
      </c>
      <c r="E55" s="593">
        <f t="shared" si="4"/>
        <v>-1081775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16229069</v>
      </c>
      <c r="D58" s="589">
        <v>17242979</v>
      </c>
      <c r="E58" s="590">
        <f t="shared" ref="E58:E66" si="5">D58-C58</f>
        <v>1013910</v>
      </c>
    </row>
    <row r="59" spans="1:5" s="421" customFormat="1" x14ac:dyDescent="0.2">
      <c r="A59" s="588">
        <v>2</v>
      </c>
      <c r="B59" s="587" t="s">
        <v>635</v>
      </c>
      <c r="C59" s="589">
        <v>7500871</v>
      </c>
      <c r="D59" s="591">
        <v>7089829</v>
      </c>
      <c r="E59" s="590">
        <f t="shared" si="5"/>
        <v>-411042</v>
      </c>
    </row>
    <row r="60" spans="1:5" s="421" customFormat="1" x14ac:dyDescent="0.2">
      <c r="A60" s="588">
        <v>3</v>
      </c>
      <c r="B60" s="587" t="s">
        <v>777</v>
      </c>
      <c r="C60" s="589">
        <f>C61+C62</f>
        <v>2075279</v>
      </c>
      <c r="D60" s="591">
        <f>D61+D62</f>
        <v>2291506</v>
      </c>
      <c r="E60" s="590">
        <f t="shared" si="5"/>
        <v>216227</v>
      </c>
    </row>
    <row r="61" spans="1:5" s="421" customFormat="1" x14ac:dyDescent="0.2">
      <c r="A61" s="588">
        <v>4</v>
      </c>
      <c r="B61" s="587" t="s">
        <v>115</v>
      </c>
      <c r="C61" s="589">
        <v>1453468</v>
      </c>
      <c r="D61" s="591">
        <v>1560189</v>
      </c>
      <c r="E61" s="590">
        <f t="shared" si="5"/>
        <v>106721</v>
      </c>
    </row>
    <row r="62" spans="1:5" s="421" customFormat="1" x14ac:dyDescent="0.2">
      <c r="A62" s="588">
        <v>5</v>
      </c>
      <c r="B62" s="587" t="s">
        <v>743</v>
      </c>
      <c r="C62" s="589">
        <v>621811</v>
      </c>
      <c r="D62" s="591">
        <v>731317</v>
      </c>
      <c r="E62" s="590">
        <f t="shared" si="5"/>
        <v>109506</v>
      </c>
    </row>
    <row r="63" spans="1:5" s="421" customFormat="1" x14ac:dyDescent="0.2">
      <c r="A63" s="588">
        <v>6</v>
      </c>
      <c r="B63" s="587" t="s">
        <v>424</v>
      </c>
      <c r="C63" s="589">
        <v>40711</v>
      </c>
      <c r="D63" s="591">
        <v>35754</v>
      </c>
      <c r="E63" s="590">
        <f t="shared" si="5"/>
        <v>-4957</v>
      </c>
    </row>
    <row r="64" spans="1:5" s="421" customFormat="1" x14ac:dyDescent="0.2">
      <c r="A64" s="588">
        <v>7</v>
      </c>
      <c r="B64" s="587" t="s">
        <v>758</v>
      </c>
      <c r="C64" s="589">
        <v>242542</v>
      </c>
      <c r="D64" s="591">
        <v>224891</v>
      </c>
      <c r="E64" s="590">
        <f t="shared" si="5"/>
        <v>-17651</v>
      </c>
    </row>
    <row r="65" spans="1:5" s="421" customFormat="1" x14ac:dyDescent="0.2">
      <c r="A65" s="588"/>
      <c r="B65" s="592" t="s">
        <v>792</v>
      </c>
      <c r="C65" s="593">
        <f>SUM(C59+C60+C63)</f>
        <v>9616861</v>
      </c>
      <c r="D65" s="593">
        <f>SUM(D59+D60+D63)</f>
        <v>9417089</v>
      </c>
      <c r="E65" s="593">
        <f t="shared" si="5"/>
        <v>-199772</v>
      </c>
    </row>
    <row r="66" spans="1:5" s="421" customFormat="1" x14ac:dyDescent="0.2">
      <c r="A66" s="588"/>
      <c r="B66" s="592" t="s">
        <v>468</v>
      </c>
      <c r="C66" s="593">
        <f>SUM(C58+C65)</f>
        <v>25845930</v>
      </c>
      <c r="D66" s="593">
        <f>SUM(D58+D65)</f>
        <v>26660068</v>
      </c>
      <c r="E66" s="593">
        <f t="shared" si="5"/>
        <v>814138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21315739</v>
      </c>
      <c r="D69" s="590">
        <f t="shared" si="6"/>
        <v>21931021</v>
      </c>
      <c r="E69" s="590">
        <f t="shared" ref="E69:E77" si="7">D69-C69</f>
        <v>615282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23646098</v>
      </c>
      <c r="D70" s="590">
        <f t="shared" si="6"/>
        <v>22417977</v>
      </c>
      <c r="E70" s="590">
        <f t="shared" si="7"/>
        <v>-1228121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4306065</v>
      </c>
      <c r="D71" s="590">
        <f t="shared" si="6"/>
        <v>4630448</v>
      </c>
      <c r="E71" s="590">
        <f t="shared" si="7"/>
        <v>324383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2447356</v>
      </c>
      <c r="D72" s="590">
        <f t="shared" si="6"/>
        <v>2561781</v>
      </c>
      <c r="E72" s="590">
        <f t="shared" si="7"/>
        <v>114425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1858709</v>
      </c>
      <c r="D73" s="590">
        <f t="shared" si="6"/>
        <v>2068667</v>
      </c>
      <c r="E73" s="590">
        <f t="shared" si="7"/>
        <v>209958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64984</v>
      </c>
      <c r="D74" s="590">
        <f t="shared" si="6"/>
        <v>85803</v>
      </c>
      <c r="E74" s="590">
        <f t="shared" si="7"/>
        <v>20819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279386</v>
      </c>
      <c r="D75" s="590">
        <f t="shared" si="6"/>
        <v>230791</v>
      </c>
      <c r="E75" s="590">
        <f t="shared" si="7"/>
        <v>-48595</v>
      </c>
    </row>
    <row r="76" spans="1:5" s="421" customFormat="1" x14ac:dyDescent="0.2">
      <c r="A76" s="588"/>
      <c r="B76" s="592" t="s">
        <v>793</v>
      </c>
      <c r="C76" s="593">
        <f>SUM(C70+C71+C74)</f>
        <v>28017147</v>
      </c>
      <c r="D76" s="593">
        <f>SUM(D70+D71+D74)</f>
        <v>27134228</v>
      </c>
      <c r="E76" s="593">
        <f t="shared" si="7"/>
        <v>-882919</v>
      </c>
    </row>
    <row r="77" spans="1:5" s="421" customFormat="1" x14ac:dyDescent="0.2">
      <c r="A77" s="588"/>
      <c r="B77" s="592" t="s">
        <v>726</v>
      </c>
      <c r="C77" s="593">
        <f>SUM(C69+C76)</f>
        <v>49332886</v>
      </c>
      <c r="D77" s="593">
        <f>SUM(D69+D76)</f>
        <v>49065249</v>
      </c>
      <c r="E77" s="593">
        <f t="shared" si="7"/>
        <v>-267637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8.5625646046763995E-2</v>
      </c>
      <c r="D83" s="599">
        <f t="shared" si="8"/>
        <v>6.8734985179068911E-2</v>
      </c>
      <c r="E83" s="599">
        <f t="shared" ref="E83:E91" si="9">D83-C83</f>
        <v>-1.6890660867695084E-2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0.26333761759737895</v>
      </c>
      <c r="D84" s="599">
        <f t="shared" si="8"/>
        <v>0.25368140368762382</v>
      </c>
      <c r="E84" s="599">
        <f t="shared" si="9"/>
        <v>-9.6562139097551292E-3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4.9306160215209581E-2</v>
      </c>
      <c r="D85" s="599">
        <f t="shared" si="8"/>
        <v>4.9823229909747871E-2</v>
      </c>
      <c r="E85" s="599">
        <f t="shared" si="9"/>
        <v>5.1706969453828994E-4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2.6518073721023466E-2</v>
      </c>
      <c r="D86" s="599">
        <f t="shared" si="8"/>
        <v>2.479946784962539E-2</v>
      </c>
      <c r="E86" s="599">
        <f t="shared" si="9"/>
        <v>-1.7186058713980767E-3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2.2788086494186115E-2</v>
      </c>
      <c r="D87" s="599">
        <f t="shared" si="8"/>
        <v>2.5023762060122478E-2</v>
      </c>
      <c r="E87" s="599">
        <f t="shared" si="9"/>
        <v>2.2356755659363632E-3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2.6272221113846149E-4</v>
      </c>
      <c r="D88" s="599">
        <f t="shared" si="8"/>
        <v>4.758853258420042E-4</v>
      </c>
      <c r="E88" s="599">
        <f t="shared" si="9"/>
        <v>2.1316311470354272E-4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3.1476449161492166E-3</v>
      </c>
      <c r="D89" s="599">
        <f t="shared" si="8"/>
        <v>2.5418432130546054E-3</v>
      </c>
      <c r="E89" s="599">
        <f t="shared" si="9"/>
        <v>-6.0580170309461117E-4</v>
      </c>
    </row>
    <row r="90" spans="1:5" s="421" customFormat="1" x14ac:dyDescent="0.2">
      <c r="A90" s="588"/>
      <c r="B90" s="592" t="s">
        <v>796</v>
      </c>
      <c r="C90" s="600">
        <f>SUM(C84+C85+C88)</f>
        <v>0.312906500023727</v>
      </c>
      <c r="D90" s="600">
        <f>SUM(D84+D85+D88)</f>
        <v>0.30398051892321371</v>
      </c>
      <c r="E90" s="601">
        <f t="shared" si="9"/>
        <v>-8.9259811005132916E-3</v>
      </c>
    </row>
    <row r="91" spans="1:5" s="421" customFormat="1" x14ac:dyDescent="0.2">
      <c r="A91" s="588"/>
      <c r="B91" s="592" t="s">
        <v>797</v>
      </c>
      <c r="C91" s="600">
        <f>SUM(C83+C90)</f>
        <v>0.39853214607049098</v>
      </c>
      <c r="D91" s="600">
        <f>SUM(D83+D90)</f>
        <v>0.3727155041022826</v>
      </c>
      <c r="E91" s="601">
        <f t="shared" si="9"/>
        <v>-2.5816641968208376E-2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0.2742358846068666</v>
      </c>
      <c r="D95" s="599">
        <f t="shared" si="10"/>
        <v>0.28704572806050443</v>
      </c>
      <c r="E95" s="599">
        <f t="shared" ref="E95:E103" si="11">D95-C95</f>
        <v>1.2809843453637837E-2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0.2431212812175586</v>
      </c>
      <c r="D96" s="599">
        <f t="shared" si="10"/>
        <v>0.24330619832977063</v>
      </c>
      <c r="E96" s="599">
        <f t="shared" si="11"/>
        <v>1.8491711221202412E-4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8.2829645235397348E-2</v>
      </c>
      <c r="D97" s="599">
        <f t="shared" si="10"/>
        <v>9.5696409673619198E-2</v>
      </c>
      <c r="E97" s="599">
        <f t="shared" si="11"/>
        <v>1.286676443822185E-2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4.739107097304144E-2</v>
      </c>
      <c r="D98" s="599">
        <f t="shared" si="10"/>
        <v>5.5874570722224223E-2</v>
      </c>
      <c r="E98" s="599">
        <f t="shared" si="11"/>
        <v>8.4834997491827838E-3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3.5438574262355901E-2</v>
      </c>
      <c r="D99" s="599">
        <f t="shared" si="10"/>
        <v>3.9821838951394968E-2</v>
      </c>
      <c r="E99" s="599">
        <f t="shared" si="11"/>
        <v>4.3832646890390667E-3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1.28104286968647E-3</v>
      </c>
      <c r="D100" s="599">
        <f t="shared" si="10"/>
        <v>1.2361598338231283E-3</v>
      </c>
      <c r="E100" s="599">
        <f t="shared" si="11"/>
        <v>-4.4883035863341712E-5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1.6519241092106889E-2</v>
      </c>
      <c r="D101" s="599">
        <f t="shared" si="10"/>
        <v>1.4285605356739036E-2</v>
      </c>
      <c r="E101" s="599">
        <f t="shared" si="11"/>
        <v>-2.2336357353678529E-3</v>
      </c>
    </row>
    <row r="102" spans="1:5" s="421" customFormat="1" x14ac:dyDescent="0.2">
      <c r="A102" s="588"/>
      <c r="B102" s="592" t="s">
        <v>799</v>
      </c>
      <c r="C102" s="600">
        <f>SUM(C96+C97+C100)</f>
        <v>0.32723196932264242</v>
      </c>
      <c r="D102" s="600">
        <f>SUM(D96+D97+D100)</f>
        <v>0.34023876783721296</v>
      </c>
      <c r="E102" s="601">
        <f t="shared" si="11"/>
        <v>1.3006798514570539E-2</v>
      </c>
    </row>
    <row r="103" spans="1:5" s="421" customFormat="1" x14ac:dyDescent="0.2">
      <c r="A103" s="588"/>
      <c r="B103" s="592" t="s">
        <v>800</v>
      </c>
      <c r="C103" s="600">
        <f>SUM(C95+C102)</f>
        <v>0.60146785392950908</v>
      </c>
      <c r="D103" s="600">
        <f>SUM(D95+D102)</f>
        <v>0.6272844958977174</v>
      </c>
      <c r="E103" s="601">
        <f t="shared" si="11"/>
        <v>2.581664196820832E-2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0.10310911062450309</v>
      </c>
      <c r="D109" s="599">
        <f t="shared" si="12"/>
        <v>9.5547094849146696E-2</v>
      </c>
      <c r="E109" s="599">
        <f t="shared" ref="E109:E117" si="13">D109-C109</f>
        <v>-7.5620157753563955E-3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0.32727108241751762</v>
      </c>
      <c r="D110" s="599">
        <f t="shared" si="12"/>
        <v>0.31240334681680715</v>
      </c>
      <c r="E110" s="599">
        <f t="shared" si="13"/>
        <v>-1.4867735600710474E-2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4.5219045161882479E-2</v>
      </c>
      <c r="D111" s="599">
        <f t="shared" si="12"/>
        <v>4.7670032205482132E-2</v>
      </c>
      <c r="E111" s="599">
        <f t="shared" si="13"/>
        <v>2.4509870435996534E-3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2.0146561058682032E-2</v>
      </c>
      <c r="D112" s="599">
        <f t="shared" si="12"/>
        <v>2.0413470234299635E-2</v>
      </c>
      <c r="E112" s="599">
        <f t="shared" si="13"/>
        <v>2.66909175617603E-4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2.5072484103200451E-2</v>
      </c>
      <c r="D113" s="599">
        <f t="shared" si="12"/>
        <v>2.7256561971182498E-2</v>
      </c>
      <c r="E113" s="599">
        <f t="shared" si="13"/>
        <v>2.1840778679820469E-3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4.9202473173777018E-4</v>
      </c>
      <c r="D114" s="599">
        <f t="shared" si="12"/>
        <v>1.0200498523914552E-3</v>
      </c>
      <c r="E114" s="599">
        <f t="shared" si="13"/>
        <v>5.2802512065368507E-4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7.4684460990180059E-4</v>
      </c>
      <c r="D115" s="599">
        <f t="shared" si="12"/>
        <v>1.2024803950347832E-4</v>
      </c>
      <c r="E115" s="599">
        <f t="shared" si="13"/>
        <v>-6.2659657039832231E-4</v>
      </c>
    </row>
    <row r="116" spans="1:5" s="421" customFormat="1" x14ac:dyDescent="0.2">
      <c r="A116" s="588"/>
      <c r="B116" s="592" t="s">
        <v>796</v>
      </c>
      <c r="C116" s="600">
        <f>SUM(C110+C111+C114)</f>
        <v>0.37298215231113785</v>
      </c>
      <c r="D116" s="600">
        <f>SUM(D110+D111+D114)</f>
        <v>0.36109342887468077</v>
      </c>
      <c r="E116" s="601">
        <f t="shared" si="13"/>
        <v>-1.1888723436457083E-2</v>
      </c>
    </row>
    <row r="117" spans="1:5" s="421" customFormat="1" x14ac:dyDescent="0.2">
      <c r="A117" s="588"/>
      <c r="B117" s="592" t="s">
        <v>797</v>
      </c>
      <c r="C117" s="600">
        <f>SUM(C109+C116)</f>
        <v>0.47609126293564097</v>
      </c>
      <c r="D117" s="600">
        <f>SUM(D109+D116)</f>
        <v>0.45664052372382746</v>
      </c>
      <c r="E117" s="601">
        <f t="shared" si="13"/>
        <v>-1.9450739211813506E-2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0.32897059782798843</v>
      </c>
      <c r="D121" s="599">
        <f t="shared" si="14"/>
        <v>0.35142956270333003</v>
      </c>
      <c r="E121" s="599">
        <f t="shared" ref="E121:E129" si="15">D121-C121</f>
        <v>2.2458964875341603E-2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0.15204606112036503</v>
      </c>
      <c r="D122" s="599">
        <f t="shared" si="14"/>
        <v>0.14449797248557733</v>
      </c>
      <c r="E122" s="599">
        <f t="shared" si="15"/>
        <v>-7.548088634787703E-3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4.2066847660199733E-2</v>
      </c>
      <c r="D123" s="599">
        <f t="shared" si="14"/>
        <v>4.6703237967874164E-2</v>
      </c>
      <c r="E123" s="599">
        <f t="shared" si="15"/>
        <v>4.6363903076744317E-3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2.9462456342002778E-2</v>
      </c>
      <c r="D124" s="599">
        <f t="shared" si="14"/>
        <v>3.1798248899134296E-2</v>
      </c>
      <c r="E124" s="599">
        <f t="shared" si="15"/>
        <v>2.3357925571315177E-3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1.2604391318196953E-2</v>
      </c>
      <c r="D125" s="599">
        <f t="shared" si="14"/>
        <v>1.4904989068739874E-2</v>
      </c>
      <c r="E125" s="599">
        <f t="shared" si="15"/>
        <v>2.3005977505429209E-3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8.2523045580588982E-4</v>
      </c>
      <c r="D126" s="599">
        <f t="shared" si="14"/>
        <v>7.2870311939107865E-4</v>
      </c>
      <c r="E126" s="599">
        <f t="shared" si="15"/>
        <v>-9.6527336414811162E-5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4.9164364720117931E-3</v>
      </c>
      <c r="D127" s="599">
        <f t="shared" si="14"/>
        <v>4.5835087884706343E-3</v>
      </c>
      <c r="E127" s="599">
        <f t="shared" si="15"/>
        <v>-3.3292768354115879E-4</v>
      </c>
    </row>
    <row r="128" spans="1:5" s="421" customFormat="1" x14ac:dyDescent="0.2">
      <c r="A128" s="588"/>
      <c r="B128" s="592" t="s">
        <v>799</v>
      </c>
      <c r="C128" s="600">
        <f>SUM(C122+C123+C126)</f>
        <v>0.19493813923637066</v>
      </c>
      <c r="D128" s="600">
        <f>SUM(D122+D123+D126)</f>
        <v>0.19192991357284259</v>
      </c>
      <c r="E128" s="601">
        <f t="shared" si="15"/>
        <v>-3.0082256635280691E-3</v>
      </c>
    </row>
    <row r="129" spans="1:5" s="421" customFormat="1" x14ac:dyDescent="0.2">
      <c r="A129" s="588"/>
      <c r="B129" s="592" t="s">
        <v>800</v>
      </c>
      <c r="C129" s="600">
        <f>SUM(C121+C128)</f>
        <v>0.52390873706435914</v>
      </c>
      <c r="D129" s="600">
        <f>SUM(D121+D128)</f>
        <v>0.54335947627617265</v>
      </c>
      <c r="E129" s="601">
        <f t="shared" si="15"/>
        <v>1.9450739211813506E-2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703</v>
      </c>
      <c r="D137" s="606">
        <v>647</v>
      </c>
      <c r="E137" s="607">
        <f t="shared" ref="E137:E145" si="16">D137-C137</f>
        <v>-56</v>
      </c>
    </row>
    <row r="138" spans="1:5" s="421" customFormat="1" x14ac:dyDescent="0.2">
      <c r="A138" s="588">
        <v>2</v>
      </c>
      <c r="B138" s="587" t="s">
        <v>635</v>
      </c>
      <c r="C138" s="606">
        <v>1461</v>
      </c>
      <c r="D138" s="606">
        <v>1410</v>
      </c>
      <c r="E138" s="607">
        <f t="shared" si="16"/>
        <v>-51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447</v>
      </c>
      <c r="D139" s="606">
        <f>D140+D141</f>
        <v>398</v>
      </c>
      <c r="E139" s="607">
        <f t="shared" si="16"/>
        <v>-49</v>
      </c>
    </row>
    <row r="140" spans="1:5" s="421" customFormat="1" x14ac:dyDescent="0.2">
      <c r="A140" s="588">
        <v>4</v>
      </c>
      <c r="B140" s="587" t="s">
        <v>115</v>
      </c>
      <c r="C140" s="606">
        <v>235</v>
      </c>
      <c r="D140" s="606">
        <v>219</v>
      </c>
      <c r="E140" s="607">
        <f t="shared" si="16"/>
        <v>-16</v>
      </c>
    </row>
    <row r="141" spans="1:5" s="421" customFormat="1" x14ac:dyDescent="0.2">
      <c r="A141" s="588">
        <v>5</v>
      </c>
      <c r="B141" s="587" t="s">
        <v>743</v>
      </c>
      <c r="C141" s="606">
        <v>212</v>
      </c>
      <c r="D141" s="606">
        <v>179</v>
      </c>
      <c r="E141" s="607">
        <f t="shared" si="16"/>
        <v>-33</v>
      </c>
    </row>
    <row r="142" spans="1:5" s="421" customFormat="1" x14ac:dyDescent="0.2">
      <c r="A142" s="588">
        <v>6</v>
      </c>
      <c r="B142" s="587" t="s">
        <v>424</v>
      </c>
      <c r="C142" s="606">
        <v>5</v>
      </c>
      <c r="D142" s="606">
        <v>11</v>
      </c>
      <c r="E142" s="607">
        <f t="shared" si="16"/>
        <v>6</v>
      </c>
    </row>
    <row r="143" spans="1:5" s="421" customFormat="1" x14ac:dyDescent="0.2">
      <c r="A143" s="588">
        <v>7</v>
      </c>
      <c r="B143" s="587" t="s">
        <v>758</v>
      </c>
      <c r="C143" s="606">
        <v>40</v>
      </c>
      <c r="D143" s="606">
        <v>45</v>
      </c>
      <c r="E143" s="607">
        <f t="shared" si="16"/>
        <v>5</v>
      </c>
    </row>
    <row r="144" spans="1:5" s="421" customFormat="1" x14ac:dyDescent="0.2">
      <c r="A144" s="588"/>
      <c r="B144" s="592" t="s">
        <v>807</v>
      </c>
      <c r="C144" s="608">
        <f>SUM(C138+C139+C142)</f>
        <v>1913</v>
      </c>
      <c r="D144" s="608">
        <f>SUM(D138+D139+D142)</f>
        <v>1819</v>
      </c>
      <c r="E144" s="609">
        <f t="shared" si="16"/>
        <v>-94</v>
      </c>
    </row>
    <row r="145" spans="1:5" s="421" customFormat="1" x14ac:dyDescent="0.2">
      <c r="A145" s="588"/>
      <c r="B145" s="592" t="s">
        <v>138</v>
      </c>
      <c r="C145" s="608">
        <f>SUM(C137+C144)</f>
        <v>2616</v>
      </c>
      <c r="D145" s="608">
        <f>SUM(D137+D144)</f>
        <v>2466</v>
      </c>
      <c r="E145" s="609">
        <f t="shared" si="16"/>
        <v>-150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2110</v>
      </c>
      <c r="D149" s="610">
        <v>1868</v>
      </c>
      <c r="E149" s="607">
        <f t="shared" ref="E149:E157" si="17">D149-C149</f>
        <v>-242</v>
      </c>
    </row>
    <row r="150" spans="1:5" s="421" customFormat="1" x14ac:dyDescent="0.2">
      <c r="A150" s="588">
        <v>2</v>
      </c>
      <c r="B150" s="587" t="s">
        <v>635</v>
      </c>
      <c r="C150" s="610">
        <v>8225</v>
      </c>
      <c r="D150" s="610">
        <v>7687</v>
      </c>
      <c r="E150" s="607">
        <f t="shared" si="17"/>
        <v>-538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1345</v>
      </c>
      <c r="D151" s="610">
        <f>D152+D153</f>
        <v>1452</v>
      </c>
      <c r="E151" s="607">
        <f t="shared" si="17"/>
        <v>107</v>
      </c>
    </row>
    <row r="152" spans="1:5" s="421" customFormat="1" x14ac:dyDescent="0.2">
      <c r="A152" s="588">
        <v>4</v>
      </c>
      <c r="B152" s="587" t="s">
        <v>115</v>
      </c>
      <c r="C152" s="610">
        <v>711</v>
      </c>
      <c r="D152" s="610">
        <v>795</v>
      </c>
      <c r="E152" s="607">
        <f t="shared" si="17"/>
        <v>84</v>
      </c>
    </row>
    <row r="153" spans="1:5" s="421" customFormat="1" x14ac:dyDescent="0.2">
      <c r="A153" s="588">
        <v>5</v>
      </c>
      <c r="B153" s="587" t="s">
        <v>743</v>
      </c>
      <c r="C153" s="611">
        <v>634</v>
      </c>
      <c r="D153" s="610">
        <v>657</v>
      </c>
      <c r="E153" s="607">
        <f t="shared" si="17"/>
        <v>23</v>
      </c>
    </row>
    <row r="154" spans="1:5" s="421" customFormat="1" x14ac:dyDescent="0.2">
      <c r="A154" s="588">
        <v>6</v>
      </c>
      <c r="B154" s="587" t="s">
        <v>424</v>
      </c>
      <c r="C154" s="610">
        <v>10</v>
      </c>
      <c r="D154" s="610">
        <v>22</v>
      </c>
      <c r="E154" s="607">
        <f t="shared" si="17"/>
        <v>12</v>
      </c>
    </row>
    <row r="155" spans="1:5" s="421" customFormat="1" x14ac:dyDescent="0.2">
      <c r="A155" s="588">
        <v>7</v>
      </c>
      <c r="B155" s="587" t="s">
        <v>758</v>
      </c>
      <c r="C155" s="610">
        <v>93</v>
      </c>
      <c r="D155" s="610">
        <v>124</v>
      </c>
      <c r="E155" s="607">
        <f t="shared" si="17"/>
        <v>31</v>
      </c>
    </row>
    <row r="156" spans="1:5" s="421" customFormat="1" x14ac:dyDescent="0.2">
      <c r="A156" s="588"/>
      <c r="B156" s="592" t="s">
        <v>808</v>
      </c>
      <c r="C156" s="608">
        <f>SUM(C150+C151+C154)</f>
        <v>9580</v>
      </c>
      <c r="D156" s="608">
        <f>SUM(D150+D151+D154)</f>
        <v>9161</v>
      </c>
      <c r="E156" s="609">
        <f t="shared" si="17"/>
        <v>-419</v>
      </c>
    </row>
    <row r="157" spans="1:5" s="421" customFormat="1" x14ac:dyDescent="0.2">
      <c r="A157" s="588"/>
      <c r="B157" s="592" t="s">
        <v>140</v>
      </c>
      <c r="C157" s="608">
        <f>SUM(C149+C156)</f>
        <v>11690</v>
      </c>
      <c r="D157" s="608">
        <f>SUM(D149+D156)</f>
        <v>11029</v>
      </c>
      <c r="E157" s="609">
        <f t="shared" si="17"/>
        <v>-661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3.0014224751066858</v>
      </c>
      <c r="D161" s="612">
        <f t="shared" si="18"/>
        <v>2.8871715610510047</v>
      </c>
      <c r="E161" s="613">
        <f t="shared" ref="E161:E169" si="19">D161-C161</f>
        <v>-0.11425091405568111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5.6297056810403836</v>
      </c>
      <c r="D162" s="612">
        <f t="shared" si="18"/>
        <v>5.4517730496453902</v>
      </c>
      <c r="E162" s="613">
        <f t="shared" si="19"/>
        <v>-0.17793263139499338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3.0089485458612977</v>
      </c>
      <c r="D163" s="612">
        <f t="shared" si="18"/>
        <v>3.6482412060301508</v>
      </c>
      <c r="E163" s="613">
        <f t="shared" si="19"/>
        <v>0.63929266016885311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3.0255319148936168</v>
      </c>
      <c r="D164" s="612">
        <f t="shared" si="18"/>
        <v>3.6301369863013697</v>
      </c>
      <c r="E164" s="613">
        <f t="shared" si="19"/>
        <v>0.60460507140775288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2.9905660377358489</v>
      </c>
      <c r="D165" s="612">
        <f t="shared" si="18"/>
        <v>3.6703910614525141</v>
      </c>
      <c r="E165" s="613">
        <f t="shared" si="19"/>
        <v>0.6798250237166652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</v>
      </c>
      <c r="D166" s="612">
        <f t="shared" si="18"/>
        <v>2</v>
      </c>
      <c r="E166" s="613">
        <f t="shared" si="19"/>
        <v>0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2.3250000000000002</v>
      </c>
      <c r="D167" s="612">
        <f t="shared" si="18"/>
        <v>2.7555555555555555</v>
      </c>
      <c r="E167" s="613">
        <f t="shared" si="19"/>
        <v>0.43055555555555536</v>
      </c>
    </row>
    <row r="168" spans="1:5" s="421" customFormat="1" x14ac:dyDescent="0.2">
      <c r="A168" s="588"/>
      <c r="B168" s="592" t="s">
        <v>810</v>
      </c>
      <c r="C168" s="614">
        <f t="shared" si="18"/>
        <v>5.0078410872974386</v>
      </c>
      <c r="D168" s="614">
        <f t="shared" si="18"/>
        <v>5.0362836723474436</v>
      </c>
      <c r="E168" s="615">
        <f t="shared" si="19"/>
        <v>2.8442585050004965E-2</v>
      </c>
    </row>
    <row r="169" spans="1:5" s="421" customFormat="1" x14ac:dyDescent="0.2">
      <c r="A169" s="588"/>
      <c r="B169" s="592" t="s">
        <v>744</v>
      </c>
      <c r="C169" s="614">
        <f t="shared" si="18"/>
        <v>4.4686544342507641</v>
      </c>
      <c r="D169" s="614">
        <f t="shared" si="18"/>
        <v>4.4724249797242495</v>
      </c>
      <c r="E169" s="615">
        <f t="shared" si="19"/>
        <v>3.7705454734853205E-3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0.92369999999999997</v>
      </c>
      <c r="D173" s="617">
        <f t="shared" si="20"/>
        <v>0.8768999999999999</v>
      </c>
      <c r="E173" s="618">
        <f t="shared" ref="E173:E181" si="21">D173-C173</f>
        <v>-4.6800000000000064E-2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1.1961999999999999</v>
      </c>
      <c r="D174" s="617">
        <f t="shared" si="20"/>
        <v>1.1719999999999999</v>
      </c>
      <c r="E174" s="618">
        <f t="shared" si="21"/>
        <v>-2.4199999999999999E-2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0.90741387024608511</v>
      </c>
      <c r="D175" s="617">
        <f t="shared" si="20"/>
        <v>0.96739195979899495</v>
      </c>
      <c r="E175" s="618">
        <f t="shared" si="21"/>
        <v>5.9978089552909841E-2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0.93440000000000001</v>
      </c>
      <c r="D176" s="617">
        <f t="shared" si="20"/>
        <v>0.93510000000000004</v>
      </c>
      <c r="E176" s="618">
        <f t="shared" si="21"/>
        <v>7.0000000000003393E-4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0.87750000000000006</v>
      </c>
      <c r="D177" s="617">
        <f t="shared" si="20"/>
        <v>1.0068999999999999</v>
      </c>
      <c r="E177" s="618">
        <f t="shared" si="21"/>
        <v>0.12939999999999985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0.68859999999999999</v>
      </c>
      <c r="D178" s="617">
        <f t="shared" si="20"/>
        <v>0.875</v>
      </c>
      <c r="E178" s="618">
        <f t="shared" si="21"/>
        <v>0.18640000000000001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0.75600000000000001</v>
      </c>
      <c r="D179" s="617">
        <f t="shared" si="20"/>
        <v>0.73839999999999983</v>
      </c>
      <c r="E179" s="618">
        <f t="shared" si="21"/>
        <v>-1.7600000000000171E-2</v>
      </c>
    </row>
    <row r="180" spans="1:5" s="421" customFormat="1" x14ac:dyDescent="0.2">
      <c r="A180" s="588"/>
      <c r="B180" s="592" t="s">
        <v>812</v>
      </c>
      <c r="C180" s="619">
        <f t="shared" si="20"/>
        <v>1.1273942498693155</v>
      </c>
      <c r="D180" s="619">
        <f t="shared" si="20"/>
        <v>1.1254354040681693</v>
      </c>
      <c r="E180" s="620">
        <f t="shared" si="21"/>
        <v>-1.9588458011461363E-3</v>
      </c>
    </row>
    <row r="181" spans="1:5" s="421" customFormat="1" x14ac:dyDescent="0.2">
      <c r="A181" s="588"/>
      <c r="B181" s="592" t="s">
        <v>723</v>
      </c>
      <c r="C181" s="619">
        <f t="shared" si="20"/>
        <v>1.0726553134556576</v>
      </c>
      <c r="D181" s="619">
        <f t="shared" si="20"/>
        <v>1.060227615571776</v>
      </c>
      <c r="E181" s="620">
        <f t="shared" si="21"/>
        <v>-1.2427697883881539E-2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814</v>
      </c>
      <c r="C185" s="589">
        <v>52241943</v>
      </c>
      <c r="D185" s="589">
        <v>51092254</v>
      </c>
      <c r="E185" s="590">
        <f>D185-C185</f>
        <v>-1149689</v>
      </c>
    </row>
    <row r="186" spans="1:5" s="421" customFormat="1" ht="25.5" x14ac:dyDescent="0.2">
      <c r="A186" s="588">
        <v>2</v>
      </c>
      <c r="B186" s="587" t="s">
        <v>815</v>
      </c>
      <c r="C186" s="589">
        <v>25479835</v>
      </c>
      <c r="D186" s="589">
        <v>25835394</v>
      </c>
      <c r="E186" s="590">
        <f>D186-C186</f>
        <v>355559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26762108</v>
      </c>
      <c r="D188" s="622">
        <f>+D185-D186</f>
        <v>25256860</v>
      </c>
      <c r="E188" s="590">
        <f t="shared" ref="E188:E197" si="22">D188-C188</f>
        <v>-1505248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0.51227244744706379</v>
      </c>
      <c r="D189" s="623">
        <f>IF(D185=0,0,+D188/D185)</f>
        <v>0.49433833942812544</v>
      </c>
      <c r="E189" s="599">
        <f t="shared" si="22"/>
        <v>-1.7934108018938355E-2</v>
      </c>
    </row>
    <row r="190" spans="1:5" s="421" customFormat="1" x14ac:dyDescent="0.2">
      <c r="A190" s="588">
        <v>5</v>
      </c>
      <c r="B190" s="587" t="s">
        <v>762</v>
      </c>
      <c r="C190" s="589">
        <v>1748963</v>
      </c>
      <c r="D190" s="589">
        <v>1159710</v>
      </c>
      <c r="E190" s="622">
        <f t="shared" si="22"/>
        <v>-589253</v>
      </c>
    </row>
    <row r="191" spans="1:5" s="421" customFormat="1" x14ac:dyDescent="0.2">
      <c r="A191" s="588">
        <v>6</v>
      </c>
      <c r="B191" s="587" t="s">
        <v>748</v>
      </c>
      <c r="C191" s="589">
        <v>1000434</v>
      </c>
      <c r="D191" s="589">
        <v>653554</v>
      </c>
      <c r="E191" s="622">
        <f t="shared" si="22"/>
        <v>-346880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892961</v>
      </c>
      <c r="D193" s="589">
        <v>741722</v>
      </c>
      <c r="E193" s="622">
        <f t="shared" si="22"/>
        <v>-151239</v>
      </c>
    </row>
    <row r="194" spans="1:5" s="421" customFormat="1" x14ac:dyDescent="0.2">
      <c r="A194" s="588">
        <v>9</v>
      </c>
      <c r="B194" s="587" t="s">
        <v>818</v>
      </c>
      <c r="C194" s="589">
        <v>2270701</v>
      </c>
      <c r="D194" s="589">
        <v>1930565</v>
      </c>
      <c r="E194" s="622">
        <f t="shared" si="22"/>
        <v>-340136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3163662</v>
      </c>
      <c r="D195" s="589">
        <f>+D193+D194</f>
        <v>2672287</v>
      </c>
      <c r="E195" s="625">
        <f t="shared" si="22"/>
        <v>-491375</v>
      </c>
    </row>
    <row r="196" spans="1:5" s="421" customFormat="1" x14ac:dyDescent="0.2">
      <c r="A196" s="588">
        <v>11</v>
      </c>
      <c r="B196" s="587" t="s">
        <v>820</v>
      </c>
      <c r="C196" s="589">
        <v>1092483</v>
      </c>
      <c r="D196" s="589">
        <v>851556</v>
      </c>
      <c r="E196" s="622">
        <f t="shared" si="22"/>
        <v>-240927</v>
      </c>
    </row>
    <row r="197" spans="1:5" s="421" customFormat="1" x14ac:dyDescent="0.2">
      <c r="A197" s="588">
        <v>12</v>
      </c>
      <c r="B197" s="587" t="s">
        <v>710</v>
      </c>
      <c r="C197" s="589">
        <v>48236048</v>
      </c>
      <c r="D197" s="589">
        <v>50076702</v>
      </c>
      <c r="E197" s="622">
        <f t="shared" si="22"/>
        <v>1840654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649.36109999999996</v>
      </c>
      <c r="D203" s="629">
        <v>567.35429999999997</v>
      </c>
      <c r="E203" s="630">
        <f t="shared" ref="E203:E211" si="23">D203-C203</f>
        <v>-82.006799999999998</v>
      </c>
    </row>
    <row r="204" spans="1:5" s="421" customFormat="1" x14ac:dyDescent="0.2">
      <c r="A204" s="588">
        <v>2</v>
      </c>
      <c r="B204" s="587" t="s">
        <v>635</v>
      </c>
      <c r="C204" s="629">
        <v>1747.6481999999999</v>
      </c>
      <c r="D204" s="629">
        <v>1652.52</v>
      </c>
      <c r="E204" s="630">
        <f t="shared" si="23"/>
        <v>-95.128199999999879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405.61400000000003</v>
      </c>
      <c r="D205" s="629">
        <f>D206+D207</f>
        <v>385.02199999999999</v>
      </c>
      <c r="E205" s="630">
        <f t="shared" si="23"/>
        <v>-20.592000000000041</v>
      </c>
    </row>
    <row r="206" spans="1:5" s="421" customFormat="1" x14ac:dyDescent="0.2">
      <c r="A206" s="588">
        <v>4</v>
      </c>
      <c r="B206" s="587" t="s">
        <v>115</v>
      </c>
      <c r="C206" s="629">
        <v>219.584</v>
      </c>
      <c r="D206" s="629">
        <v>204.7869</v>
      </c>
      <c r="E206" s="630">
        <f t="shared" si="23"/>
        <v>-14.7971</v>
      </c>
    </row>
    <row r="207" spans="1:5" s="421" customFormat="1" x14ac:dyDescent="0.2">
      <c r="A207" s="588">
        <v>5</v>
      </c>
      <c r="B207" s="587" t="s">
        <v>743</v>
      </c>
      <c r="C207" s="629">
        <v>186.03</v>
      </c>
      <c r="D207" s="629">
        <v>180.23509999999999</v>
      </c>
      <c r="E207" s="630">
        <f t="shared" si="23"/>
        <v>-5.7949000000000126</v>
      </c>
    </row>
    <row r="208" spans="1:5" s="421" customFormat="1" x14ac:dyDescent="0.2">
      <c r="A208" s="588">
        <v>6</v>
      </c>
      <c r="B208" s="587" t="s">
        <v>424</v>
      </c>
      <c r="C208" s="629">
        <v>3.4430000000000001</v>
      </c>
      <c r="D208" s="629">
        <v>9.625</v>
      </c>
      <c r="E208" s="630">
        <f t="shared" si="23"/>
        <v>6.1820000000000004</v>
      </c>
    </row>
    <row r="209" spans="1:5" s="421" customFormat="1" x14ac:dyDescent="0.2">
      <c r="A209" s="588">
        <v>7</v>
      </c>
      <c r="B209" s="587" t="s">
        <v>758</v>
      </c>
      <c r="C209" s="629">
        <v>30.240000000000002</v>
      </c>
      <c r="D209" s="629">
        <v>33.227999999999994</v>
      </c>
      <c r="E209" s="630">
        <f t="shared" si="23"/>
        <v>2.9879999999999924</v>
      </c>
    </row>
    <row r="210" spans="1:5" s="421" customFormat="1" x14ac:dyDescent="0.2">
      <c r="A210" s="588"/>
      <c r="B210" s="592" t="s">
        <v>823</v>
      </c>
      <c r="C210" s="631">
        <f>C204+C205+C208</f>
        <v>2156.7052000000003</v>
      </c>
      <c r="D210" s="631">
        <f>D204+D205+D208</f>
        <v>2047.1669999999999</v>
      </c>
      <c r="E210" s="632">
        <f t="shared" si="23"/>
        <v>-109.53820000000042</v>
      </c>
    </row>
    <row r="211" spans="1:5" s="421" customFormat="1" x14ac:dyDescent="0.2">
      <c r="A211" s="588"/>
      <c r="B211" s="592" t="s">
        <v>724</v>
      </c>
      <c r="C211" s="631">
        <f>C210+C203</f>
        <v>2806.0663000000004</v>
      </c>
      <c r="D211" s="631">
        <f>D210+D203</f>
        <v>2614.5212999999999</v>
      </c>
      <c r="E211" s="632">
        <f t="shared" si="23"/>
        <v>-191.54500000000053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2251.5196763985546</v>
      </c>
      <c r="D215" s="633">
        <f>IF(D14*D137=0,0,D25/D14*D137)</f>
        <v>2701.951350848638</v>
      </c>
      <c r="E215" s="633">
        <f t="shared" ref="E215:E223" si="24">D215-C215</f>
        <v>450.43167445008339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1348.8395433193457</v>
      </c>
      <c r="D216" s="633">
        <f>IF(D15*D138=0,0,D26/D15*D138)</f>
        <v>1352.3330234620321</v>
      </c>
      <c r="E216" s="633">
        <f t="shared" si="24"/>
        <v>3.4934801426863942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749.66284443897234</v>
      </c>
      <c r="D217" s="633">
        <f>D218+D219</f>
        <v>778.27271375425016</v>
      </c>
      <c r="E217" s="633">
        <f t="shared" si="24"/>
        <v>28.60986931527782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419.97400700471803</v>
      </c>
      <c r="D218" s="633">
        <f t="shared" si="25"/>
        <v>493.41909521465584</v>
      </c>
      <c r="E218" s="633">
        <f t="shared" si="24"/>
        <v>73.445088209937808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329.68883743425425</v>
      </c>
      <c r="D219" s="633">
        <f t="shared" si="25"/>
        <v>284.85361853959427</v>
      </c>
      <c r="E219" s="633">
        <f t="shared" si="24"/>
        <v>-44.835218894659988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24.380178290508653</v>
      </c>
      <c r="D220" s="633">
        <f t="shared" si="25"/>
        <v>28.5736025753585</v>
      </c>
      <c r="E220" s="633">
        <f t="shared" si="24"/>
        <v>4.1934242848498471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209.92509043639251</v>
      </c>
      <c r="D221" s="633">
        <f t="shared" si="25"/>
        <v>252.9079046857193</v>
      </c>
      <c r="E221" s="633">
        <f t="shared" si="24"/>
        <v>42.982814249326793</v>
      </c>
    </row>
    <row r="222" spans="1:5" s="421" customFormat="1" x14ac:dyDescent="0.2">
      <c r="A222" s="588"/>
      <c r="B222" s="592" t="s">
        <v>825</v>
      </c>
      <c r="C222" s="634">
        <f>C216+C218+C219+C220</f>
        <v>2122.8825660488269</v>
      </c>
      <c r="D222" s="634">
        <f>D216+D218+D219+D220</f>
        <v>2159.1793397916408</v>
      </c>
      <c r="E222" s="634">
        <f t="shared" si="24"/>
        <v>36.296773742813912</v>
      </c>
    </row>
    <row r="223" spans="1:5" s="421" customFormat="1" x14ac:dyDescent="0.2">
      <c r="A223" s="588"/>
      <c r="B223" s="592" t="s">
        <v>826</v>
      </c>
      <c r="C223" s="634">
        <f>C215+C222</f>
        <v>4374.4022424473815</v>
      </c>
      <c r="D223" s="634">
        <f>D215+D222</f>
        <v>4861.1306906402788</v>
      </c>
      <c r="E223" s="634">
        <f t="shared" si="24"/>
        <v>486.7284481928973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7833.3457301338194</v>
      </c>
      <c r="D227" s="636">
        <f t="shared" si="26"/>
        <v>8262.9884007224409</v>
      </c>
      <c r="E227" s="636">
        <f t="shared" ref="E227:E235" si="27">D227-C227</f>
        <v>429.64267058862151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9238.2591645160628</v>
      </c>
      <c r="D228" s="636">
        <f t="shared" si="26"/>
        <v>9275.6202648076869</v>
      </c>
      <c r="E228" s="636">
        <f t="shared" si="27"/>
        <v>37.361100291624098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5499.7756487695196</v>
      </c>
      <c r="D229" s="636">
        <f t="shared" si="26"/>
        <v>6074.8268930087115</v>
      </c>
      <c r="E229" s="636">
        <f t="shared" si="27"/>
        <v>575.05124423919187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4526.2314194112505</v>
      </c>
      <c r="D230" s="636">
        <f t="shared" si="26"/>
        <v>4890.8987830764563</v>
      </c>
      <c r="E230" s="636">
        <f t="shared" si="27"/>
        <v>364.66736366520581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6648.9168413696716</v>
      </c>
      <c r="D231" s="636">
        <f t="shared" si="26"/>
        <v>7420.0308375005761</v>
      </c>
      <c r="E231" s="636">
        <f t="shared" si="27"/>
        <v>771.11399613090452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7049.9564333430144</v>
      </c>
      <c r="D232" s="636">
        <f t="shared" si="26"/>
        <v>5199.8961038961043</v>
      </c>
      <c r="E232" s="636">
        <f t="shared" si="27"/>
        <v>-1850.0603294469101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1218.3862433862432</v>
      </c>
      <c r="D233" s="636">
        <f t="shared" si="26"/>
        <v>177.56109305405084</v>
      </c>
      <c r="E233" s="636">
        <f t="shared" si="27"/>
        <v>-1040.8251503321924</v>
      </c>
    </row>
    <row r="234" spans="1:5" x14ac:dyDescent="0.2">
      <c r="A234" s="588"/>
      <c r="B234" s="592" t="s">
        <v>828</v>
      </c>
      <c r="C234" s="637">
        <f t="shared" si="26"/>
        <v>8531.6648747357758</v>
      </c>
      <c r="D234" s="637">
        <f t="shared" si="26"/>
        <v>8654.4668803277891</v>
      </c>
      <c r="E234" s="637">
        <f t="shared" si="27"/>
        <v>122.8020055920133</v>
      </c>
    </row>
    <row r="235" spans="1:5" s="421" customFormat="1" x14ac:dyDescent="0.2">
      <c r="A235" s="588"/>
      <c r="B235" s="592" t="s">
        <v>829</v>
      </c>
      <c r="C235" s="637">
        <f t="shared" si="26"/>
        <v>8370.064527698436</v>
      </c>
      <c r="D235" s="637">
        <f t="shared" si="26"/>
        <v>8569.5155744189196</v>
      </c>
      <c r="E235" s="637">
        <f t="shared" si="27"/>
        <v>199.45104672048365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7208.0511532368228</v>
      </c>
      <c r="D239" s="636">
        <f t="shared" si="28"/>
        <v>6381.6763372087607</v>
      </c>
      <c r="E239" s="638">
        <f t="shared" ref="E239:E247" si="29">D239-C239</f>
        <v>-826.37481602806201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5560.9809462889725</v>
      </c>
      <c r="D240" s="636">
        <f t="shared" si="28"/>
        <v>5242.6649922736678</v>
      </c>
      <c r="E240" s="638">
        <f t="shared" si="29"/>
        <v>-318.31595401530467</v>
      </c>
    </row>
    <row r="241" spans="1:5" x14ac:dyDescent="0.2">
      <c r="A241" s="588">
        <v>3</v>
      </c>
      <c r="B241" s="587" t="s">
        <v>777</v>
      </c>
      <c r="C241" s="636">
        <f t="shared" si="28"/>
        <v>2768.2831227324377</v>
      </c>
      <c r="D241" s="636">
        <f t="shared" si="28"/>
        <v>2944.3483749368261</v>
      </c>
      <c r="E241" s="638">
        <f t="shared" si="29"/>
        <v>176.06525220438834</v>
      </c>
    </row>
    <row r="242" spans="1:5" x14ac:dyDescent="0.2">
      <c r="A242" s="588">
        <v>4</v>
      </c>
      <c r="B242" s="587" t="s">
        <v>115</v>
      </c>
      <c r="C242" s="636">
        <f t="shared" si="28"/>
        <v>3460.8522807547743</v>
      </c>
      <c r="D242" s="636">
        <f t="shared" si="28"/>
        <v>3161.9955837364973</v>
      </c>
      <c r="E242" s="638">
        <f t="shared" si="29"/>
        <v>-298.85669701827692</v>
      </c>
    </row>
    <row r="243" spans="1:5" x14ac:dyDescent="0.2">
      <c r="A243" s="588">
        <v>5</v>
      </c>
      <c r="B243" s="587" t="s">
        <v>743</v>
      </c>
      <c r="C243" s="636">
        <f t="shared" si="28"/>
        <v>1886.0541498436387</v>
      </c>
      <c r="D243" s="636">
        <f t="shared" si="28"/>
        <v>2567.3431980585774</v>
      </c>
      <c r="E243" s="638">
        <f t="shared" si="29"/>
        <v>681.2890482149387</v>
      </c>
    </row>
    <row r="244" spans="1:5" x14ac:dyDescent="0.2">
      <c r="A244" s="588">
        <v>6</v>
      </c>
      <c r="B244" s="587" t="s">
        <v>424</v>
      </c>
      <c r="C244" s="636">
        <f t="shared" si="28"/>
        <v>1669.8401264706515</v>
      </c>
      <c r="D244" s="636">
        <f t="shared" si="28"/>
        <v>1251.2947888074073</v>
      </c>
      <c r="E244" s="638">
        <f t="shared" si="29"/>
        <v>-418.54533766324425</v>
      </c>
    </row>
    <row r="245" spans="1:5" x14ac:dyDescent="0.2">
      <c r="A245" s="588">
        <v>7</v>
      </c>
      <c r="B245" s="587" t="s">
        <v>758</v>
      </c>
      <c r="C245" s="636">
        <f t="shared" si="28"/>
        <v>1155.3740407866608</v>
      </c>
      <c r="D245" s="636">
        <f t="shared" si="28"/>
        <v>889.22092126564792</v>
      </c>
      <c r="E245" s="638">
        <f t="shared" si="29"/>
        <v>-266.15311952101285</v>
      </c>
    </row>
    <row r="246" spans="1:5" ht="25.5" x14ac:dyDescent="0.2">
      <c r="A246" s="588"/>
      <c r="B246" s="592" t="s">
        <v>831</v>
      </c>
      <c r="C246" s="637">
        <f t="shared" si="28"/>
        <v>4530.0956132958363</v>
      </c>
      <c r="D246" s="637">
        <f t="shared" si="28"/>
        <v>4361.4204834456887</v>
      </c>
      <c r="E246" s="639">
        <f t="shared" si="29"/>
        <v>-168.67512985014764</v>
      </c>
    </row>
    <row r="247" spans="1:5" x14ac:dyDescent="0.2">
      <c r="A247" s="588"/>
      <c r="B247" s="592" t="s">
        <v>832</v>
      </c>
      <c r="C247" s="637">
        <f t="shared" si="28"/>
        <v>5908.4484159233998</v>
      </c>
      <c r="D247" s="637">
        <f t="shared" si="28"/>
        <v>5484.3347559718659</v>
      </c>
      <c r="E247" s="639">
        <f t="shared" si="29"/>
        <v>-424.11365995153392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881999.45088986855</v>
      </c>
      <c r="D251" s="622">
        <f>((IF((IF(D15=0,0,D26/D15)*D138)=0,0,D59/(IF(D15=0,0,D26/D15)*D138)))-(IF((IF(D17=0,0,D28/D17)*D140)=0,0,D61/(IF(D17=0,0,D28/D17)*D140))))*(IF(D17=0,0,D28/D17)*D140)</f>
        <v>1026642.0170012238</v>
      </c>
      <c r="E251" s="622">
        <f>D251-C251</f>
        <v>144642.56611135521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1693277.6955509735</v>
      </c>
      <c r="D252" s="622">
        <f>IF(D231=0,0,(D228-D231)*D207)+IF(D243=0,0,(D240-D243)*D219)</f>
        <v>1096517.439829648</v>
      </c>
      <c r="E252" s="622">
        <f>D252-C252</f>
        <v>-596760.25572132552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1167368.3851997338</v>
      </c>
      <c r="D253" s="622">
        <f>IF(D233=0,0,(D228-D233)*D209+IF(D221=0,0,(D240-D245)*D221))</f>
        <v>1403330.7283241358</v>
      </c>
      <c r="E253" s="622">
        <f>D253-C253</f>
        <v>235962.34312440199</v>
      </c>
    </row>
    <row r="254" spans="1:5" ht="15" customHeight="1" x14ac:dyDescent="0.2">
      <c r="A254" s="588"/>
      <c r="B254" s="592" t="s">
        <v>759</v>
      </c>
      <c r="C254" s="640">
        <f>+C251+C252+C253</f>
        <v>3742645.5316405762</v>
      </c>
      <c r="D254" s="640">
        <f>+D251+D252+D253</f>
        <v>3526490.1851550075</v>
      </c>
      <c r="E254" s="640">
        <f>D254-C254</f>
        <v>-216155.34648556868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145172347</v>
      </c>
      <c r="D258" s="625">
        <f>+D44</f>
        <v>143606025</v>
      </c>
      <c r="E258" s="622">
        <f t="shared" ref="E258:E271" si="30">D258-C258</f>
        <v>-1566322</v>
      </c>
    </row>
    <row r="259" spans="1:5" x14ac:dyDescent="0.2">
      <c r="A259" s="588">
        <v>2</v>
      </c>
      <c r="B259" s="587" t="s">
        <v>742</v>
      </c>
      <c r="C259" s="622">
        <f>+(C43-C76)</f>
        <v>64913257</v>
      </c>
      <c r="D259" s="625">
        <f>+(D43-D76)</f>
        <v>65379543</v>
      </c>
      <c r="E259" s="622">
        <f t="shared" si="30"/>
        <v>466286</v>
      </c>
    </row>
    <row r="260" spans="1:5" x14ac:dyDescent="0.2">
      <c r="A260" s="588">
        <v>3</v>
      </c>
      <c r="B260" s="587" t="s">
        <v>746</v>
      </c>
      <c r="C260" s="622">
        <f>C195</f>
        <v>3163662</v>
      </c>
      <c r="D260" s="622">
        <f>D195</f>
        <v>2672287</v>
      </c>
      <c r="E260" s="622">
        <f t="shared" si="30"/>
        <v>-491375</v>
      </c>
    </row>
    <row r="261" spans="1:5" x14ac:dyDescent="0.2">
      <c r="A261" s="588">
        <v>4</v>
      </c>
      <c r="B261" s="587" t="s">
        <v>747</v>
      </c>
      <c r="C261" s="622">
        <f>C188</f>
        <v>26762108</v>
      </c>
      <c r="D261" s="622">
        <f>D188</f>
        <v>25256860</v>
      </c>
      <c r="E261" s="622">
        <f t="shared" si="30"/>
        <v>-1505248</v>
      </c>
    </row>
    <row r="262" spans="1:5" x14ac:dyDescent="0.2">
      <c r="A262" s="588">
        <v>5</v>
      </c>
      <c r="B262" s="587" t="s">
        <v>748</v>
      </c>
      <c r="C262" s="622">
        <f>C191</f>
        <v>1000434</v>
      </c>
      <c r="D262" s="622">
        <f>D191</f>
        <v>653554</v>
      </c>
      <c r="E262" s="622">
        <f t="shared" si="30"/>
        <v>-346880</v>
      </c>
    </row>
    <row r="263" spans="1:5" x14ac:dyDescent="0.2">
      <c r="A263" s="588">
        <v>6</v>
      </c>
      <c r="B263" s="587" t="s">
        <v>749</v>
      </c>
      <c r="C263" s="622">
        <f>+C259+C260+C261+C262</f>
        <v>95839461</v>
      </c>
      <c r="D263" s="622">
        <f>+D259+D260+D261+D262</f>
        <v>93962244</v>
      </c>
      <c r="E263" s="622">
        <f t="shared" si="30"/>
        <v>-1877217</v>
      </c>
    </row>
    <row r="264" spans="1:5" x14ac:dyDescent="0.2">
      <c r="A264" s="588">
        <v>7</v>
      </c>
      <c r="B264" s="587" t="s">
        <v>654</v>
      </c>
      <c r="C264" s="622">
        <f>+C258-C263</f>
        <v>49332886</v>
      </c>
      <c r="D264" s="622">
        <f>+D258-D263</f>
        <v>49643781</v>
      </c>
      <c r="E264" s="622">
        <f t="shared" si="30"/>
        <v>310895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49332886</v>
      </c>
      <c r="D266" s="622">
        <f>+D264+D265</f>
        <v>49643781</v>
      </c>
      <c r="E266" s="641">
        <f t="shared" si="30"/>
        <v>310895</v>
      </c>
    </row>
    <row r="267" spans="1:5" x14ac:dyDescent="0.2">
      <c r="A267" s="588">
        <v>10</v>
      </c>
      <c r="B267" s="587" t="s">
        <v>837</v>
      </c>
      <c r="C267" s="642">
        <f>IF(C258=0,0,C266/C258)</f>
        <v>0.33982288651708581</v>
      </c>
      <c r="D267" s="642">
        <f>IF(D258=0,0,D266/D258)</f>
        <v>0.34569427710292794</v>
      </c>
      <c r="E267" s="643">
        <f t="shared" si="30"/>
        <v>5.8713905858421289E-3</v>
      </c>
    </row>
    <row r="268" spans="1:5" x14ac:dyDescent="0.2">
      <c r="A268" s="588">
        <v>11</v>
      </c>
      <c r="B268" s="587" t="s">
        <v>716</v>
      </c>
      <c r="C268" s="622">
        <f>+C260*C267</f>
        <v>1075084.7528044167</v>
      </c>
      <c r="D268" s="644">
        <f>+D260*D267</f>
        <v>923794.32267655199</v>
      </c>
      <c r="E268" s="622">
        <f t="shared" si="30"/>
        <v>-151290.4301278647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2212575.6268129703</v>
      </c>
      <c r="D269" s="644">
        <f>((D17+D18+D28+D29)*D267)-(D50+D51+D61+D62)</f>
        <v>2593697.1186756054</v>
      </c>
      <c r="E269" s="622">
        <f t="shared" si="30"/>
        <v>381121.49186263513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840</v>
      </c>
      <c r="C271" s="622">
        <f>+C268+C269+C270</f>
        <v>3287660.379617387</v>
      </c>
      <c r="D271" s="622">
        <f>+D268+D269+D270</f>
        <v>3517491.4413521574</v>
      </c>
      <c r="E271" s="625">
        <f t="shared" si="30"/>
        <v>229831.06173477042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0.40920959100842158</v>
      </c>
      <c r="D276" s="623">
        <f t="shared" si="31"/>
        <v>0.47494245122816303</v>
      </c>
      <c r="E276" s="650">
        <f t="shared" ref="E276:E284" si="32">D276-C276</f>
        <v>6.5732860219741451E-2</v>
      </c>
    </row>
    <row r="277" spans="1:5" x14ac:dyDescent="0.2">
      <c r="A277" s="588">
        <v>2</v>
      </c>
      <c r="B277" s="587" t="s">
        <v>635</v>
      </c>
      <c r="C277" s="623">
        <f t="shared" si="31"/>
        <v>0.42232554891086271</v>
      </c>
      <c r="D277" s="623">
        <f t="shared" si="31"/>
        <v>0.4207541341137559</v>
      </c>
      <c r="E277" s="650">
        <f t="shared" si="32"/>
        <v>-1.5714147971068182E-3</v>
      </c>
    </row>
    <row r="278" spans="1:5" x14ac:dyDescent="0.2">
      <c r="A278" s="588">
        <v>3</v>
      </c>
      <c r="B278" s="587" t="s">
        <v>777</v>
      </c>
      <c r="C278" s="623">
        <f t="shared" si="31"/>
        <v>0.31165408917235538</v>
      </c>
      <c r="D278" s="623">
        <f t="shared" si="31"/>
        <v>0.32689999435353262</v>
      </c>
      <c r="E278" s="650">
        <f t="shared" si="32"/>
        <v>1.5245905181177244E-2</v>
      </c>
    </row>
    <row r="279" spans="1:5" x14ac:dyDescent="0.2">
      <c r="A279" s="588">
        <v>4</v>
      </c>
      <c r="B279" s="587" t="s">
        <v>115</v>
      </c>
      <c r="C279" s="623">
        <f t="shared" si="31"/>
        <v>0.2581734482066223</v>
      </c>
      <c r="D279" s="623">
        <f t="shared" si="31"/>
        <v>0.28123918072710008</v>
      </c>
      <c r="E279" s="650">
        <f t="shared" si="32"/>
        <v>2.3065732520477777E-2</v>
      </c>
    </row>
    <row r="280" spans="1:5" x14ac:dyDescent="0.2">
      <c r="A280" s="588">
        <v>5</v>
      </c>
      <c r="B280" s="587" t="s">
        <v>743</v>
      </c>
      <c r="C280" s="623">
        <f t="shared" si="31"/>
        <v>0.3738885194365516</v>
      </c>
      <c r="D280" s="623">
        <f t="shared" si="31"/>
        <v>0.37215153873745915</v>
      </c>
      <c r="E280" s="650">
        <f t="shared" si="32"/>
        <v>-1.7369806990924497E-3</v>
      </c>
    </row>
    <row r="281" spans="1:5" x14ac:dyDescent="0.2">
      <c r="A281" s="588">
        <v>6</v>
      </c>
      <c r="B281" s="587" t="s">
        <v>424</v>
      </c>
      <c r="C281" s="623">
        <f t="shared" si="31"/>
        <v>0.63641845831148403</v>
      </c>
      <c r="D281" s="623">
        <f t="shared" si="31"/>
        <v>0.73235294117647054</v>
      </c>
      <c r="E281" s="650">
        <f t="shared" si="32"/>
        <v>9.5934482864986514E-2</v>
      </c>
    </row>
    <row r="282" spans="1:5" x14ac:dyDescent="0.2">
      <c r="A282" s="588">
        <v>7</v>
      </c>
      <c r="B282" s="587" t="s">
        <v>758</v>
      </c>
      <c r="C282" s="623">
        <f t="shared" si="31"/>
        <v>8.0630089440662134E-2</v>
      </c>
      <c r="D282" s="623">
        <f t="shared" si="31"/>
        <v>1.6163320767949504E-2</v>
      </c>
      <c r="E282" s="650">
        <f t="shared" si="32"/>
        <v>-6.4466768672712629E-2</v>
      </c>
    </row>
    <row r="283" spans="1:5" ht="29.25" customHeight="1" x14ac:dyDescent="0.2">
      <c r="A283" s="588"/>
      <c r="B283" s="592" t="s">
        <v>844</v>
      </c>
      <c r="C283" s="651">
        <f t="shared" si="31"/>
        <v>0.40506627893033609</v>
      </c>
      <c r="D283" s="651">
        <f t="shared" si="31"/>
        <v>0.40585899840090472</v>
      </c>
      <c r="E283" s="652">
        <f t="shared" si="32"/>
        <v>7.927194705686369E-4</v>
      </c>
    </row>
    <row r="284" spans="1:5" x14ac:dyDescent="0.2">
      <c r="A284" s="588"/>
      <c r="B284" s="592" t="s">
        <v>845</v>
      </c>
      <c r="C284" s="651">
        <f t="shared" si="31"/>
        <v>0.40595648007711305</v>
      </c>
      <c r="D284" s="651">
        <f t="shared" si="31"/>
        <v>0.41859914485023891</v>
      </c>
      <c r="E284" s="652">
        <f t="shared" si="32"/>
        <v>1.2642664773125867E-2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0.40764810299504917</v>
      </c>
      <c r="D287" s="623">
        <f t="shared" si="33"/>
        <v>0.4183006604127128</v>
      </c>
      <c r="E287" s="650">
        <f t="shared" ref="E287:E295" si="34">D287-C287</f>
        <v>1.0652557417663633E-2</v>
      </c>
    </row>
    <row r="288" spans="1:5" x14ac:dyDescent="0.2">
      <c r="A288" s="588">
        <v>2</v>
      </c>
      <c r="B288" s="587" t="s">
        <v>635</v>
      </c>
      <c r="C288" s="623">
        <f t="shared" si="33"/>
        <v>0.21252245428584923</v>
      </c>
      <c r="D288" s="623">
        <f t="shared" si="33"/>
        <v>0.20291302554453267</v>
      </c>
      <c r="E288" s="650">
        <f t="shared" si="34"/>
        <v>-9.6094287413165669E-3</v>
      </c>
    </row>
    <row r="289" spans="1:5" x14ac:dyDescent="0.2">
      <c r="A289" s="588">
        <v>3</v>
      </c>
      <c r="B289" s="587" t="s">
        <v>777</v>
      </c>
      <c r="C289" s="623">
        <f t="shared" si="33"/>
        <v>0.17258648830303677</v>
      </c>
      <c r="D289" s="623">
        <f t="shared" si="33"/>
        <v>0.16674495133046696</v>
      </c>
      <c r="E289" s="650">
        <f t="shared" si="34"/>
        <v>-5.8415369725698107E-3</v>
      </c>
    </row>
    <row r="290" spans="1:5" x14ac:dyDescent="0.2">
      <c r="A290" s="588">
        <v>4</v>
      </c>
      <c r="B290" s="587" t="s">
        <v>115</v>
      </c>
      <c r="C290" s="623">
        <f t="shared" si="33"/>
        <v>0.21126378350298036</v>
      </c>
      <c r="D290" s="623">
        <f t="shared" si="33"/>
        <v>0.19444212153029844</v>
      </c>
      <c r="E290" s="650">
        <f t="shared" si="34"/>
        <v>-1.6821661972681923E-2</v>
      </c>
    </row>
    <row r="291" spans="1:5" x14ac:dyDescent="0.2">
      <c r="A291" s="588">
        <v>5</v>
      </c>
      <c r="B291" s="587" t="s">
        <v>743</v>
      </c>
      <c r="C291" s="623">
        <f t="shared" si="33"/>
        <v>0.120864361213606</v>
      </c>
      <c r="D291" s="623">
        <f t="shared" si="33"/>
        <v>0.12788267033372877</v>
      </c>
      <c r="E291" s="650">
        <f t="shared" si="34"/>
        <v>7.0183091201227732E-3</v>
      </c>
    </row>
    <row r="292" spans="1:5" x14ac:dyDescent="0.2">
      <c r="A292" s="588">
        <v>6</v>
      </c>
      <c r="B292" s="587" t="s">
        <v>424</v>
      </c>
      <c r="C292" s="623">
        <f t="shared" si="33"/>
        <v>0.21890929817391866</v>
      </c>
      <c r="D292" s="623">
        <f t="shared" si="33"/>
        <v>0.20140829202343397</v>
      </c>
      <c r="E292" s="650">
        <f t="shared" si="34"/>
        <v>-1.7501006150484694E-2</v>
      </c>
    </row>
    <row r="293" spans="1:5" x14ac:dyDescent="0.2">
      <c r="A293" s="588">
        <v>7</v>
      </c>
      <c r="B293" s="587" t="s">
        <v>758</v>
      </c>
      <c r="C293" s="623">
        <f t="shared" si="33"/>
        <v>0.10113767478671985</v>
      </c>
      <c r="D293" s="623">
        <f t="shared" si="33"/>
        <v>0.10962276852194419</v>
      </c>
      <c r="E293" s="650">
        <f t="shared" si="34"/>
        <v>8.4850937352243389E-3</v>
      </c>
    </row>
    <row r="294" spans="1:5" ht="29.25" customHeight="1" x14ac:dyDescent="0.2">
      <c r="A294" s="588"/>
      <c r="B294" s="592" t="s">
        <v>847</v>
      </c>
      <c r="C294" s="651">
        <f t="shared" si="33"/>
        <v>0.20243878159183681</v>
      </c>
      <c r="D294" s="651">
        <f t="shared" si="33"/>
        <v>0.19273483520999865</v>
      </c>
      <c r="E294" s="652">
        <f t="shared" si="34"/>
        <v>-9.7039463818381633E-3</v>
      </c>
    </row>
    <row r="295" spans="1:5" x14ac:dyDescent="0.2">
      <c r="A295" s="588"/>
      <c r="B295" s="592" t="s">
        <v>848</v>
      </c>
      <c r="C295" s="651">
        <f t="shared" si="33"/>
        <v>0.29600281733692946</v>
      </c>
      <c r="D295" s="651">
        <f t="shared" si="33"/>
        <v>0.29595388006813761</v>
      </c>
      <c r="E295" s="652">
        <f t="shared" si="34"/>
        <v>-4.8937268791848787E-5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49332886</v>
      </c>
      <c r="D301" s="590">
        <f>+D48+D47+D50+D51+D52+D59+D58+D61+D62+D63</f>
        <v>49065249</v>
      </c>
      <c r="E301" s="590">
        <f>D301-C301</f>
        <v>-267637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49332886</v>
      </c>
      <c r="D303" s="593">
        <f>+D301+D302</f>
        <v>49065249</v>
      </c>
      <c r="E303" s="593">
        <f>D303-C303</f>
        <v>-267637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753030</v>
      </c>
      <c r="D305" s="654">
        <v>420328</v>
      </c>
      <c r="E305" s="655">
        <f>D305-C305</f>
        <v>-332702</v>
      </c>
    </row>
    <row r="306" spans="1:5" x14ac:dyDescent="0.2">
      <c r="A306" s="588">
        <v>4</v>
      </c>
      <c r="B306" s="592" t="s">
        <v>855</v>
      </c>
      <c r="C306" s="593">
        <f>+C303+C305+C194+C190-C191</f>
        <v>53105146</v>
      </c>
      <c r="D306" s="593">
        <f>+D303+D305</f>
        <v>49485577</v>
      </c>
      <c r="E306" s="656">
        <f>D306-C306</f>
        <v>-3619569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50085912</v>
      </c>
      <c r="D308" s="589">
        <v>49485574</v>
      </c>
      <c r="E308" s="590">
        <f>D308-C308</f>
        <v>-600338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3019234</v>
      </c>
      <c r="D310" s="658">
        <f>D306-D308</f>
        <v>3</v>
      </c>
      <c r="E310" s="656">
        <f>D310-C310</f>
        <v>-3019231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145172347</v>
      </c>
      <c r="D314" s="590">
        <f>+D14+D15+D16+D19+D25+D26+D27+D30</f>
        <v>143606025</v>
      </c>
      <c r="E314" s="590">
        <f>D314-C314</f>
        <v>-1566322</v>
      </c>
    </row>
    <row r="315" spans="1:5" x14ac:dyDescent="0.2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145172347</v>
      </c>
      <c r="D316" s="657">
        <f>D314+D315</f>
        <v>143606025</v>
      </c>
      <c r="E316" s="593">
        <f>D316-C316</f>
        <v>-1566322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145172348</v>
      </c>
      <c r="D318" s="589">
        <v>143606025</v>
      </c>
      <c r="E318" s="590">
        <f>D318-C318</f>
        <v>-1566323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-1</v>
      </c>
      <c r="D320" s="657">
        <f>D316-D318</f>
        <v>0</v>
      </c>
      <c r="E320" s="593">
        <f>D320-C320</f>
        <v>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3163662</v>
      </c>
      <c r="D324" s="589">
        <f>+D193+D194</f>
        <v>2672287</v>
      </c>
      <c r="E324" s="590">
        <f>D324-C324</f>
        <v>-491375</v>
      </c>
    </row>
    <row r="325" spans="1:5" x14ac:dyDescent="0.2">
      <c r="A325" s="588">
        <v>2</v>
      </c>
      <c r="B325" s="587" t="s">
        <v>865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866</v>
      </c>
      <c r="C326" s="657">
        <f>C324+C325</f>
        <v>3163662</v>
      </c>
      <c r="D326" s="657">
        <f>D324+D325</f>
        <v>2672287</v>
      </c>
      <c r="E326" s="593">
        <f>D326-C326</f>
        <v>-491375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3163662</v>
      </c>
      <c r="D328" s="589">
        <v>2672287</v>
      </c>
      <c r="E328" s="590">
        <f>D328-C328</f>
        <v>-491375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9" fitToHeight="0" orientation="portrait" horizontalDpi="1200" verticalDpi="1200" r:id="rId1"/>
  <headerFooter>
    <oddHeader>_x000D_
                &amp;LOFFICE OF HEALTH CARE ACCESS&amp;CTWELVE MONTHS ACTUAL FILING&amp;RESSENT-SHARON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9870758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36430178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7154916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3561353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3593563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68340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365024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43653434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53524192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41221496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34940236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13742581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8023925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5718656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177520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2051499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48860337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90081833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51092254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92513771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143606025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4688042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15328148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2338942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1001592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1337350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50049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5900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17717139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22405181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17242979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7089829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2291506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1560189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731317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35754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224891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9417089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26660068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21931021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27134228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49065249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647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1410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398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219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179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11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45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1819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2466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0.87690000000000001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1.1719999999999999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0.96739195979899495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0.93510000000000004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1.0068999999999999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0.875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0.73839999999999995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1.1254354040681693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1.060227615571776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51092254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25835394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25256860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0.49433833942812544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1159710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653554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741722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1930565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2672287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851556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50076702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49065249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49065249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420328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49485577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49485574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3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143606025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143606025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143606025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2672287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2672287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2672287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FILING&amp;RESSENT-SHARON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882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132</v>
      </c>
      <c r="D12" s="185">
        <v>130</v>
      </c>
      <c r="E12" s="185">
        <f>+D12-C12</f>
        <v>-2</v>
      </c>
      <c r="F12" s="77">
        <f>IF(C12=0,0,+E12/C12)</f>
        <v>-1.5151515151515152E-2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132</v>
      </c>
      <c r="D13" s="185">
        <v>126</v>
      </c>
      <c r="E13" s="185">
        <f>+D13-C13</f>
        <v>-6</v>
      </c>
      <c r="F13" s="77">
        <f>IF(C13=0,0,+E13/C13)</f>
        <v>-4.5454545454545456E-2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892961</v>
      </c>
      <c r="D15" s="76">
        <v>741722</v>
      </c>
      <c r="E15" s="76">
        <f>+D15-C15</f>
        <v>-151239</v>
      </c>
      <c r="F15" s="77">
        <f>IF(C15=0,0,+E15/C15)</f>
        <v>-0.16936797911666915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6764.856060606061</v>
      </c>
      <c r="D16" s="79">
        <f>IF(D13=0,0,+D15/+D13)</f>
        <v>5886.6825396825398</v>
      </c>
      <c r="E16" s="79">
        <f>+D16-C16</f>
        <v>-878.17352092352121</v>
      </c>
      <c r="F16" s="80">
        <f>IF(C16=0,0,+E16/C16)</f>
        <v>-0.12981407336032011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0.33408700000000002</v>
      </c>
      <c r="D18" s="704">
        <v>0.32978600000000002</v>
      </c>
      <c r="E18" s="704">
        <f>+D18-C18</f>
        <v>-4.3009999999999993E-3</v>
      </c>
      <c r="F18" s="77">
        <f>IF(C18=0,0,+E18/C18)</f>
        <v>-1.2873892129894307E-2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298326.66160700005</v>
      </c>
      <c r="D19" s="79">
        <f>+D15*D18</f>
        <v>244609.53149200001</v>
      </c>
      <c r="E19" s="79">
        <f>+D19-C19</f>
        <v>-53717.130115000036</v>
      </c>
      <c r="F19" s="80">
        <f>IF(C19=0,0,+E19/C19)</f>
        <v>-0.18006144615315736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2260.0504667196974</v>
      </c>
      <c r="D20" s="79">
        <f>IF(D13=0,0,+D19/D13)</f>
        <v>1941.3454880317461</v>
      </c>
      <c r="E20" s="79">
        <f>+D20-C20</f>
        <v>-318.70497868795132</v>
      </c>
      <c r="F20" s="80">
        <f>IF(C20=0,0,+E20/C20)</f>
        <v>-0.14101675311283157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387683</v>
      </c>
      <c r="D22" s="76">
        <v>263589</v>
      </c>
      <c r="E22" s="76">
        <f>+D22-C22</f>
        <v>-124094</v>
      </c>
      <c r="F22" s="77">
        <f>IF(C22=0,0,+E22/C22)</f>
        <v>-0.32009141489309567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264618</v>
      </c>
      <c r="D23" s="185">
        <v>214674</v>
      </c>
      <c r="E23" s="185">
        <f>+D23-C23</f>
        <v>-49944</v>
      </c>
      <c r="F23" s="77">
        <f>IF(C23=0,0,+E23/C23)</f>
        <v>-0.18873999501167721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240660</v>
      </c>
      <c r="D24" s="185">
        <v>263459</v>
      </c>
      <c r="E24" s="185">
        <f>+D24-C24</f>
        <v>22799</v>
      </c>
      <c r="F24" s="77">
        <f>IF(C24=0,0,+E24/C24)</f>
        <v>9.4735311227457819E-2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892961</v>
      </c>
      <c r="D25" s="79">
        <f>+D22+D23+D24</f>
        <v>741722</v>
      </c>
      <c r="E25" s="79">
        <f>+E22+E23+E24</f>
        <v>-151239</v>
      </c>
      <c r="F25" s="80">
        <f>IF(C25=0,0,+E25/C25)</f>
        <v>-0.16936797911666915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176</v>
      </c>
      <c r="D27" s="185">
        <v>260</v>
      </c>
      <c r="E27" s="185">
        <f>+D27-C27</f>
        <v>84</v>
      </c>
      <c r="F27" s="77">
        <f>IF(C27=0,0,+E27/C27)</f>
        <v>0.47727272727272729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49</v>
      </c>
      <c r="D28" s="185">
        <v>63</v>
      </c>
      <c r="E28" s="185">
        <f>+D28-C28</f>
        <v>14</v>
      </c>
      <c r="F28" s="77">
        <f>IF(C28=0,0,+E28/C28)</f>
        <v>0.2857142857142857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306</v>
      </c>
      <c r="D29" s="185">
        <v>408</v>
      </c>
      <c r="E29" s="185">
        <f>+D29-C29</f>
        <v>102</v>
      </c>
      <c r="F29" s="77">
        <f>IF(C29=0,0,+E29/C29)</f>
        <v>0.33333333333333331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315</v>
      </c>
      <c r="D30" s="185">
        <v>277</v>
      </c>
      <c r="E30" s="185">
        <f>+D30-C30</f>
        <v>-38</v>
      </c>
      <c r="F30" s="77">
        <f>IF(C30=0,0,+E30/C30)</f>
        <v>-0.12063492063492064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179470</v>
      </c>
      <c r="D33" s="76">
        <v>128821</v>
      </c>
      <c r="E33" s="76">
        <f>+D33-C33</f>
        <v>-50649</v>
      </c>
      <c r="F33" s="77">
        <f>IF(C33=0,0,+E33/C33)</f>
        <v>-0.28221429765420403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663740</v>
      </c>
      <c r="D34" s="185">
        <v>672903</v>
      </c>
      <c r="E34" s="185">
        <f>+D34-C34</f>
        <v>9163</v>
      </c>
      <c r="F34" s="77">
        <f>IF(C34=0,0,+E34/C34)</f>
        <v>1.3805104408352668E-2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1427491</v>
      </c>
      <c r="D35" s="185">
        <v>1128841</v>
      </c>
      <c r="E35" s="185">
        <f>+D35-C35</f>
        <v>-298650</v>
      </c>
      <c r="F35" s="77">
        <f>IF(C35=0,0,+E35/C35)</f>
        <v>-0.20921322796430941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2270701</v>
      </c>
      <c r="D36" s="79">
        <f>+D33+D34+D35</f>
        <v>1930565</v>
      </c>
      <c r="E36" s="79">
        <f>+E33+E34+E35</f>
        <v>-340136</v>
      </c>
      <c r="F36" s="80">
        <f>IF(C36=0,0,+E36/C36)</f>
        <v>-0.14979338979460527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892961</v>
      </c>
      <c r="D39" s="76">
        <f>+D25</f>
        <v>741722</v>
      </c>
      <c r="E39" s="76">
        <f>+D39-C39</f>
        <v>-151239</v>
      </c>
      <c r="F39" s="77">
        <f>IF(C39=0,0,+E39/C39)</f>
        <v>-0.16936797911666915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2270701</v>
      </c>
      <c r="D40" s="185">
        <f>+D36</f>
        <v>1930565</v>
      </c>
      <c r="E40" s="185">
        <f>+D40-C40</f>
        <v>-340136</v>
      </c>
      <c r="F40" s="77">
        <f>IF(C40=0,0,+E40/C40)</f>
        <v>-0.14979338979460527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3163662</v>
      </c>
      <c r="D41" s="79">
        <f>+D39+D40</f>
        <v>2672287</v>
      </c>
      <c r="E41" s="79">
        <f>+E39+E40</f>
        <v>-491375</v>
      </c>
      <c r="F41" s="80">
        <f>IF(C41=0,0,+E41/C41)</f>
        <v>-0.15531842529322032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567153</v>
      </c>
      <c r="D43" s="76">
        <f t="shared" si="0"/>
        <v>392410</v>
      </c>
      <c r="E43" s="76">
        <f>+D43-C43</f>
        <v>-174743</v>
      </c>
      <c r="F43" s="77">
        <f>IF(C43=0,0,+E43/C43)</f>
        <v>-0.30810557292300311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928358</v>
      </c>
      <c r="D44" s="185">
        <f t="shared" si="0"/>
        <v>887577</v>
      </c>
      <c r="E44" s="185">
        <f>+D44-C44</f>
        <v>-40781</v>
      </c>
      <c r="F44" s="77">
        <f>IF(C44=0,0,+E44/C44)</f>
        <v>-4.3928096704073216E-2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1668151</v>
      </c>
      <c r="D45" s="185">
        <f t="shared" si="0"/>
        <v>1392300</v>
      </c>
      <c r="E45" s="185">
        <f>+D45-C45</f>
        <v>-275851</v>
      </c>
      <c r="F45" s="77">
        <f>IF(C45=0,0,+E45/C45)</f>
        <v>-0.16536332742059923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3163662</v>
      </c>
      <c r="D46" s="79">
        <f>+D43+D44+D45</f>
        <v>2672287</v>
      </c>
      <c r="E46" s="79">
        <f>+E43+E44+E45</f>
        <v>-491375</v>
      </c>
      <c r="F46" s="80">
        <f>IF(C46=0,0,+E46/C46)</f>
        <v>-0.15531842529322032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911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scale="75" fitToHeight="0" orientation="portrait" horizontalDpi="1200" verticalDpi="1200" r:id="rId1"/>
  <headerFooter>
    <oddHeader>_x000D_
                  &amp;LOFFICE OF HEALTH CARE ACCESS&amp;CTWELVE MONTHS ACTUAL FILING&amp;RESSENT-SHARON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912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913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52241943</v>
      </c>
      <c r="D15" s="76">
        <v>51092254</v>
      </c>
      <c r="E15" s="76">
        <f>+D15-C15</f>
        <v>-1149689</v>
      </c>
      <c r="F15" s="77">
        <f>IF(C15=0,0,E15/C15)</f>
        <v>-2.2007010726993827E-2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26762108</v>
      </c>
      <c r="D17" s="76">
        <v>25256860</v>
      </c>
      <c r="E17" s="76">
        <f>+D17-C17</f>
        <v>-1505248</v>
      </c>
      <c r="F17" s="77">
        <f>IF(C17=0,0,E17/C17)</f>
        <v>-5.6245494562685419E-2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25479835</v>
      </c>
      <c r="D19" s="79">
        <f>+D15-D17</f>
        <v>25835394</v>
      </c>
      <c r="E19" s="79">
        <f>+D19-C19</f>
        <v>355559</v>
      </c>
      <c r="F19" s="80">
        <f>IF(C19=0,0,E19/C19)</f>
        <v>1.3954525215724514E-2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0.51227244744706379</v>
      </c>
      <c r="D21" s="720">
        <f>IF(D15=0,0,D17/D15)</f>
        <v>0.49433833942812544</v>
      </c>
      <c r="E21" s="720">
        <f>+D21-C21</f>
        <v>-1.7934108018938355E-2</v>
      </c>
      <c r="F21" s="80">
        <f>IF(C21=0,0,E21/C21)</f>
        <v>-3.5008925637742001E-2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fitToHeight="0" orientation="landscape" horizontalDpi="1200" verticalDpi="1200" r:id="rId1"/>
  <headerFooter>
    <oddHeader>&amp;L&amp;12OFFICE OF HEALTH CARE ACCESS&amp;C&amp;12TWELVE MONTHS ACTUAL FILING&amp;R&amp;12ESSENT-SHARON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61394562</v>
      </c>
      <c r="D10" s="744">
        <v>57855847</v>
      </c>
      <c r="E10" s="744">
        <v>53524192</v>
      </c>
    </row>
    <row r="11" spans="1:6" ht="26.1" customHeight="1" x14ac:dyDescent="0.25">
      <c r="A11" s="742">
        <v>2</v>
      </c>
      <c r="B11" s="743" t="s">
        <v>932</v>
      </c>
      <c r="C11" s="744">
        <v>86046480</v>
      </c>
      <c r="D11" s="744">
        <v>87316500</v>
      </c>
      <c r="E11" s="744">
        <v>90081833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147441042</v>
      </c>
      <c r="D12" s="744">
        <f>+D11+D10</f>
        <v>145172347</v>
      </c>
      <c r="E12" s="744">
        <f>+E11+E10</f>
        <v>143606025</v>
      </c>
    </row>
    <row r="13" spans="1:6" ht="26.1" customHeight="1" x14ac:dyDescent="0.25">
      <c r="A13" s="742">
        <v>4</v>
      </c>
      <c r="B13" s="743" t="s">
        <v>507</v>
      </c>
      <c r="C13" s="744">
        <v>53746903</v>
      </c>
      <c r="D13" s="744">
        <v>50085913</v>
      </c>
      <c r="E13" s="744">
        <v>49485574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49401485</v>
      </c>
      <c r="D16" s="744">
        <v>48236048</v>
      </c>
      <c r="E16" s="744">
        <v>50076702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12338</v>
      </c>
      <c r="D19" s="747">
        <v>11690</v>
      </c>
      <c r="E19" s="747">
        <v>11029</v>
      </c>
    </row>
    <row r="20" spans="1:5" ht="26.1" customHeight="1" x14ac:dyDescent="0.25">
      <c r="A20" s="742">
        <v>2</v>
      </c>
      <c r="B20" s="743" t="s">
        <v>381</v>
      </c>
      <c r="C20" s="748">
        <v>2878</v>
      </c>
      <c r="D20" s="748">
        <v>2616</v>
      </c>
      <c r="E20" s="748">
        <v>2466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4.2870048644892282</v>
      </c>
      <c r="D21" s="749">
        <f>IF(D20=0,0,+D19/D20)</f>
        <v>4.4686544342507641</v>
      </c>
      <c r="E21" s="749">
        <f>IF(E20=0,0,+E19/E20)</f>
        <v>4.4724249797242495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29630.109197554015</v>
      </c>
      <c r="D22" s="748">
        <f>IF(D10=0,0,D19*(D12/D10))</f>
        <v>29332.640077501586</v>
      </c>
      <c r="E22" s="748">
        <f>IF(E10=0,0,E19*(E12/E10))</f>
        <v>29590.934314804788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6911.6108178440954</v>
      </c>
      <c r="D23" s="748">
        <f>IF(D10=0,0,D20*(D12/D10))</f>
        <v>6564.0878051962491</v>
      </c>
      <c r="E23" s="748">
        <f>IF(E10=0,0,E20*(E12/E10))</f>
        <v>6616.3064666160672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1.0947610145934676</v>
      </c>
      <c r="D26" s="750">
        <v>1.0726553134556576</v>
      </c>
      <c r="E26" s="750">
        <v>1.060227615571776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13507.161398054204</v>
      </c>
      <c r="D27" s="748">
        <f>D19*D26</f>
        <v>12539.340614296638</v>
      </c>
      <c r="E27" s="748">
        <f>E19*E26</f>
        <v>11693.250372141118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3150.7221999999997</v>
      </c>
      <c r="D28" s="748">
        <f>D20*D26</f>
        <v>2806.0663000000004</v>
      </c>
      <c r="E28" s="748">
        <f>E20*E26</f>
        <v>2614.5212999999999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32437.888407629471</v>
      </c>
      <c r="D29" s="748">
        <f>D22*D26</f>
        <v>31463.812236814447</v>
      </c>
      <c r="E29" s="748">
        <f>E22*E26</f>
        <v>31373.125731126525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7566.5620714181887</v>
      </c>
      <c r="D30" s="748">
        <f>D23*D26</f>
        <v>7041.0036622332418</v>
      </c>
      <c r="E30" s="748">
        <f>E23*E26</f>
        <v>7014.7908289924753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11950.157399902739</v>
      </c>
      <c r="D33" s="744">
        <f>IF(D19=0,0,D12/D19)</f>
        <v>12418.507014542343</v>
      </c>
      <c r="E33" s="744">
        <f>IF(E19=0,0,E12/E19)</f>
        <v>13020.765708586454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51230.382904794998</v>
      </c>
      <c r="D34" s="744">
        <f>IF(D20=0,0,D12/D20)</f>
        <v>55494.01643730887</v>
      </c>
      <c r="E34" s="744">
        <f>IF(E20=0,0,E12/E20)</f>
        <v>58234.397810218979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4976.0546279786022</v>
      </c>
      <c r="D35" s="744">
        <f>IF(D22=0,0,D12/D22)</f>
        <v>4949.1742514970065</v>
      </c>
      <c r="E35" s="744">
        <f>IF(E22=0,0,E12/E22)</f>
        <v>4853.0412548735158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21332.370396108407</v>
      </c>
      <c r="D36" s="744">
        <f>IF(D23=0,0,D12/D23)</f>
        <v>22116.149464831804</v>
      </c>
      <c r="E36" s="744">
        <f>IF(E23=0,0,E12/E23)</f>
        <v>21704.862935928631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4545.3341520627928</v>
      </c>
      <c r="D37" s="744">
        <f>IF(D29=0,0,D12/D29)</f>
        <v>4613.9465207633075</v>
      </c>
      <c r="E37" s="744">
        <f>IF(E29=0,0,E12/E29)</f>
        <v>4577.357902770993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19485.869620622216</v>
      </c>
      <c r="D38" s="744">
        <f>IF(D30=0,0,D12/D30)</f>
        <v>20618.132579404843</v>
      </c>
      <c r="E38" s="744">
        <f>IF(E30=0,0,E12/E30)</f>
        <v>20471.889825491195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2072.0329307820493</v>
      </c>
      <c r="D39" s="744">
        <f>IF(D22=0,0,D10/D22)</f>
        <v>1972.4050357259177</v>
      </c>
      <c r="E39" s="744">
        <f>IF(E22=0,0,E10/E22)</f>
        <v>1808.8037177393564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8882.8152536445195</v>
      </c>
      <c r="D40" s="744">
        <f>IF(D23=0,0,D10/D23)</f>
        <v>8813.9965090351598</v>
      </c>
      <c r="E40" s="744">
        <f>IF(E23=0,0,E10/E23)</f>
        <v>8089.7389306355899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4356.2087048143949</v>
      </c>
      <c r="D43" s="744">
        <f>IF(D19=0,0,D13/D19)</f>
        <v>4284.509238665526</v>
      </c>
      <c r="E43" s="744">
        <f>IF(E19=0,0,E13/E19)</f>
        <v>4486.8595520899444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18675.08790826963</v>
      </c>
      <c r="D44" s="744">
        <f>IF(D20=0,0,D13/D20)</f>
        <v>19145.991207951069</v>
      </c>
      <c r="E44" s="744">
        <f>IF(E20=0,0,E13/E20)</f>
        <v>20067.142741281426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1813.928617058112</v>
      </c>
      <c r="D45" s="744">
        <f>IF(D22=0,0,D13/D22)</f>
        <v>1707.5146617442176</v>
      </c>
      <c r="E45" s="744">
        <f>IF(E22=0,0,E13/E22)</f>
        <v>1672.3221197933458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7776.320805164346</v>
      </c>
      <c r="D46" s="744">
        <f>IF(D23=0,0,D13/D23)</f>
        <v>7630.292964751492</v>
      </c>
      <c r="E46" s="744">
        <f>IF(E23=0,0,E13/E23)</f>
        <v>7479.3352227091691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1656.9174394027016</v>
      </c>
      <c r="D47" s="744">
        <f>IF(D29=0,0,D13/D29)</f>
        <v>1591.8577387579448</v>
      </c>
      <c r="E47" s="744">
        <f>IF(E29=0,0,E13/E29)</f>
        <v>1577.3236758141506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7103.2131227764185</v>
      </c>
      <c r="D48" s="744">
        <f>IF(D30=0,0,D13/D30)</f>
        <v>7113.4621429970848</v>
      </c>
      <c r="E48" s="744">
        <f>IF(E30=0,0,E13/E30)</f>
        <v>7054.4618088216812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4004.0107797049764</v>
      </c>
      <c r="D51" s="744">
        <f>IF(D19=0,0,D16/D19)</f>
        <v>4126.2658682634728</v>
      </c>
      <c r="E51" s="744">
        <f>IF(E19=0,0,E16/E19)</f>
        <v>4540.4571584005807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17165.213690062545</v>
      </c>
      <c r="D52" s="744">
        <f>IF(D20=0,0,D16/D20)</f>
        <v>18438.856269113148</v>
      </c>
      <c r="E52" s="744">
        <f>IF(E20=0,0,E16/E20)</f>
        <v>20306.854014598539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1667.2731332383387</v>
      </c>
      <c r="D53" s="744">
        <f>IF(D22=0,0,D16/D22)</f>
        <v>1644.4495917364598</v>
      </c>
      <c r="E53" s="744">
        <f>IF(E22=0,0,E16/E22)</f>
        <v>1692.2987786480901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7147.6080326249566</v>
      </c>
      <c r="D54" s="744">
        <f>IF(D23=0,0,D16/D23)</f>
        <v>7348.4769600149903</v>
      </c>
      <c r="E54" s="744">
        <f>IF(E23=0,0,E16/E23)</f>
        <v>7568.6793307825574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1522.9562534773579</v>
      </c>
      <c r="D55" s="744">
        <f>IF(D29=0,0,D16/D29)</f>
        <v>1533.0643228146741</v>
      </c>
      <c r="E55" s="744">
        <f>IF(E29=0,0,E16/E29)</f>
        <v>1596.165534450299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6528.9208670617245</v>
      </c>
      <c r="D56" s="744">
        <f>IF(D30=0,0,D16/D30)</f>
        <v>6850.7346841374392</v>
      </c>
      <c r="E56" s="744">
        <f>IF(E30=0,0,E16/E30)</f>
        <v>7138.730608050425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6922138</v>
      </c>
      <c r="D59" s="752">
        <v>7183819</v>
      </c>
      <c r="E59" s="752">
        <v>7190589</v>
      </c>
    </row>
    <row r="60" spans="1:6" ht="26.1" customHeight="1" x14ac:dyDescent="0.25">
      <c r="A60" s="742">
        <v>2</v>
      </c>
      <c r="B60" s="743" t="s">
        <v>968</v>
      </c>
      <c r="C60" s="752">
        <v>1697890</v>
      </c>
      <c r="D60" s="752">
        <v>1803117</v>
      </c>
      <c r="E60" s="752">
        <v>1799542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8620028</v>
      </c>
      <c r="D61" s="755">
        <f>D59+D60</f>
        <v>8986936</v>
      </c>
      <c r="E61" s="755">
        <f>E59+E60</f>
        <v>8990131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0</v>
      </c>
      <c r="D64" s="744">
        <v>0</v>
      </c>
      <c r="E64" s="752">
        <v>0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0</v>
      </c>
      <c r="D65" s="752">
        <v>0</v>
      </c>
      <c r="E65" s="752">
        <v>0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0</v>
      </c>
      <c r="D66" s="757">
        <f>D64+D65</f>
        <v>0</v>
      </c>
      <c r="E66" s="757">
        <f>E64+E65</f>
        <v>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10327838</v>
      </c>
      <c r="D69" s="752">
        <v>9839922</v>
      </c>
      <c r="E69" s="752">
        <v>10128047</v>
      </c>
    </row>
    <row r="70" spans="1:6" ht="26.1" customHeight="1" x14ac:dyDescent="0.25">
      <c r="A70" s="742">
        <v>2</v>
      </c>
      <c r="B70" s="743" t="s">
        <v>976</v>
      </c>
      <c r="C70" s="752">
        <v>2533292</v>
      </c>
      <c r="D70" s="752">
        <v>2469797</v>
      </c>
      <c r="E70" s="752">
        <v>2338758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12861130</v>
      </c>
      <c r="D71" s="755">
        <f>D69+D70</f>
        <v>12309719</v>
      </c>
      <c r="E71" s="755">
        <f>E69+E70</f>
        <v>12466805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17249976</v>
      </c>
      <c r="D75" s="744">
        <f t="shared" si="0"/>
        <v>17023741</v>
      </c>
      <c r="E75" s="744">
        <f t="shared" si="0"/>
        <v>17318636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4231182</v>
      </c>
      <c r="D76" s="744">
        <f t="shared" si="0"/>
        <v>4272914</v>
      </c>
      <c r="E76" s="744">
        <f t="shared" si="0"/>
        <v>4138300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21481158</v>
      </c>
      <c r="D77" s="757">
        <f>D75+D76</f>
        <v>21296655</v>
      </c>
      <c r="E77" s="757">
        <f>E75+E76</f>
        <v>21456936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95.5</v>
      </c>
      <c r="D80" s="749">
        <v>102.6</v>
      </c>
      <c r="E80" s="749">
        <v>95</v>
      </c>
    </row>
    <row r="81" spans="1:5" ht="26.1" customHeight="1" x14ac:dyDescent="0.25">
      <c r="A81" s="742">
        <v>2</v>
      </c>
      <c r="B81" s="743" t="s">
        <v>617</v>
      </c>
      <c r="C81" s="749">
        <v>0</v>
      </c>
      <c r="D81" s="749">
        <v>0</v>
      </c>
      <c r="E81" s="749">
        <v>0</v>
      </c>
    </row>
    <row r="82" spans="1:5" ht="26.1" customHeight="1" x14ac:dyDescent="0.25">
      <c r="A82" s="742">
        <v>3</v>
      </c>
      <c r="B82" s="743" t="s">
        <v>982</v>
      </c>
      <c r="C82" s="749">
        <v>151.9</v>
      </c>
      <c r="D82" s="749">
        <v>157</v>
      </c>
      <c r="E82" s="749">
        <v>158.9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247.4</v>
      </c>
      <c r="D83" s="759">
        <f>D80+D81+D82</f>
        <v>259.60000000000002</v>
      </c>
      <c r="E83" s="759">
        <f>E80+E81+E82</f>
        <v>253.9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72483.120418848164</v>
      </c>
      <c r="D86" s="752">
        <f>IF(D80=0,0,D59/D80)</f>
        <v>70017.729044834312</v>
      </c>
      <c r="E86" s="752">
        <f>IF(E80=0,0,E59/E80)</f>
        <v>75690.410526315783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17778.952879581153</v>
      </c>
      <c r="D87" s="752">
        <f>IF(D80=0,0,D60/D80)</f>
        <v>17574.239766081871</v>
      </c>
      <c r="E87" s="752">
        <f>IF(E80=0,0,E60/E80)</f>
        <v>18942.547368421052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90262.073298429314</v>
      </c>
      <c r="D88" s="755">
        <f>+D86+D87</f>
        <v>87591.96881091618</v>
      </c>
      <c r="E88" s="755">
        <f>+E86+E87</f>
        <v>94632.957894736843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0</v>
      </c>
      <c r="D91" s="744">
        <f>IF(D81=0,0,D64/D81)</f>
        <v>0</v>
      </c>
      <c r="E91" s="744">
        <f>IF(E81=0,0,E64/E81)</f>
        <v>0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0</v>
      </c>
      <c r="D92" s="744">
        <f>IF(D81=0,0,D65/D81)</f>
        <v>0</v>
      </c>
      <c r="E92" s="744">
        <f>IF(E81=0,0,E65/E81)</f>
        <v>0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0</v>
      </c>
      <c r="D93" s="757">
        <f>+D91+D92</f>
        <v>0</v>
      </c>
      <c r="E93" s="757">
        <f>+E91+E92</f>
        <v>0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67991.033574720204</v>
      </c>
      <c r="D96" s="752">
        <f>IF(D82=0,0,D69/D82)</f>
        <v>62674.662420382163</v>
      </c>
      <c r="E96" s="752">
        <f>IF(E82=0,0,E69/E82)</f>
        <v>63738.495909376965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16677.366688610928</v>
      </c>
      <c r="D97" s="752">
        <f>IF(D82=0,0,D70/D82)</f>
        <v>15731.191082802548</v>
      </c>
      <c r="E97" s="752">
        <f>IF(E82=0,0,E70/E82)</f>
        <v>14718.42668344871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84668.400263331132</v>
      </c>
      <c r="D98" s="757">
        <f>+D96+D97</f>
        <v>78405.853503184713</v>
      </c>
      <c r="E98" s="757">
        <f>+E96+E97</f>
        <v>78456.922592825678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69725.04446240906</v>
      </c>
      <c r="D101" s="744">
        <f>IF(D83=0,0,D75/D83)</f>
        <v>65576.814329738059</v>
      </c>
      <c r="E101" s="744">
        <f>IF(E83=0,0,E75/E83)</f>
        <v>68210.460811343044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17102.594987873887</v>
      </c>
      <c r="D102" s="761">
        <f>IF(D83=0,0,D76/D83)</f>
        <v>16459.607087827426</v>
      </c>
      <c r="E102" s="761">
        <f>IF(E83=0,0,E76/E83)</f>
        <v>16298.93658920835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86827.63945028295</v>
      </c>
      <c r="D103" s="757">
        <f>+D101+D102</f>
        <v>82036.421417565492</v>
      </c>
      <c r="E103" s="757">
        <f>+E101+E102</f>
        <v>84509.397400551388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1741.0567352893499</v>
      </c>
      <c r="D108" s="744">
        <f>IF(D19=0,0,D77/D19)</f>
        <v>1821.7840034217279</v>
      </c>
      <c r="E108" s="744">
        <f>IF(E19=0,0,E77/E19)</f>
        <v>1945.5014960558528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7463.918693537179</v>
      </c>
      <c r="D109" s="744">
        <f>IF(D20=0,0,D77/D20)</f>
        <v>8140.9231651376149</v>
      </c>
      <c r="E109" s="744">
        <f>IF(E20=0,0,E77/E20)</f>
        <v>8701.109489051094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724.97734843897513</v>
      </c>
      <c r="D110" s="744">
        <f>IF(D22=0,0,D77/D22)</f>
        <v>726.03948856055194</v>
      </c>
      <c r="E110" s="744">
        <f>IF(E22=0,0,E77/E22)</f>
        <v>725.11857083420216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3107.9814194023893</v>
      </c>
      <c r="D111" s="744">
        <f>IF(D23=0,0,D77/D23)</f>
        <v>3244.4195799972676</v>
      </c>
      <c r="E111" s="744">
        <f>IF(E23=0,0,E77/E23)</f>
        <v>3243.0384094608339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662.2243017195774</v>
      </c>
      <c r="D112" s="744">
        <f>IF(D29=0,0,D77/D29)</f>
        <v>676.86187673983466</v>
      </c>
      <c r="E112" s="744">
        <f>IF(E29=0,0,E77/E29)</f>
        <v>683.92726258422249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2838.958802854811</v>
      </c>
      <c r="D113" s="744">
        <f>IF(D30=0,0,D77/D30)</f>
        <v>3024.6618268687562</v>
      </c>
      <c r="E113" s="744">
        <f>IF(E30=0,0,E77/E30)</f>
        <v>3058.8133734961034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scale="68" fitToHeight="0" orientation="portrait" horizontalDpi="1200" verticalDpi="1200" r:id="rId1"/>
  <headerFooter>
    <oddHeader>&amp;L&amp;"Arial,Bold"&amp;12OFFICE OF HEALTH CARE ACCESS&amp;C&amp;"Arial,Bold"&amp;12TWELVE MONTHS ACTUAL FILING&amp;R&amp;"Arial,Bold"&amp;12ESSENT-SHARON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145172345</v>
      </c>
      <c r="D12" s="76">
        <v>143606025</v>
      </c>
      <c r="E12" s="76">
        <f t="shared" ref="E12:E21" si="0">D12-C12</f>
        <v>-1566320</v>
      </c>
      <c r="F12" s="77">
        <f t="shared" ref="F12:F21" si="1">IF(C12=0,0,E12/C12)</f>
        <v>-1.0789382784992555E-2</v>
      </c>
    </row>
    <row r="13" spans="1:8" ht="23.1" customHeight="1" x14ac:dyDescent="0.2">
      <c r="A13" s="74">
        <v>2</v>
      </c>
      <c r="B13" s="75" t="s">
        <v>72</v>
      </c>
      <c r="C13" s="76">
        <v>91176876</v>
      </c>
      <c r="D13" s="76">
        <v>90594383</v>
      </c>
      <c r="E13" s="76">
        <f t="shared" si="0"/>
        <v>-582493</v>
      </c>
      <c r="F13" s="77">
        <f t="shared" si="1"/>
        <v>-6.3886044966050383E-3</v>
      </c>
    </row>
    <row r="14" spans="1:8" ht="23.1" customHeight="1" x14ac:dyDescent="0.2">
      <c r="A14" s="74">
        <v>3</v>
      </c>
      <c r="B14" s="75" t="s">
        <v>73</v>
      </c>
      <c r="C14" s="76">
        <v>892961</v>
      </c>
      <c r="D14" s="76">
        <v>741722</v>
      </c>
      <c r="E14" s="76">
        <f t="shared" si="0"/>
        <v>-151239</v>
      </c>
      <c r="F14" s="77">
        <f t="shared" si="1"/>
        <v>-0.16936797911666915</v>
      </c>
    </row>
    <row r="15" spans="1:8" ht="23.1" customHeight="1" x14ac:dyDescent="0.2">
      <c r="A15" s="74">
        <v>4</v>
      </c>
      <c r="B15" s="75" t="s">
        <v>74</v>
      </c>
      <c r="C15" s="76">
        <v>745895</v>
      </c>
      <c r="D15" s="76">
        <v>853781</v>
      </c>
      <c r="E15" s="76">
        <f t="shared" si="0"/>
        <v>107886</v>
      </c>
      <c r="F15" s="77">
        <f t="shared" si="1"/>
        <v>0.1446396610783019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52356613</v>
      </c>
      <c r="D16" s="79">
        <f>D12-D13-D14-D15</f>
        <v>51416139</v>
      </c>
      <c r="E16" s="79">
        <f t="shared" si="0"/>
        <v>-940474</v>
      </c>
      <c r="F16" s="80">
        <f t="shared" si="1"/>
        <v>-1.7962850270700284E-2</v>
      </c>
    </row>
    <row r="17" spans="1:7" ht="23.1" customHeight="1" x14ac:dyDescent="0.2">
      <c r="A17" s="74">
        <v>5</v>
      </c>
      <c r="B17" s="75" t="s">
        <v>76</v>
      </c>
      <c r="C17" s="76">
        <v>2270700</v>
      </c>
      <c r="D17" s="76">
        <v>1930565</v>
      </c>
      <c r="E17" s="76">
        <f t="shared" si="0"/>
        <v>-340135</v>
      </c>
      <c r="F17" s="77">
        <f t="shared" si="1"/>
        <v>-0.14979301536970979</v>
      </c>
      <c r="G17" s="65"/>
    </row>
    <row r="18" spans="1:7" ht="31.5" customHeight="1" x14ac:dyDescent="0.25">
      <c r="A18" s="71"/>
      <c r="B18" s="81" t="s">
        <v>77</v>
      </c>
      <c r="C18" s="79">
        <f>C16-C17</f>
        <v>50085913</v>
      </c>
      <c r="D18" s="79">
        <f>D16-D17</f>
        <v>49485574</v>
      </c>
      <c r="E18" s="79">
        <f t="shared" si="0"/>
        <v>-600339</v>
      </c>
      <c r="F18" s="80">
        <f t="shared" si="1"/>
        <v>-1.1986184618417557E-2</v>
      </c>
    </row>
    <row r="19" spans="1:7" ht="23.1" customHeight="1" x14ac:dyDescent="0.2">
      <c r="A19" s="74">
        <v>6</v>
      </c>
      <c r="B19" s="75" t="s">
        <v>78</v>
      </c>
      <c r="C19" s="76">
        <v>1092483</v>
      </c>
      <c r="D19" s="76">
        <v>851556</v>
      </c>
      <c r="E19" s="76">
        <f t="shared" si="0"/>
        <v>-240927</v>
      </c>
      <c r="F19" s="77">
        <f t="shared" si="1"/>
        <v>-0.22053157806574564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51178396</v>
      </c>
      <c r="D21" s="79">
        <f>SUM(D18:D20)</f>
        <v>50337130</v>
      </c>
      <c r="E21" s="79">
        <f t="shared" si="0"/>
        <v>-841266</v>
      </c>
      <c r="F21" s="80">
        <f t="shared" si="1"/>
        <v>-1.6437912591086287E-2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17023741</v>
      </c>
      <c r="D24" s="76">
        <v>17318636</v>
      </c>
      <c r="E24" s="76">
        <f t="shared" ref="E24:E33" si="2">D24-C24</f>
        <v>294895</v>
      </c>
      <c r="F24" s="77">
        <f t="shared" ref="F24:F33" si="3">IF(C24=0,0,E24/C24)</f>
        <v>1.7322573222889142E-2</v>
      </c>
    </row>
    <row r="25" spans="1:7" ht="23.1" customHeight="1" x14ac:dyDescent="0.2">
      <c r="A25" s="74">
        <v>2</v>
      </c>
      <c r="B25" s="75" t="s">
        <v>83</v>
      </c>
      <c r="C25" s="76">
        <v>4272914</v>
      </c>
      <c r="D25" s="76">
        <v>4138300</v>
      </c>
      <c r="E25" s="76">
        <f t="shared" si="2"/>
        <v>-134614</v>
      </c>
      <c r="F25" s="77">
        <f t="shared" si="3"/>
        <v>-3.1504027462289204E-2</v>
      </c>
    </row>
    <row r="26" spans="1:7" ht="23.1" customHeight="1" x14ac:dyDescent="0.2">
      <c r="A26" s="74">
        <v>3</v>
      </c>
      <c r="B26" s="75" t="s">
        <v>84</v>
      </c>
      <c r="C26" s="76">
        <v>1992369</v>
      </c>
      <c r="D26" s="76">
        <v>1806481</v>
      </c>
      <c r="E26" s="76">
        <f t="shared" si="2"/>
        <v>-185888</v>
      </c>
      <c r="F26" s="77">
        <f t="shared" si="3"/>
        <v>-9.3299986096952919E-2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5992935</v>
      </c>
      <c r="D27" s="76">
        <v>5438800</v>
      </c>
      <c r="E27" s="76">
        <f t="shared" si="2"/>
        <v>-554135</v>
      </c>
      <c r="F27" s="77">
        <f t="shared" si="3"/>
        <v>-9.2464710529982383E-2</v>
      </c>
    </row>
    <row r="28" spans="1:7" ht="23.1" customHeight="1" x14ac:dyDescent="0.2">
      <c r="A28" s="74">
        <v>5</v>
      </c>
      <c r="B28" s="75" t="s">
        <v>86</v>
      </c>
      <c r="C28" s="76">
        <v>2563946</v>
      </c>
      <c r="D28" s="76">
        <v>2548585</v>
      </c>
      <c r="E28" s="76">
        <f t="shared" si="2"/>
        <v>-15361</v>
      </c>
      <c r="F28" s="77">
        <f t="shared" si="3"/>
        <v>-5.9911558199743677E-3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11263</v>
      </c>
      <c r="D30" s="76">
        <v>18377</v>
      </c>
      <c r="E30" s="76">
        <f t="shared" si="2"/>
        <v>7114</v>
      </c>
      <c r="F30" s="77">
        <f t="shared" si="3"/>
        <v>0.6316256769954719</v>
      </c>
    </row>
    <row r="31" spans="1:7" ht="23.1" customHeight="1" x14ac:dyDescent="0.2">
      <c r="A31" s="74">
        <v>8</v>
      </c>
      <c r="B31" s="75" t="s">
        <v>89</v>
      </c>
      <c r="C31" s="76">
        <v>1435298</v>
      </c>
      <c r="D31" s="76">
        <v>1288699</v>
      </c>
      <c r="E31" s="76">
        <f t="shared" si="2"/>
        <v>-146599</v>
      </c>
      <c r="F31" s="77">
        <f t="shared" si="3"/>
        <v>-0.10213837126506133</v>
      </c>
    </row>
    <row r="32" spans="1:7" ht="23.1" customHeight="1" x14ac:dyDescent="0.2">
      <c r="A32" s="74">
        <v>9</v>
      </c>
      <c r="B32" s="75" t="s">
        <v>90</v>
      </c>
      <c r="C32" s="76">
        <v>14943582</v>
      </c>
      <c r="D32" s="76">
        <v>17518824</v>
      </c>
      <c r="E32" s="76">
        <f t="shared" si="2"/>
        <v>2575242</v>
      </c>
      <c r="F32" s="77">
        <f t="shared" si="3"/>
        <v>0.17233097124906196</v>
      </c>
    </row>
    <row r="33" spans="1:6" ht="23.1" customHeight="1" x14ac:dyDescent="0.25">
      <c r="A33" s="71"/>
      <c r="B33" s="78" t="s">
        <v>91</v>
      </c>
      <c r="C33" s="79">
        <f>SUM(C24:C32)</f>
        <v>48236048</v>
      </c>
      <c r="D33" s="79">
        <f>SUM(D24:D32)</f>
        <v>50076702</v>
      </c>
      <c r="E33" s="79">
        <f t="shared" si="2"/>
        <v>1840654</v>
      </c>
      <c r="F33" s="80">
        <f t="shared" si="3"/>
        <v>3.8159303598006206E-2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2942348</v>
      </c>
      <c r="D35" s="79">
        <f>+D21-D33</f>
        <v>260428</v>
      </c>
      <c r="E35" s="79">
        <f>D35-C35</f>
        <v>-2681920</v>
      </c>
      <c r="F35" s="80">
        <f>IF(C35=0,0,E35/C35)</f>
        <v>-0.91148973540859202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0</v>
      </c>
      <c r="E40" s="76">
        <f>D40-C40</f>
        <v>0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0</v>
      </c>
      <c r="D41" s="79">
        <f>SUM(D38:D40)</f>
        <v>0</v>
      </c>
      <c r="E41" s="79">
        <f>D41-C41</f>
        <v>0</v>
      </c>
      <c r="F41" s="80">
        <f>IF(C41=0,0,E41/C41)</f>
        <v>0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2942348</v>
      </c>
      <c r="D43" s="79">
        <f>D35+D41</f>
        <v>260428</v>
      </c>
      <c r="E43" s="79">
        <f>D43-C43</f>
        <v>-2681920</v>
      </c>
      <c r="F43" s="80">
        <f>IF(C43=0,0,E43/C43)</f>
        <v>-0.91148973540859202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-18460790</v>
      </c>
      <c r="E47" s="76">
        <f>D47-C47</f>
        <v>-18460790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-18460790</v>
      </c>
      <c r="E48" s="79">
        <f>D48-C48</f>
        <v>-18460790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2942348</v>
      </c>
      <c r="D50" s="79">
        <f>D43+D48</f>
        <v>-18200362</v>
      </c>
      <c r="E50" s="79">
        <f>D50-C50</f>
        <v>-21142710</v>
      </c>
      <c r="F50" s="80">
        <f>IF(C50=0,0,E50/C50)</f>
        <v>-7.1856592082241804</v>
      </c>
    </row>
    <row r="51" spans="1:6" ht="23.1" customHeight="1" x14ac:dyDescent="0.2">
      <c r="A51" s="85"/>
      <c r="B51" s="75" t="s">
        <v>104</v>
      </c>
      <c r="C51" s="76">
        <v>1</v>
      </c>
      <c r="D51" s="76">
        <v>1</v>
      </c>
      <c r="E51" s="76">
        <f>D51-C51</f>
        <v>0</v>
      </c>
      <c r="F51" s="77">
        <f>IF(C51=0,0,E51/C51)</f>
        <v>0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FILING&amp;RESSENT-SHARON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34624064</v>
      </c>
      <c r="D14" s="113">
        <v>32871393</v>
      </c>
      <c r="E14" s="113">
        <f t="shared" ref="E14:E25" si="0">D14-C14</f>
        <v>-1752671</v>
      </c>
      <c r="F14" s="114">
        <f t="shared" ref="F14:F25" si="1">IF(C14=0,0,E14/C14)</f>
        <v>-5.0620025425091635E-2</v>
      </c>
    </row>
    <row r="15" spans="1:6" x14ac:dyDescent="0.2">
      <c r="A15" s="115">
        <v>2</v>
      </c>
      <c r="B15" s="116" t="s">
        <v>114</v>
      </c>
      <c r="C15" s="113">
        <v>3605276</v>
      </c>
      <c r="D15" s="113">
        <v>3558785</v>
      </c>
      <c r="E15" s="113">
        <f t="shared" si="0"/>
        <v>-46491</v>
      </c>
      <c r="F15" s="114">
        <f t="shared" si="1"/>
        <v>-1.2895267935103998E-2</v>
      </c>
    </row>
    <row r="16" spans="1:6" x14ac:dyDescent="0.2">
      <c r="A16" s="115">
        <v>3</v>
      </c>
      <c r="B16" s="116" t="s">
        <v>115</v>
      </c>
      <c r="C16" s="113">
        <v>3849691</v>
      </c>
      <c r="D16" s="113">
        <v>3561353</v>
      </c>
      <c r="E16" s="113">
        <f t="shared" si="0"/>
        <v>-288338</v>
      </c>
      <c r="F16" s="114">
        <f t="shared" si="1"/>
        <v>-7.4898998387143284E-2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38140</v>
      </c>
      <c r="D18" s="113">
        <v>68340</v>
      </c>
      <c r="E18" s="113">
        <f t="shared" si="0"/>
        <v>30200</v>
      </c>
      <c r="F18" s="114">
        <f t="shared" si="1"/>
        <v>0.79181961195595174</v>
      </c>
    </row>
    <row r="19" spans="1:6" x14ac:dyDescent="0.2">
      <c r="A19" s="115">
        <v>6</v>
      </c>
      <c r="B19" s="116" t="s">
        <v>118</v>
      </c>
      <c r="C19" s="113">
        <v>367063</v>
      </c>
      <c r="D19" s="113">
        <v>731155</v>
      </c>
      <c r="E19" s="113">
        <f t="shared" si="0"/>
        <v>364092</v>
      </c>
      <c r="F19" s="114">
        <f t="shared" si="1"/>
        <v>0.99190602158212626</v>
      </c>
    </row>
    <row r="20" spans="1:6" x14ac:dyDescent="0.2">
      <c r="A20" s="115">
        <v>7</v>
      </c>
      <c r="B20" s="116" t="s">
        <v>119</v>
      </c>
      <c r="C20" s="113">
        <v>10307123</v>
      </c>
      <c r="D20" s="113">
        <v>8106070</v>
      </c>
      <c r="E20" s="113">
        <f t="shared" si="0"/>
        <v>-2201053</v>
      </c>
      <c r="F20" s="114">
        <f t="shared" si="1"/>
        <v>-0.21354678701321406</v>
      </c>
    </row>
    <row r="21" spans="1:6" x14ac:dyDescent="0.2">
      <c r="A21" s="115">
        <v>8</v>
      </c>
      <c r="B21" s="116" t="s">
        <v>120</v>
      </c>
      <c r="C21" s="113">
        <v>1299339</v>
      </c>
      <c r="D21" s="113">
        <v>668509</v>
      </c>
      <c r="E21" s="113">
        <f t="shared" si="0"/>
        <v>-630830</v>
      </c>
      <c r="F21" s="114">
        <f t="shared" si="1"/>
        <v>-0.48550070458902567</v>
      </c>
    </row>
    <row r="22" spans="1:6" x14ac:dyDescent="0.2">
      <c r="A22" s="115">
        <v>9</v>
      </c>
      <c r="B22" s="116" t="s">
        <v>121</v>
      </c>
      <c r="C22" s="113">
        <v>456951</v>
      </c>
      <c r="D22" s="113">
        <v>365024</v>
      </c>
      <c r="E22" s="113">
        <f t="shared" si="0"/>
        <v>-91927</v>
      </c>
      <c r="F22" s="114">
        <f t="shared" si="1"/>
        <v>-0.2011747430249633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3308200</v>
      </c>
      <c r="D24" s="113">
        <v>3593563</v>
      </c>
      <c r="E24" s="113">
        <f t="shared" si="0"/>
        <v>285363</v>
      </c>
      <c r="F24" s="114">
        <f t="shared" si="1"/>
        <v>8.6259295084940457E-2</v>
      </c>
    </row>
    <row r="25" spans="1:6" ht="15.75" x14ac:dyDescent="0.25">
      <c r="A25" s="117"/>
      <c r="B25" s="118" t="s">
        <v>124</v>
      </c>
      <c r="C25" s="119">
        <f>SUM(C14:C24)</f>
        <v>57855847</v>
      </c>
      <c r="D25" s="119">
        <f>SUM(D14:D24)</f>
        <v>53524192</v>
      </c>
      <c r="E25" s="119">
        <f t="shared" si="0"/>
        <v>-4331655</v>
      </c>
      <c r="F25" s="120">
        <f t="shared" si="1"/>
        <v>-7.4869788009498853E-2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32641177</v>
      </c>
      <c r="D27" s="113">
        <v>31887829</v>
      </c>
      <c r="E27" s="113">
        <f t="shared" ref="E27:E38" si="2">D27-C27</f>
        <v>-753348</v>
      </c>
      <c r="F27" s="114">
        <f t="shared" ref="F27:F38" si="3">IF(C27=0,0,E27/C27)</f>
        <v>-2.3079682451401799E-2</v>
      </c>
    </row>
    <row r="28" spans="1:6" x14ac:dyDescent="0.2">
      <c r="A28" s="115">
        <v>2</v>
      </c>
      <c r="B28" s="116" t="s">
        <v>114</v>
      </c>
      <c r="C28" s="113">
        <v>2653310</v>
      </c>
      <c r="D28" s="113">
        <v>3052407</v>
      </c>
      <c r="E28" s="113">
        <f t="shared" si="2"/>
        <v>399097</v>
      </c>
      <c r="F28" s="114">
        <f t="shared" si="3"/>
        <v>0.15041476495396316</v>
      </c>
    </row>
    <row r="29" spans="1:6" x14ac:dyDescent="0.2">
      <c r="A29" s="115">
        <v>3</v>
      </c>
      <c r="B29" s="116" t="s">
        <v>115</v>
      </c>
      <c r="C29" s="113">
        <v>6879873</v>
      </c>
      <c r="D29" s="113">
        <v>8023925</v>
      </c>
      <c r="E29" s="113">
        <f t="shared" si="2"/>
        <v>1144052</v>
      </c>
      <c r="F29" s="114">
        <f t="shared" si="3"/>
        <v>0.16628969749877651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185972</v>
      </c>
      <c r="D31" s="113">
        <v>177520</v>
      </c>
      <c r="E31" s="113">
        <f t="shared" si="2"/>
        <v>-8452</v>
      </c>
      <c r="F31" s="114">
        <f t="shared" si="3"/>
        <v>-4.5447701804572728E-2</v>
      </c>
    </row>
    <row r="32" spans="1:6" x14ac:dyDescent="0.2">
      <c r="A32" s="115">
        <v>6</v>
      </c>
      <c r="B32" s="116" t="s">
        <v>118</v>
      </c>
      <c r="C32" s="113">
        <v>2374109</v>
      </c>
      <c r="D32" s="113">
        <v>3649258</v>
      </c>
      <c r="E32" s="113">
        <f t="shared" si="2"/>
        <v>1275149</v>
      </c>
      <c r="F32" s="114">
        <f t="shared" si="3"/>
        <v>0.53710634178969874</v>
      </c>
    </row>
    <row r="33" spans="1:6" x14ac:dyDescent="0.2">
      <c r="A33" s="115">
        <v>7</v>
      </c>
      <c r="B33" s="116" t="s">
        <v>119</v>
      </c>
      <c r="C33" s="113">
        <v>33038284</v>
      </c>
      <c r="D33" s="113">
        <v>33641212</v>
      </c>
      <c r="E33" s="113">
        <f t="shared" si="2"/>
        <v>602928</v>
      </c>
      <c r="F33" s="114">
        <f t="shared" si="3"/>
        <v>1.8249373968696438E-2</v>
      </c>
    </row>
    <row r="34" spans="1:6" x14ac:dyDescent="0.2">
      <c r="A34" s="115">
        <v>8</v>
      </c>
      <c r="B34" s="116" t="s">
        <v>120</v>
      </c>
      <c r="C34" s="113">
        <v>2000937</v>
      </c>
      <c r="D34" s="113">
        <v>1879527</v>
      </c>
      <c r="E34" s="113">
        <f t="shared" si="2"/>
        <v>-121410</v>
      </c>
      <c r="F34" s="114">
        <f t="shared" si="3"/>
        <v>-6.0676573025537535E-2</v>
      </c>
    </row>
    <row r="35" spans="1:6" x14ac:dyDescent="0.2">
      <c r="A35" s="115">
        <v>9</v>
      </c>
      <c r="B35" s="116" t="s">
        <v>121</v>
      </c>
      <c r="C35" s="113">
        <v>2398137</v>
      </c>
      <c r="D35" s="113">
        <v>2051499</v>
      </c>
      <c r="E35" s="113">
        <f t="shared" si="2"/>
        <v>-346638</v>
      </c>
      <c r="F35" s="114">
        <f t="shared" si="3"/>
        <v>-0.14454470282556836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5144701</v>
      </c>
      <c r="D37" s="113">
        <v>5718656</v>
      </c>
      <c r="E37" s="113">
        <f t="shared" si="2"/>
        <v>573955</v>
      </c>
      <c r="F37" s="114">
        <f t="shared" si="3"/>
        <v>0.11156236290505513</v>
      </c>
    </row>
    <row r="38" spans="1:6" ht="15.75" x14ac:dyDescent="0.25">
      <c r="A38" s="117"/>
      <c r="B38" s="118" t="s">
        <v>126</v>
      </c>
      <c r="C38" s="119">
        <f>SUM(C27:C37)</f>
        <v>87316500</v>
      </c>
      <c r="D38" s="119">
        <f>SUM(D27:D37)</f>
        <v>90081833</v>
      </c>
      <c r="E38" s="119">
        <f t="shared" si="2"/>
        <v>2765333</v>
      </c>
      <c r="F38" s="120">
        <f t="shared" si="3"/>
        <v>3.1670222695595905E-2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67265241</v>
      </c>
      <c r="D41" s="119">
        <f t="shared" si="4"/>
        <v>64759222</v>
      </c>
      <c r="E41" s="123">
        <f t="shared" ref="E41:E52" si="5">D41-C41</f>
        <v>-2506019</v>
      </c>
      <c r="F41" s="124">
        <f t="shared" ref="F41:F52" si="6">IF(C41=0,0,E41/C41)</f>
        <v>-3.7255779697570698E-2</v>
      </c>
    </row>
    <row r="42" spans="1:6" ht="15.75" x14ac:dyDescent="0.25">
      <c r="A42" s="121">
        <v>2</v>
      </c>
      <c r="B42" s="122" t="s">
        <v>114</v>
      </c>
      <c r="C42" s="119">
        <f t="shared" si="4"/>
        <v>6258586</v>
      </c>
      <c r="D42" s="119">
        <f t="shared" si="4"/>
        <v>6611192</v>
      </c>
      <c r="E42" s="123">
        <f t="shared" si="5"/>
        <v>352606</v>
      </c>
      <c r="F42" s="124">
        <f t="shared" si="6"/>
        <v>5.6339562961985341E-2</v>
      </c>
    </row>
    <row r="43" spans="1:6" ht="15.75" x14ac:dyDescent="0.25">
      <c r="A43" s="121">
        <v>3</v>
      </c>
      <c r="B43" s="122" t="s">
        <v>115</v>
      </c>
      <c r="C43" s="119">
        <f t="shared" si="4"/>
        <v>10729564</v>
      </c>
      <c r="D43" s="119">
        <f t="shared" si="4"/>
        <v>11585278</v>
      </c>
      <c r="E43" s="123">
        <f t="shared" si="5"/>
        <v>855714</v>
      </c>
      <c r="F43" s="124">
        <f t="shared" si="6"/>
        <v>7.975291447070916E-2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224112</v>
      </c>
      <c r="D45" s="119">
        <f t="shared" si="4"/>
        <v>245860</v>
      </c>
      <c r="E45" s="123">
        <f t="shared" si="5"/>
        <v>21748</v>
      </c>
      <c r="F45" s="124">
        <f t="shared" si="6"/>
        <v>9.7040765331619899E-2</v>
      </c>
    </row>
    <row r="46" spans="1:6" ht="15.75" x14ac:dyDescent="0.25">
      <c r="A46" s="121">
        <v>6</v>
      </c>
      <c r="B46" s="122" t="s">
        <v>118</v>
      </c>
      <c r="C46" s="119">
        <f t="shared" si="4"/>
        <v>2741172</v>
      </c>
      <c r="D46" s="119">
        <f t="shared" si="4"/>
        <v>4380413</v>
      </c>
      <c r="E46" s="123">
        <f t="shared" si="5"/>
        <v>1639241</v>
      </c>
      <c r="F46" s="124">
        <f t="shared" si="6"/>
        <v>0.59800734868151284</v>
      </c>
    </row>
    <row r="47" spans="1:6" ht="15.75" x14ac:dyDescent="0.25">
      <c r="A47" s="121">
        <v>7</v>
      </c>
      <c r="B47" s="122" t="s">
        <v>119</v>
      </c>
      <c r="C47" s="119">
        <f t="shared" si="4"/>
        <v>43345407</v>
      </c>
      <c r="D47" s="119">
        <f t="shared" si="4"/>
        <v>41747282</v>
      </c>
      <c r="E47" s="123">
        <f t="shared" si="5"/>
        <v>-1598125</v>
      </c>
      <c r="F47" s="124">
        <f t="shared" si="6"/>
        <v>-3.686953498902433E-2</v>
      </c>
    </row>
    <row r="48" spans="1:6" ht="15.75" x14ac:dyDescent="0.25">
      <c r="A48" s="121">
        <v>8</v>
      </c>
      <c r="B48" s="122" t="s">
        <v>120</v>
      </c>
      <c r="C48" s="119">
        <f t="shared" si="4"/>
        <v>3300276</v>
      </c>
      <c r="D48" s="119">
        <f t="shared" si="4"/>
        <v>2548036</v>
      </c>
      <c r="E48" s="123">
        <f t="shared" si="5"/>
        <v>-752240</v>
      </c>
      <c r="F48" s="124">
        <f t="shared" si="6"/>
        <v>-0.2279324517100994</v>
      </c>
    </row>
    <row r="49" spans="1:6" ht="15.75" x14ac:dyDescent="0.25">
      <c r="A49" s="121">
        <v>9</v>
      </c>
      <c r="B49" s="122" t="s">
        <v>121</v>
      </c>
      <c r="C49" s="119">
        <f t="shared" si="4"/>
        <v>2855088</v>
      </c>
      <c r="D49" s="119">
        <f t="shared" si="4"/>
        <v>2416523</v>
      </c>
      <c r="E49" s="123">
        <f t="shared" si="5"/>
        <v>-438565</v>
      </c>
      <c r="F49" s="124">
        <f t="shared" si="6"/>
        <v>-0.15360822503544549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8452901</v>
      </c>
      <c r="D51" s="119">
        <f t="shared" si="4"/>
        <v>9312219</v>
      </c>
      <c r="E51" s="123">
        <f t="shared" si="5"/>
        <v>859318</v>
      </c>
      <c r="F51" s="124">
        <f t="shared" si="6"/>
        <v>0.10165953676731811</v>
      </c>
    </row>
    <row r="52" spans="1:6" ht="18.75" customHeight="1" thickBot="1" x14ac:dyDescent="0.3">
      <c r="A52" s="125"/>
      <c r="B52" s="126" t="s">
        <v>128</v>
      </c>
      <c r="C52" s="127">
        <f>SUM(C41:C51)</f>
        <v>145172347</v>
      </c>
      <c r="D52" s="128">
        <f>SUM(D41:D51)</f>
        <v>143606025</v>
      </c>
      <c r="E52" s="127">
        <f t="shared" si="5"/>
        <v>-1566322</v>
      </c>
      <c r="F52" s="129">
        <f t="shared" si="6"/>
        <v>-1.0789396413078587E-2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14792988</v>
      </c>
      <c r="D57" s="113">
        <v>14051318</v>
      </c>
      <c r="E57" s="113">
        <f t="shared" ref="E57:E68" si="7">D57-C57</f>
        <v>-741670</v>
      </c>
      <c r="F57" s="114">
        <f t="shared" ref="F57:F68" si="8">IF(C57=0,0,E57/C57)</f>
        <v>-5.0136591741979375E-2</v>
      </c>
    </row>
    <row r="58" spans="1:6" x14ac:dyDescent="0.2">
      <c r="A58" s="115">
        <v>2</v>
      </c>
      <c r="B58" s="116" t="s">
        <v>114</v>
      </c>
      <c r="C58" s="113">
        <v>1352239</v>
      </c>
      <c r="D58" s="113">
        <v>1276830</v>
      </c>
      <c r="E58" s="113">
        <f t="shared" si="7"/>
        <v>-75409</v>
      </c>
      <c r="F58" s="114">
        <f t="shared" si="8"/>
        <v>-5.5766029525845653E-2</v>
      </c>
    </row>
    <row r="59" spans="1:6" x14ac:dyDescent="0.2">
      <c r="A59" s="115">
        <v>3</v>
      </c>
      <c r="B59" s="116" t="s">
        <v>115</v>
      </c>
      <c r="C59" s="113">
        <v>993888</v>
      </c>
      <c r="D59" s="113">
        <v>1001592</v>
      </c>
      <c r="E59" s="113">
        <f t="shared" si="7"/>
        <v>7704</v>
      </c>
      <c r="F59" s="114">
        <f t="shared" si="8"/>
        <v>7.7513764126340189E-3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24273</v>
      </c>
      <c r="D61" s="113">
        <v>50049</v>
      </c>
      <c r="E61" s="113">
        <f t="shared" si="7"/>
        <v>25776</v>
      </c>
      <c r="F61" s="114">
        <f t="shared" si="8"/>
        <v>1.0619206525769374</v>
      </c>
    </row>
    <row r="62" spans="1:6" x14ac:dyDescent="0.2">
      <c r="A62" s="115">
        <v>6</v>
      </c>
      <c r="B62" s="116" t="s">
        <v>118</v>
      </c>
      <c r="C62" s="113">
        <v>180272</v>
      </c>
      <c r="D62" s="113">
        <v>331751</v>
      </c>
      <c r="E62" s="113">
        <f t="shared" si="7"/>
        <v>151479</v>
      </c>
      <c r="F62" s="114">
        <f t="shared" si="8"/>
        <v>0.84028024318807137</v>
      </c>
    </row>
    <row r="63" spans="1:6" x14ac:dyDescent="0.2">
      <c r="A63" s="115">
        <v>7</v>
      </c>
      <c r="B63" s="116" t="s">
        <v>119</v>
      </c>
      <c r="C63" s="113">
        <v>4530816</v>
      </c>
      <c r="D63" s="113">
        <v>3975393</v>
      </c>
      <c r="E63" s="113">
        <f t="shared" si="7"/>
        <v>-555423</v>
      </c>
      <c r="F63" s="114">
        <f t="shared" si="8"/>
        <v>-0.12258785172472243</v>
      </c>
    </row>
    <row r="64" spans="1:6" x14ac:dyDescent="0.2">
      <c r="A64" s="115">
        <v>8</v>
      </c>
      <c r="B64" s="116" t="s">
        <v>120</v>
      </c>
      <c r="C64" s="113">
        <v>338738</v>
      </c>
      <c r="D64" s="113">
        <v>374998</v>
      </c>
      <c r="E64" s="113">
        <f t="shared" si="7"/>
        <v>36260</v>
      </c>
      <c r="F64" s="114">
        <f t="shared" si="8"/>
        <v>0.10704438238402542</v>
      </c>
    </row>
    <row r="65" spans="1:6" x14ac:dyDescent="0.2">
      <c r="A65" s="115">
        <v>9</v>
      </c>
      <c r="B65" s="116" t="s">
        <v>121</v>
      </c>
      <c r="C65" s="113">
        <v>36844</v>
      </c>
      <c r="D65" s="113">
        <v>5900</v>
      </c>
      <c r="E65" s="113">
        <f t="shared" si="7"/>
        <v>-30944</v>
      </c>
      <c r="F65" s="114">
        <f t="shared" si="8"/>
        <v>-0.8398653783519705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1236898</v>
      </c>
      <c r="D67" s="113">
        <v>1337350</v>
      </c>
      <c r="E67" s="113">
        <f t="shared" si="7"/>
        <v>100452</v>
      </c>
      <c r="F67" s="114">
        <f t="shared" si="8"/>
        <v>8.1212840509079967E-2</v>
      </c>
    </row>
    <row r="68" spans="1:6" ht="15.75" x14ac:dyDescent="0.25">
      <c r="A68" s="117"/>
      <c r="B68" s="118" t="s">
        <v>131</v>
      </c>
      <c r="C68" s="119">
        <f>SUM(C57:C67)</f>
        <v>23486956</v>
      </c>
      <c r="D68" s="119">
        <f>SUM(D57:D67)</f>
        <v>22405181</v>
      </c>
      <c r="E68" s="119">
        <f t="shared" si="7"/>
        <v>-1081775</v>
      </c>
      <c r="F68" s="120">
        <f t="shared" si="8"/>
        <v>-4.605854415531753E-2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6935791</v>
      </c>
      <c r="D70" s="113">
        <v>6484359</v>
      </c>
      <c r="E70" s="113">
        <f t="shared" ref="E70:E81" si="9">D70-C70</f>
        <v>-451432</v>
      </c>
      <c r="F70" s="114">
        <f t="shared" ref="F70:F81" si="10">IF(C70=0,0,E70/C70)</f>
        <v>-6.5087313040430431E-2</v>
      </c>
    </row>
    <row r="71" spans="1:6" x14ac:dyDescent="0.2">
      <c r="A71" s="115">
        <v>2</v>
      </c>
      <c r="B71" s="116" t="s">
        <v>114</v>
      </c>
      <c r="C71" s="113">
        <v>565080</v>
      </c>
      <c r="D71" s="113">
        <v>605470</v>
      </c>
      <c r="E71" s="113">
        <f t="shared" si="9"/>
        <v>40390</v>
      </c>
      <c r="F71" s="114">
        <f t="shared" si="10"/>
        <v>7.1476605082466199E-2</v>
      </c>
    </row>
    <row r="72" spans="1:6" x14ac:dyDescent="0.2">
      <c r="A72" s="115">
        <v>3</v>
      </c>
      <c r="B72" s="116" t="s">
        <v>115</v>
      </c>
      <c r="C72" s="113">
        <v>1453468</v>
      </c>
      <c r="D72" s="113">
        <v>1560189</v>
      </c>
      <c r="E72" s="113">
        <f t="shared" si="9"/>
        <v>106721</v>
      </c>
      <c r="F72" s="114">
        <f t="shared" si="10"/>
        <v>7.3425077125880991E-2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40711</v>
      </c>
      <c r="D74" s="113">
        <v>35754</v>
      </c>
      <c r="E74" s="113">
        <f t="shared" si="9"/>
        <v>-4957</v>
      </c>
      <c r="F74" s="114">
        <f t="shared" si="10"/>
        <v>-0.1217607034953698</v>
      </c>
    </row>
    <row r="75" spans="1:6" x14ac:dyDescent="0.2">
      <c r="A75" s="115">
        <v>6</v>
      </c>
      <c r="B75" s="116" t="s">
        <v>118</v>
      </c>
      <c r="C75" s="113">
        <v>1164851</v>
      </c>
      <c r="D75" s="113">
        <v>1631459</v>
      </c>
      <c r="E75" s="113">
        <f t="shared" si="9"/>
        <v>466608</v>
      </c>
      <c r="F75" s="114">
        <f t="shared" si="10"/>
        <v>0.40057312051069194</v>
      </c>
    </row>
    <row r="76" spans="1:6" x14ac:dyDescent="0.2">
      <c r="A76" s="115">
        <v>7</v>
      </c>
      <c r="B76" s="116" t="s">
        <v>119</v>
      </c>
      <c r="C76" s="113">
        <v>14349814</v>
      </c>
      <c r="D76" s="113">
        <v>14836140</v>
      </c>
      <c r="E76" s="113">
        <f t="shared" si="9"/>
        <v>486326</v>
      </c>
      <c r="F76" s="114">
        <f t="shared" si="10"/>
        <v>3.3890752869688762E-2</v>
      </c>
    </row>
    <row r="77" spans="1:6" x14ac:dyDescent="0.2">
      <c r="A77" s="115">
        <v>8</v>
      </c>
      <c r="B77" s="116" t="s">
        <v>120</v>
      </c>
      <c r="C77" s="113">
        <v>471862</v>
      </c>
      <c r="D77" s="113">
        <v>550489</v>
      </c>
      <c r="E77" s="113">
        <f t="shared" si="9"/>
        <v>78627</v>
      </c>
      <c r="F77" s="114">
        <f t="shared" si="10"/>
        <v>0.16663134560528289</v>
      </c>
    </row>
    <row r="78" spans="1:6" x14ac:dyDescent="0.2">
      <c r="A78" s="115">
        <v>9</v>
      </c>
      <c r="B78" s="116" t="s">
        <v>121</v>
      </c>
      <c r="C78" s="113">
        <v>242542</v>
      </c>
      <c r="D78" s="113">
        <v>224891</v>
      </c>
      <c r="E78" s="113">
        <f t="shared" si="9"/>
        <v>-17651</v>
      </c>
      <c r="F78" s="114">
        <f t="shared" si="10"/>
        <v>-7.2775024531833668E-2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621811</v>
      </c>
      <c r="D80" s="113">
        <v>731317</v>
      </c>
      <c r="E80" s="113">
        <f t="shared" si="9"/>
        <v>109506</v>
      </c>
      <c r="F80" s="114">
        <f t="shared" si="10"/>
        <v>0.1761081743487973</v>
      </c>
    </row>
    <row r="81" spans="1:6" ht="15.75" x14ac:dyDescent="0.25">
      <c r="A81" s="117"/>
      <c r="B81" s="118" t="s">
        <v>133</v>
      </c>
      <c r="C81" s="119">
        <f>SUM(C70:C80)</f>
        <v>25845930</v>
      </c>
      <c r="D81" s="119">
        <f>SUM(D70:D80)</f>
        <v>26660068</v>
      </c>
      <c r="E81" s="119">
        <f t="shared" si="9"/>
        <v>814138</v>
      </c>
      <c r="F81" s="120">
        <f t="shared" si="10"/>
        <v>3.1499659714314787E-2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21728779</v>
      </c>
      <c r="D84" s="119">
        <f t="shared" si="11"/>
        <v>20535677</v>
      </c>
      <c r="E84" s="119">
        <f t="shared" ref="E84:E95" si="12">D84-C84</f>
        <v>-1193102</v>
      </c>
      <c r="F84" s="120">
        <f t="shared" ref="F84:F95" si="13">IF(C84=0,0,E84/C84)</f>
        <v>-5.4908837721622555E-2</v>
      </c>
    </row>
    <row r="85" spans="1:6" ht="15.75" x14ac:dyDescent="0.25">
      <c r="A85" s="130">
        <v>2</v>
      </c>
      <c r="B85" s="122" t="s">
        <v>114</v>
      </c>
      <c r="C85" s="119">
        <f t="shared" si="11"/>
        <v>1917319</v>
      </c>
      <c r="D85" s="119">
        <f t="shared" si="11"/>
        <v>1882300</v>
      </c>
      <c r="E85" s="119">
        <f t="shared" si="12"/>
        <v>-35019</v>
      </c>
      <c r="F85" s="120">
        <f t="shared" si="13"/>
        <v>-1.8264566303259917E-2</v>
      </c>
    </row>
    <row r="86" spans="1:6" ht="15.75" x14ac:dyDescent="0.25">
      <c r="A86" s="130">
        <v>3</v>
      </c>
      <c r="B86" s="122" t="s">
        <v>115</v>
      </c>
      <c r="C86" s="119">
        <f t="shared" si="11"/>
        <v>2447356</v>
      </c>
      <c r="D86" s="119">
        <f t="shared" si="11"/>
        <v>2561781</v>
      </c>
      <c r="E86" s="119">
        <f t="shared" si="12"/>
        <v>114425</v>
      </c>
      <c r="F86" s="120">
        <f t="shared" si="13"/>
        <v>4.6754538367119451E-2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64984</v>
      </c>
      <c r="D88" s="119">
        <f t="shared" si="11"/>
        <v>85803</v>
      </c>
      <c r="E88" s="119">
        <f t="shared" si="12"/>
        <v>20819</v>
      </c>
      <c r="F88" s="120">
        <f t="shared" si="13"/>
        <v>0.3203711682875785</v>
      </c>
    </row>
    <row r="89" spans="1:6" ht="15.75" x14ac:dyDescent="0.25">
      <c r="A89" s="130">
        <v>6</v>
      </c>
      <c r="B89" s="122" t="s">
        <v>118</v>
      </c>
      <c r="C89" s="119">
        <f t="shared" si="11"/>
        <v>1345123</v>
      </c>
      <c r="D89" s="119">
        <f t="shared" si="11"/>
        <v>1963210</v>
      </c>
      <c r="E89" s="119">
        <f t="shared" si="12"/>
        <v>618087</v>
      </c>
      <c r="F89" s="120">
        <f t="shared" si="13"/>
        <v>0.45950221652592366</v>
      </c>
    </row>
    <row r="90" spans="1:6" ht="15.75" x14ac:dyDescent="0.25">
      <c r="A90" s="130">
        <v>7</v>
      </c>
      <c r="B90" s="122" t="s">
        <v>119</v>
      </c>
      <c r="C90" s="119">
        <f t="shared" si="11"/>
        <v>18880630</v>
      </c>
      <c r="D90" s="119">
        <f t="shared" si="11"/>
        <v>18811533</v>
      </c>
      <c r="E90" s="119">
        <f t="shared" si="12"/>
        <v>-69097</v>
      </c>
      <c r="F90" s="120">
        <f t="shared" si="13"/>
        <v>-3.6596766103673449E-3</v>
      </c>
    </row>
    <row r="91" spans="1:6" ht="15.75" x14ac:dyDescent="0.25">
      <c r="A91" s="130">
        <v>8</v>
      </c>
      <c r="B91" s="122" t="s">
        <v>120</v>
      </c>
      <c r="C91" s="119">
        <f t="shared" si="11"/>
        <v>810600</v>
      </c>
      <c r="D91" s="119">
        <f t="shared" si="11"/>
        <v>925487</v>
      </c>
      <c r="E91" s="119">
        <f t="shared" si="12"/>
        <v>114887</v>
      </c>
      <c r="F91" s="120">
        <f t="shared" si="13"/>
        <v>0.1417308166790032</v>
      </c>
    </row>
    <row r="92" spans="1:6" ht="15.75" x14ac:dyDescent="0.25">
      <c r="A92" s="130">
        <v>9</v>
      </c>
      <c r="B92" s="122" t="s">
        <v>121</v>
      </c>
      <c r="C92" s="119">
        <f t="shared" si="11"/>
        <v>279386</v>
      </c>
      <c r="D92" s="119">
        <f t="shared" si="11"/>
        <v>230791</v>
      </c>
      <c r="E92" s="119">
        <f t="shared" si="12"/>
        <v>-48595</v>
      </c>
      <c r="F92" s="120">
        <f t="shared" si="13"/>
        <v>-0.1739349860050253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1858709</v>
      </c>
      <c r="D94" s="119">
        <f t="shared" si="11"/>
        <v>2068667</v>
      </c>
      <c r="E94" s="119">
        <f t="shared" si="12"/>
        <v>209958</v>
      </c>
      <c r="F94" s="120">
        <f t="shared" si="13"/>
        <v>0.11295904845782745</v>
      </c>
    </row>
    <row r="95" spans="1:6" ht="18.75" customHeight="1" thickBot="1" x14ac:dyDescent="0.3">
      <c r="A95" s="131"/>
      <c r="B95" s="132" t="s">
        <v>134</v>
      </c>
      <c r="C95" s="128">
        <f>SUM(C84:C94)</f>
        <v>49332886</v>
      </c>
      <c r="D95" s="128">
        <f>SUM(D84:D94)</f>
        <v>49065249</v>
      </c>
      <c r="E95" s="128">
        <f t="shared" si="12"/>
        <v>-267637</v>
      </c>
      <c r="F95" s="129">
        <f t="shared" si="13"/>
        <v>-5.4251235169983768E-3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1328</v>
      </c>
      <c r="D100" s="133">
        <v>1279</v>
      </c>
      <c r="E100" s="133">
        <f t="shared" ref="E100:E111" si="14">D100-C100</f>
        <v>-49</v>
      </c>
      <c r="F100" s="114">
        <f t="shared" ref="F100:F111" si="15">IF(C100=0,0,E100/C100)</f>
        <v>-3.6897590361445784E-2</v>
      </c>
    </row>
    <row r="101" spans="1:6" x14ac:dyDescent="0.2">
      <c r="A101" s="115">
        <v>2</v>
      </c>
      <c r="B101" s="116" t="s">
        <v>114</v>
      </c>
      <c r="C101" s="133">
        <v>133</v>
      </c>
      <c r="D101" s="133">
        <v>131</v>
      </c>
      <c r="E101" s="133">
        <f t="shared" si="14"/>
        <v>-2</v>
      </c>
      <c r="F101" s="114">
        <f t="shared" si="15"/>
        <v>-1.5037593984962405E-2</v>
      </c>
    </row>
    <row r="102" spans="1:6" x14ac:dyDescent="0.2">
      <c r="A102" s="115">
        <v>3</v>
      </c>
      <c r="B102" s="116" t="s">
        <v>115</v>
      </c>
      <c r="C102" s="133">
        <v>235</v>
      </c>
      <c r="D102" s="133">
        <v>219</v>
      </c>
      <c r="E102" s="133">
        <f t="shared" si="14"/>
        <v>-16</v>
      </c>
      <c r="F102" s="114">
        <f t="shared" si="15"/>
        <v>-6.8085106382978725E-2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5</v>
      </c>
      <c r="D104" s="133">
        <v>11</v>
      </c>
      <c r="E104" s="133">
        <f t="shared" si="14"/>
        <v>6</v>
      </c>
      <c r="F104" s="114">
        <f t="shared" si="15"/>
        <v>1.2</v>
      </c>
    </row>
    <row r="105" spans="1:6" x14ac:dyDescent="0.2">
      <c r="A105" s="115">
        <v>6</v>
      </c>
      <c r="B105" s="116" t="s">
        <v>118</v>
      </c>
      <c r="C105" s="133">
        <v>25</v>
      </c>
      <c r="D105" s="133">
        <v>49</v>
      </c>
      <c r="E105" s="133">
        <f t="shared" si="14"/>
        <v>24</v>
      </c>
      <c r="F105" s="114">
        <f t="shared" si="15"/>
        <v>0.96</v>
      </c>
    </row>
    <row r="106" spans="1:6" x14ac:dyDescent="0.2">
      <c r="A106" s="115">
        <v>7</v>
      </c>
      <c r="B106" s="116" t="s">
        <v>119</v>
      </c>
      <c r="C106" s="133">
        <v>620</v>
      </c>
      <c r="D106" s="133">
        <v>538</v>
      </c>
      <c r="E106" s="133">
        <f t="shared" si="14"/>
        <v>-82</v>
      </c>
      <c r="F106" s="114">
        <f t="shared" si="15"/>
        <v>-0.13225806451612904</v>
      </c>
    </row>
    <row r="107" spans="1:6" x14ac:dyDescent="0.2">
      <c r="A107" s="115">
        <v>8</v>
      </c>
      <c r="B107" s="116" t="s">
        <v>120</v>
      </c>
      <c r="C107" s="133">
        <v>18</v>
      </c>
      <c r="D107" s="133">
        <v>15</v>
      </c>
      <c r="E107" s="133">
        <f t="shared" si="14"/>
        <v>-3</v>
      </c>
      <c r="F107" s="114">
        <f t="shared" si="15"/>
        <v>-0.16666666666666666</v>
      </c>
    </row>
    <row r="108" spans="1:6" x14ac:dyDescent="0.2">
      <c r="A108" s="115">
        <v>9</v>
      </c>
      <c r="B108" s="116" t="s">
        <v>121</v>
      </c>
      <c r="C108" s="133">
        <v>40</v>
      </c>
      <c r="D108" s="133">
        <v>45</v>
      </c>
      <c r="E108" s="133">
        <f t="shared" si="14"/>
        <v>5</v>
      </c>
      <c r="F108" s="114">
        <f t="shared" si="15"/>
        <v>0.125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212</v>
      </c>
      <c r="D110" s="133">
        <v>179</v>
      </c>
      <c r="E110" s="133">
        <f t="shared" si="14"/>
        <v>-33</v>
      </c>
      <c r="F110" s="114">
        <f t="shared" si="15"/>
        <v>-0.15566037735849056</v>
      </c>
    </row>
    <row r="111" spans="1:6" ht="15.75" x14ac:dyDescent="0.25">
      <c r="A111" s="117"/>
      <c r="B111" s="118" t="s">
        <v>138</v>
      </c>
      <c r="C111" s="134">
        <f>SUM(C100:C110)</f>
        <v>2616</v>
      </c>
      <c r="D111" s="134">
        <f>SUM(D100:D110)</f>
        <v>2466</v>
      </c>
      <c r="E111" s="134">
        <f t="shared" si="14"/>
        <v>-150</v>
      </c>
      <c r="F111" s="120">
        <f t="shared" si="15"/>
        <v>-5.7339449541284407E-2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7389</v>
      </c>
      <c r="D113" s="133">
        <v>6858</v>
      </c>
      <c r="E113" s="133">
        <f t="shared" ref="E113:E124" si="16">D113-C113</f>
        <v>-531</v>
      </c>
      <c r="F113" s="114">
        <f t="shared" ref="F113:F124" si="17">IF(C113=0,0,E113/C113)</f>
        <v>-7.186358099878197E-2</v>
      </c>
    </row>
    <row r="114" spans="1:6" x14ac:dyDescent="0.2">
      <c r="A114" s="115">
        <v>2</v>
      </c>
      <c r="B114" s="116" t="s">
        <v>114</v>
      </c>
      <c r="C114" s="133">
        <v>836</v>
      </c>
      <c r="D114" s="133">
        <v>829</v>
      </c>
      <c r="E114" s="133">
        <f t="shared" si="16"/>
        <v>-7</v>
      </c>
      <c r="F114" s="114">
        <f t="shared" si="17"/>
        <v>-8.3732057416267946E-3</v>
      </c>
    </row>
    <row r="115" spans="1:6" x14ac:dyDescent="0.2">
      <c r="A115" s="115">
        <v>3</v>
      </c>
      <c r="B115" s="116" t="s">
        <v>115</v>
      </c>
      <c r="C115" s="133">
        <v>711</v>
      </c>
      <c r="D115" s="133">
        <v>795</v>
      </c>
      <c r="E115" s="133">
        <f t="shared" si="16"/>
        <v>84</v>
      </c>
      <c r="F115" s="114">
        <f t="shared" si="17"/>
        <v>0.11814345991561181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10</v>
      </c>
      <c r="D117" s="133">
        <v>22</v>
      </c>
      <c r="E117" s="133">
        <f t="shared" si="16"/>
        <v>12</v>
      </c>
      <c r="F117" s="114">
        <f t="shared" si="17"/>
        <v>1.2</v>
      </c>
    </row>
    <row r="118" spans="1:6" x14ac:dyDescent="0.2">
      <c r="A118" s="115">
        <v>6</v>
      </c>
      <c r="B118" s="116" t="s">
        <v>118</v>
      </c>
      <c r="C118" s="133">
        <v>67</v>
      </c>
      <c r="D118" s="133">
        <v>134</v>
      </c>
      <c r="E118" s="133">
        <f t="shared" si="16"/>
        <v>67</v>
      </c>
      <c r="F118" s="114">
        <f t="shared" si="17"/>
        <v>1</v>
      </c>
    </row>
    <row r="119" spans="1:6" x14ac:dyDescent="0.2">
      <c r="A119" s="115">
        <v>7</v>
      </c>
      <c r="B119" s="116" t="s">
        <v>119</v>
      </c>
      <c r="C119" s="133">
        <v>1894</v>
      </c>
      <c r="D119" s="133">
        <v>1562</v>
      </c>
      <c r="E119" s="133">
        <f t="shared" si="16"/>
        <v>-332</v>
      </c>
      <c r="F119" s="114">
        <f t="shared" si="17"/>
        <v>-0.17529039070749736</v>
      </c>
    </row>
    <row r="120" spans="1:6" x14ac:dyDescent="0.2">
      <c r="A120" s="115">
        <v>8</v>
      </c>
      <c r="B120" s="116" t="s">
        <v>120</v>
      </c>
      <c r="C120" s="133">
        <v>56</v>
      </c>
      <c r="D120" s="133">
        <v>48</v>
      </c>
      <c r="E120" s="133">
        <f t="shared" si="16"/>
        <v>-8</v>
      </c>
      <c r="F120" s="114">
        <f t="shared" si="17"/>
        <v>-0.14285714285714285</v>
      </c>
    </row>
    <row r="121" spans="1:6" x14ac:dyDescent="0.2">
      <c r="A121" s="115">
        <v>9</v>
      </c>
      <c r="B121" s="116" t="s">
        <v>121</v>
      </c>
      <c r="C121" s="133">
        <v>93</v>
      </c>
      <c r="D121" s="133">
        <v>124</v>
      </c>
      <c r="E121" s="133">
        <f t="shared" si="16"/>
        <v>31</v>
      </c>
      <c r="F121" s="114">
        <f t="shared" si="17"/>
        <v>0.33333333333333331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634</v>
      </c>
      <c r="D123" s="133">
        <v>657</v>
      </c>
      <c r="E123" s="133">
        <f t="shared" si="16"/>
        <v>23</v>
      </c>
      <c r="F123" s="114">
        <f t="shared" si="17"/>
        <v>3.6277602523659309E-2</v>
      </c>
    </row>
    <row r="124" spans="1:6" ht="15.75" x14ac:dyDescent="0.25">
      <c r="A124" s="117"/>
      <c r="B124" s="118" t="s">
        <v>140</v>
      </c>
      <c r="C124" s="134">
        <f>SUM(C113:C123)</f>
        <v>11690</v>
      </c>
      <c r="D124" s="134">
        <f>SUM(D113:D123)</f>
        <v>11029</v>
      </c>
      <c r="E124" s="134">
        <f t="shared" si="16"/>
        <v>-661</v>
      </c>
      <c r="F124" s="120">
        <f t="shared" si="17"/>
        <v>-5.6544054747647565E-2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37260</v>
      </c>
      <c r="D126" s="133">
        <v>34601</v>
      </c>
      <c r="E126" s="133">
        <f t="shared" ref="E126:E137" si="18">D126-C126</f>
        <v>-2659</v>
      </c>
      <c r="F126" s="114">
        <f t="shared" ref="F126:F137" si="19">IF(C126=0,0,E126/C126)</f>
        <v>-7.1363392377885138E-2</v>
      </c>
    </row>
    <row r="127" spans="1:6" x14ac:dyDescent="0.2">
      <c r="A127" s="115">
        <v>2</v>
      </c>
      <c r="B127" s="116" t="s">
        <v>114</v>
      </c>
      <c r="C127" s="133">
        <v>2530</v>
      </c>
      <c r="D127" s="133">
        <v>2823</v>
      </c>
      <c r="E127" s="133">
        <f t="shared" si="18"/>
        <v>293</v>
      </c>
      <c r="F127" s="114">
        <f t="shared" si="19"/>
        <v>0.11581027667984189</v>
      </c>
    </row>
    <row r="128" spans="1:6" x14ac:dyDescent="0.2">
      <c r="A128" s="115">
        <v>3</v>
      </c>
      <c r="B128" s="116" t="s">
        <v>115</v>
      </c>
      <c r="C128" s="133">
        <v>5081</v>
      </c>
      <c r="D128" s="133">
        <v>7078</v>
      </c>
      <c r="E128" s="133">
        <f t="shared" si="18"/>
        <v>1997</v>
      </c>
      <c r="F128" s="114">
        <f t="shared" si="19"/>
        <v>0.39303286754575872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138</v>
      </c>
      <c r="D130" s="133">
        <v>190</v>
      </c>
      <c r="E130" s="133">
        <f t="shared" si="18"/>
        <v>52</v>
      </c>
      <c r="F130" s="114">
        <f t="shared" si="19"/>
        <v>0.37681159420289856</v>
      </c>
    </row>
    <row r="131" spans="1:6" x14ac:dyDescent="0.2">
      <c r="A131" s="115">
        <v>6</v>
      </c>
      <c r="B131" s="116" t="s">
        <v>118</v>
      </c>
      <c r="C131" s="133">
        <v>4272</v>
      </c>
      <c r="D131" s="133">
        <v>5589</v>
      </c>
      <c r="E131" s="133">
        <f t="shared" si="18"/>
        <v>1317</v>
      </c>
      <c r="F131" s="114">
        <f t="shared" si="19"/>
        <v>0.3082865168539326</v>
      </c>
    </row>
    <row r="132" spans="1:6" x14ac:dyDescent="0.2">
      <c r="A132" s="115">
        <v>7</v>
      </c>
      <c r="B132" s="116" t="s">
        <v>119</v>
      </c>
      <c r="C132" s="133">
        <v>33553</v>
      </c>
      <c r="D132" s="133">
        <v>31731</v>
      </c>
      <c r="E132" s="133">
        <f t="shared" si="18"/>
        <v>-1822</v>
      </c>
      <c r="F132" s="114">
        <f t="shared" si="19"/>
        <v>-5.4302148839150001E-2</v>
      </c>
    </row>
    <row r="133" spans="1:6" x14ac:dyDescent="0.2">
      <c r="A133" s="115">
        <v>8</v>
      </c>
      <c r="B133" s="116" t="s">
        <v>120</v>
      </c>
      <c r="C133" s="133">
        <v>1054</v>
      </c>
      <c r="D133" s="133">
        <v>1042</v>
      </c>
      <c r="E133" s="133">
        <f t="shared" si="18"/>
        <v>-12</v>
      </c>
      <c r="F133" s="114">
        <f t="shared" si="19"/>
        <v>-1.1385199240986717E-2</v>
      </c>
    </row>
    <row r="134" spans="1:6" x14ac:dyDescent="0.2">
      <c r="A134" s="115">
        <v>9</v>
      </c>
      <c r="B134" s="116" t="s">
        <v>121</v>
      </c>
      <c r="C134" s="133">
        <v>3028</v>
      </c>
      <c r="D134" s="133">
        <v>2545</v>
      </c>
      <c r="E134" s="133">
        <f t="shared" si="18"/>
        <v>-483</v>
      </c>
      <c r="F134" s="114">
        <f t="shared" si="19"/>
        <v>-0.1595112285336856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5986</v>
      </c>
      <c r="D136" s="133">
        <v>4993</v>
      </c>
      <c r="E136" s="133">
        <f t="shared" si="18"/>
        <v>-993</v>
      </c>
      <c r="F136" s="114">
        <f t="shared" si="19"/>
        <v>-0.16588706982960241</v>
      </c>
    </row>
    <row r="137" spans="1:6" ht="15.75" x14ac:dyDescent="0.25">
      <c r="A137" s="117"/>
      <c r="B137" s="118" t="s">
        <v>142</v>
      </c>
      <c r="C137" s="134">
        <f>SUM(C126:C136)</f>
        <v>92902</v>
      </c>
      <c r="D137" s="134">
        <f>SUM(D126:D136)</f>
        <v>90592</v>
      </c>
      <c r="E137" s="134">
        <f t="shared" si="18"/>
        <v>-2310</v>
      </c>
      <c r="F137" s="120">
        <f t="shared" si="19"/>
        <v>-2.4864911412025577E-2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4768766</v>
      </c>
      <c r="D142" s="113">
        <v>5973726</v>
      </c>
      <c r="E142" s="113">
        <f t="shared" ref="E142:E153" si="20">D142-C142</f>
        <v>1204960</v>
      </c>
      <c r="F142" s="114">
        <f t="shared" ref="F142:F153" si="21">IF(C142=0,0,E142/C142)</f>
        <v>0.25267752705836266</v>
      </c>
    </row>
    <row r="143" spans="1:6" x14ac:dyDescent="0.2">
      <c r="A143" s="115">
        <v>2</v>
      </c>
      <c r="B143" s="116" t="s">
        <v>114</v>
      </c>
      <c r="C143" s="113">
        <v>503896</v>
      </c>
      <c r="D143" s="113">
        <v>565533</v>
      </c>
      <c r="E143" s="113">
        <f t="shared" si="20"/>
        <v>61637</v>
      </c>
      <c r="F143" s="114">
        <f t="shared" si="21"/>
        <v>0.12232087573626303</v>
      </c>
    </row>
    <row r="144" spans="1:6" x14ac:dyDescent="0.2">
      <c r="A144" s="115">
        <v>3</v>
      </c>
      <c r="B144" s="116" t="s">
        <v>115</v>
      </c>
      <c r="C144" s="113">
        <v>1872963</v>
      </c>
      <c r="D144" s="113">
        <v>2793875</v>
      </c>
      <c r="E144" s="113">
        <f t="shared" si="20"/>
        <v>920912</v>
      </c>
      <c r="F144" s="114">
        <f t="shared" si="21"/>
        <v>0.49168723567950889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65367</v>
      </c>
      <c r="D146" s="113">
        <v>81681</v>
      </c>
      <c r="E146" s="113">
        <f t="shared" si="20"/>
        <v>16314</v>
      </c>
      <c r="F146" s="114">
        <f t="shared" si="21"/>
        <v>0.24957547386295836</v>
      </c>
    </row>
    <row r="147" spans="1:6" x14ac:dyDescent="0.2">
      <c r="A147" s="115">
        <v>6</v>
      </c>
      <c r="B147" s="116" t="s">
        <v>118</v>
      </c>
      <c r="C147" s="113">
        <v>1085750</v>
      </c>
      <c r="D147" s="113">
        <v>689682</v>
      </c>
      <c r="E147" s="113">
        <f t="shared" si="20"/>
        <v>-396068</v>
      </c>
      <c r="F147" s="114">
        <f t="shared" si="21"/>
        <v>-0.36478747409624684</v>
      </c>
    </row>
    <row r="148" spans="1:6" x14ac:dyDescent="0.2">
      <c r="A148" s="115">
        <v>7</v>
      </c>
      <c r="B148" s="116" t="s">
        <v>119</v>
      </c>
      <c r="C148" s="113">
        <v>7541920</v>
      </c>
      <c r="D148" s="113">
        <v>8467476</v>
      </c>
      <c r="E148" s="113">
        <f t="shared" si="20"/>
        <v>925556</v>
      </c>
      <c r="F148" s="114">
        <f t="shared" si="21"/>
        <v>0.12272153509981543</v>
      </c>
    </row>
    <row r="149" spans="1:6" x14ac:dyDescent="0.2">
      <c r="A149" s="115">
        <v>8</v>
      </c>
      <c r="B149" s="116" t="s">
        <v>120</v>
      </c>
      <c r="C149" s="113">
        <v>423865</v>
      </c>
      <c r="D149" s="113">
        <v>480953</v>
      </c>
      <c r="E149" s="113">
        <f t="shared" si="20"/>
        <v>57088</v>
      </c>
      <c r="F149" s="114">
        <f t="shared" si="21"/>
        <v>0.13468439243627098</v>
      </c>
    </row>
    <row r="150" spans="1:6" x14ac:dyDescent="0.2">
      <c r="A150" s="115">
        <v>9</v>
      </c>
      <c r="B150" s="116" t="s">
        <v>121</v>
      </c>
      <c r="C150" s="113">
        <v>1627749</v>
      </c>
      <c r="D150" s="113">
        <v>1487307</v>
      </c>
      <c r="E150" s="113">
        <f t="shared" si="20"/>
        <v>-140442</v>
      </c>
      <c r="F150" s="114">
        <f t="shared" si="21"/>
        <v>-8.6279887132475586E-2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2743950</v>
      </c>
      <c r="D152" s="113">
        <v>3024514</v>
      </c>
      <c r="E152" s="113">
        <f t="shared" si="20"/>
        <v>280564</v>
      </c>
      <c r="F152" s="114">
        <f t="shared" si="21"/>
        <v>0.10224821880865176</v>
      </c>
    </row>
    <row r="153" spans="1:6" ht="33.75" customHeight="1" x14ac:dyDescent="0.25">
      <c r="A153" s="117"/>
      <c r="B153" s="118" t="s">
        <v>146</v>
      </c>
      <c r="C153" s="119">
        <f>SUM(C142:C152)</f>
        <v>20634226</v>
      </c>
      <c r="D153" s="119">
        <f>SUM(D142:D152)</f>
        <v>23564747</v>
      </c>
      <c r="E153" s="119">
        <f t="shared" si="20"/>
        <v>2930521</v>
      </c>
      <c r="F153" s="120">
        <f t="shared" si="21"/>
        <v>0.14202233706270348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919121</v>
      </c>
      <c r="D155" s="113">
        <v>1058961</v>
      </c>
      <c r="E155" s="113">
        <f t="shared" ref="E155:E166" si="22">D155-C155</f>
        <v>139840</v>
      </c>
      <c r="F155" s="114">
        <f t="shared" ref="F155:F166" si="23">IF(C155=0,0,E155/C155)</f>
        <v>0.15214536497370856</v>
      </c>
    </row>
    <row r="156" spans="1:6" x14ac:dyDescent="0.2">
      <c r="A156" s="115">
        <v>2</v>
      </c>
      <c r="B156" s="116" t="s">
        <v>114</v>
      </c>
      <c r="C156" s="113">
        <v>91431</v>
      </c>
      <c r="D156" s="113">
        <v>96169</v>
      </c>
      <c r="E156" s="113">
        <f t="shared" si="22"/>
        <v>4738</v>
      </c>
      <c r="F156" s="114">
        <f t="shared" si="23"/>
        <v>5.1820498518008115E-2</v>
      </c>
    </row>
    <row r="157" spans="1:6" x14ac:dyDescent="0.2">
      <c r="A157" s="115">
        <v>3</v>
      </c>
      <c r="B157" s="116" t="s">
        <v>115</v>
      </c>
      <c r="C157" s="113">
        <v>376328</v>
      </c>
      <c r="D157" s="113">
        <v>395189</v>
      </c>
      <c r="E157" s="113">
        <f t="shared" si="22"/>
        <v>18861</v>
      </c>
      <c r="F157" s="114">
        <f t="shared" si="23"/>
        <v>5.0118513637040028E-2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11154</v>
      </c>
      <c r="D159" s="113">
        <v>10586</v>
      </c>
      <c r="E159" s="113">
        <f t="shared" si="22"/>
        <v>-568</v>
      </c>
      <c r="F159" s="114">
        <f t="shared" si="23"/>
        <v>-5.0923435538820151E-2</v>
      </c>
    </row>
    <row r="160" spans="1:6" x14ac:dyDescent="0.2">
      <c r="A160" s="115">
        <v>6</v>
      </c>
      <c r="B160" s="116" t="s">
        <v>118</v>
      </c>
      <c r="C160" s="113">
        <v>196792</v>
      </c>
      <c r="D160" s="113">
        <v>131924</v>
      </c>
      <c r="E160" s="113">
        <f t="shared" si="22"/>
        <v>-64868</v>
      </c>
      <c r="F160" s="114">
        <f t="shared" si="23"/>
        <v>-0.32962722061872435</v>
      </c>
    </row>
    <row r="161" spans="1:6" x14ac:dyDescent="0.2">
      <c r="A161" s="115">
        <v>7</v>
      </c>
      <c r="B161" s="116" t="s">
        <v>119</v>
      </c>
      <c r="C161" s="113">
        <v>2030428</v>
      </c>
      <c r="D161" s="113">
        <v>2024026</v>
      </c>
      <c r="E161" s="113">
        <f t="shared" si="22"/>
        <v>-6402</v>
      </c>
      <c r="F161" s="114">
        <f t="shared" si="23"/>
        <v>-3.1530298045535227E-3</v>
      </c>
    </row>
    <row r="162" spans="1:6" x14ac:dyDescent="0.2">
      <c r="A162" s="115">
        <v>8</v>
      </c>
      <c r="B162" s="116" t="s">
        <v>120</v>
      </c>
      <c r="C162" s="113">
        <v>10955</v>
      </c>
      <c r="D162" s="113">
        <v>21047</v>
      </c>
      <c r="E162" s="113">
        <f t="shared" si="22"/>
        <v>10092</v>
      </c>
      <c r="F162" s="114">
        <f t="shared" si="23"/>
        <v>0.92122318575992701</v>
      </c>
    </row>
    <row r="163" spans="1:6" x14ac:dyDescent="0.2">
      <c r="A163" s="115">
        <v>9</v>
      </c>
      <c r="B163" s="116" t="s">
        <v>121</v>
      </c>
      <c r="C163" s="113">
        <v>29087</v>
      </c>
      <c r="D163" s="113">
        <v>48704</v>
      </c>
      <c r="E163" s="113">
        <f t="shared" si="22"/>
        <v>19617</v>
      </c>
      <c r="F163" s="114">
        <f t="shared" si="23"/>
        <v>0.67442500085949053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232039</v>
      </c>
      <c r="D165" s="113">
        <v>337187</v>
      </c>
      <c r="E165" s="113">
        <f t="shared" si="22"/>
        <v>105148</v>
      </c>
      <c r="F165" s="114">
        <f t="shared" si="23"/>
        <v>0.45314796219601017</v>
      </c>
    </row>
    <row r="166" spans="1:6" ht="33.75" customHeight="1" x14ac:dyDescent="0.25">
      <c r="A166" s="117"/>
      <c r="B166" s="118" t="s">
        <v>148</v>
      </c>
      <c r="C166" s="119">
        <f>SUM(C155:C165)</f>
        <v>3897335</v>
      </c>
      <c r="D166" s="119">
        <f>SUM(D155:D165)</f>
        <v>4123793</v>
      </c>
      <c r="E166" s="119">
        <f t="shared" si="22"/>
        <v>226458</v>
      </c>
      <c r="F166" s="120">
        <f t="shared" si="23"/>
        <v>5.8105859516823677E-2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3045</v>
      </c>
      <c r="D168" s="133">
        <v>3182</v>
      </c>
      <c r="E168" s="133">
        <f t="shared" ref="E168:E179" si="24">D168-C168</f>
        <v>137</v>
      </c>
      <c r="F168" s="114">
        <f t="shared" ref="F168:F179" si="25">IF(C168=0,0,E168/C168)</f>
        <v>4.499178981937603E-2</v>
      </c>
    </row>
    <row r="169" spans="1:6" x14ac:dyDescent="0.2">
      <c r="A169" s="115">
        <v>2</v>
      </c>
      <c r="B169" s="116" t="s">
        <v>114</v>
      </c>
      <c r="C169" s="133">
        <v>272</v>
      </c>
      <c r="D169" s="133">
        <v>267</v>
      </c>
      <c r="E169" s="133">
        <f t="shared" si="24"/>
        <v>-5</v>
      </c>
      <c r="F169" s="114">
        <f t="shared" si="25"/>
        <v>-1.8382352941176471E-2</v>
      </c>
    </row>
    <row r="170" spans="1:6" x14ac:dyDescent="0.2">
      <c r="A170" s="115">
        <v>3</v>
      </c>
      <c r="B170" s="116" t="s">
        <v>115</v>
      </c>
      <c r="C170" s="133">
        <v>1240</v>
      </c>
      <c r="D170" s="133">
        <v>1671</v>
      </c>
      <c r="E170" s="133">
        <f t="shared" si="24"/>
        <v>431</v>
      </c>
      <c r="F170" s="114">
        <f t="shared" si="25"/>
        <v>0.34758064516129034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58</v>
      </c>
      <c r="D172" s="133">
        <v>64</v>
      </c>
      <c r="E172" s="133">
        <f t="shared" si="24"/>
        <v>6</v>
      </c>
      <c r="F172" s="114">
        <f t="shared" si="25"/>
        <v>0.10344827586206896</v>
      </c>
    </row>
    <row r="173" spans="1:6" x14ac:dyDescent="0.2">
      <c r="A173" s="115">
        <v>6</v>
      </c>
      <c r="B173" s="116" t="s">
        <v>118</v>
      </c>
      <c r="C173" s="133">
        <v>583</v>
      </c>
      <c r="D173" s="133">
        <v>466</v>
      </c>
      <c r="E173" s="133">
        <f t="shared" si="24"/>
        <v>-117</v>
      </c>
      <c r="F173" s="114">
        <f t="shared" si="25"/>
        <v>-0.20068610634648371</v>
      </c>
    </row>
    <row r="174" spans="1:6" x14ac:dyDescent="0.2">
      <c r="A174" s="115">
        <v>7</v>
      </c>
      <c r="B174" s="116" t="s">
        <v>119</v>
      </c>
      <c r="C174" s="133">
        <v>5912</v>
      </c>
      <c r="D174" s="133">
        <v>5563</v>
      </c>
      <c r="E174" s="133">
        <f t="shared" si="24"/>
        <v>-349</v>
      </c>
      <c r="F174" s="114">
        <f t="shared" si="25"/>
        <v>-5.9032476319350477E-2</v>
      </c>
    </row>
    <row r="175" spans="1:6" x14ac:dyDescent="0.2">
      <c r="A175" s="115">
        <v>8</v>
      </c>
      <c r="B175" s="116" t="s">
        <v>120</v>
      </c>
      <c r="C175" s="133">
        <v>423</v>
      </c>
      <c r="D175" s="133">
        <v>505</v>
      </c>
      <c r="E175" s="133">
        <f t="shared" si="24"/>
        <v>82</v>
      </c>
      <c r="F175" s="114">
        <f t="shared" si="25"/>
        <v>0.19385342789598109</v>
      </c>
    </row>
    <row r="176" spans="1:6" x14ac:dyDescent="0.2">
      <c r="A176" s="115">
        <v>9</v>
      </c>
      <c r="B176" s="116" t="s">
        <v>121</v>
      </c>
      <c r="C176" s="133">
        <v>1337</v>
      </c>
      <c r="D176" s="133">
        <v>1050</v>
      </c>
      <c r="E176" s="133">
        <f t="shared" si="24"/>
        <v>-287</v>
      </c>
      <c r="F176" s="114">
        <f t="shared" si="25"/>
        <v>-0.21465968586387435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1955</v>
      </c>
      <c r="D178" s="133">
        <v>2051</v>
      </c>
      <c r="E178" s="133">
        <f t="shared" si="24"/>
        <v>96</v>
      </c>
      <c r="F178" s="114">
        <f t="shared" si="25"/>
        <v>4.9104859335038366E-2</v>
      </c>
    </row>
    <row r="179" spans="1:6" ht="33.75" customHeight="1" x14ac:dyDescent="0.25">
      <c r="A179" s="117"/>
      <c r="B179" s="118" t="s">
        <v>150</v>
      </c>
      <c r="C179" s="134">
        <f>SUM(C168:C178)</f>
        <v>14825</v>
      </c>
      <c r="D179" s="134">
        <f>SUM(D168:D178)</f>
        <v>14819</v>
      </c>
      <c r="E179" s="134">
        <f t="shared" si="24"/>
        <v>-6</v>
      </c>
      <c r="F179" s="120">
        <f t="shared" si="25"/>
        <v>-4.0472175379426646E-4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FILING&amp;RESSENT-SHARON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7183819</v>
      </c>
      <c r="D15" s="157">
        <v>7190589</v>
      </c>
      <c r="E15" s="157">
        <f>+D15-C15</f>
        <v>6770</v>
      </c>
      <c r="F15" s="161">
        <f>IF(C15=0,0,E15/C15)</f>
        <v>9.4239568118294735E-4</v>
      </c>
    </row>
    <row r="16" spans="1:6" ht="15" customHeight="1" x14ac:dyDescent="0.2">
      <c r="A16" s="147">
        <v>2</v>
      </c>
      <c r="B16" s="160" t="s">
        <v>157</v>
      </c>
      <c r="C16" s="157">
        <v>0</v>
      </c>
      <c r="D16" s="157">
        <v>0</v>
      </c>
      <c r="E16" s="157">
        <f>+D16-C16</f>
        <v>0</v>
      </c>
      <c r="F16" s="161">
        <f>IF(C16=0,0,E16/C16)</f>
        <v>0</v>
      </c>
    </row>
    <row r="17" spans="1:6" ht="15" customHeight="1" x14ac:dyDescent="0.2">
      <c r="A17" s="147">
        <v>3</v>
      </c>
      <c r="B17" s="160" t="s">
        <v>158</v>
      </c>
      <c r="C17" s="157">
        <v>9839922</v>
      </c>
      <c r="D17" s="157">
        <v>10128047</v>
      </c>
      <c r="E17" s="157">
        <f>+D17-C17</f>
        <v>288125</v>
      </c>
      <c r="F17" s="161">
        <f>IF(C17=0,0,E17/C17)</f>
        <v>2.9281228042254807E-2</v>
      </c>
    </row>
    <row r="18" spans="1:6" ht="15.75" customHeight="1" x14ac:dyDescent="0.25">
      <c r="A18" s="147"/>
      <c r="B18" s="162" t="s">
        <v>159</v>
      </c>
      <c r="C18" s="158">
        <f>SUM(C15:C17)</f>
        <v>17023741</v>
      </c>
      <c r="D18" s="158">
        <f>SUM(D15:D17)</f>
        <v>17318636</v>
      </c>
      <c r="E18" s="158">
        <f>+D18-C18</f>
        <v>294895</v>
      </c>
      <c r="F18" s="159">
        <f>IF(C18=0,0,E18/C18)</f>
        <v>1.7322573222889142E-2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1803117</v>
      </c>
      <c r="D21" s="157">
        <v>1799542</v>
      </c>
      <c r="E21" s="157">
        <f>+D21-C21</f>
        <v>-3575</v>
      </c>
      <c r="F21" s="161">
        <f>IF(C21=0,0,E21/C21)</f>
        <v>-1.9826777740989633E-3</v>
      </c>
    </row>
    <row r="22" spans="1:6" ht="15" customHeight="1" x14ac:dyDescent="0.2">
      <c r="A22" s="147">
        <v>2</v>
      </c>
      <c r="B22" s="160" t="s">
        <v>162</v>
      </c>
      <c r="C22" s="157">
        <v>0</v>
      </c>
      <c r="D22" s="157">
        <v>0</v>
      </c>
      <c r="E22" s="157">
        <f>+D22-C22</f>
        <v>0</v>
      </c>
      <c r="F22" s="161">
        <f>IF(C22=0,0,E22/C22)</f>
        <v>0</v>
      </c>
    </row>
    <row r="23" spans="1:6" ht="15" customHeight="1" x14ac:dyDescent="0.2">
      <c r="A23" s="147">
        <v>3</v>
      </c>
      <c r="B23" s="160" t="s">
        <v>163</v>
      </c>
      <c r="C23" s="157">
        <v>2469797</v>
      </c>
      <c r="D23" s="157">
        <v>2338758</v>
      </c>
      <c r="E23" s="157">
        <f>+D23-C23</f>
        <v>-131039</v>
      </c>
      <c r="F23" s="161">
        <f>IF(C23=0,0,E23/C23)</f>
        <v>-5.3056587241785455E-2</v>
      </c>
    </row>
    <row r="24" spans="1:6" ht="15.75" customHeight="1" x14ac:dyDescent="0.25">
      <c r="A24" s="147"/>
      <c r="B24" s="162" t="s">
        <v>164</v>
      </c>
      <c r="C24" s="158">
        <f>SUM(C21:C23)</f>
        <v>4272914</v>
      </c>
      <c r="D24" s="158">
        <f>SUM(D21:D23)</f>
        <v>4138300</v>
      </c>
      <c r="E24" s="158">
        <f>+D24-C24</f>
        <v>-134614</v>
      </c>
      <c r="F24" s="159">
        <f>IF(C24=0,0,E24/C24)</f>
        <v>-3.1504027462289204E-2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151423</v>
      </c>
      <c r="D27" s="157">
        <v>583774</v>
      </c>
      <c r="E27" s="157">
        <f>+D27-C27</f>
        <v>432351</v>
      </c>
      <c r="F27" s="161">
        <f>IF(C27=0,0,E27/C27)</f>
        <v>2.855253164974938</v>
      </c>
    </row>
    <row r="28" spans="1:6" ht="15" customHeight="1" x14ac:dyDescent="0.2">
      <c r="A28" s="147">
        <v>2</v>
      </c>
      <c r="B28" s="160" t="s">
        <v>167</v>
      </c>
      <c r="C28" s="157">
        <v>1992369</v>
      </c>
      <c r="D28" s="157">
        <v>1806481</v>
      </c>
      <c r="E28" s="157">
        <f>+D28-C28</f>
        <v>-185888</v>
      </c>
      <c r="F28" s="161">
        <f>IF(C28=0,0,E28/C28)</f>
        <v>-9.3299986096952919E-2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199487</v>
      </c>
      <c r="E29" s="157">
        <f>+D29-C29</f>
        <v>199487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2143792</v>
      </c>
      <c r="D30" s="158">
        <f>SUM(D27:D29)</f>
        <v>2589742</v>
      </c>
      <c r="E30" s="158">
        <f>+D30-C30</f>
        <v>445950</v>
      </c>
      <c r="F30" s="159">
        <f>IF(C30=0,0,E30/C30)</f>
        <v>0.20801924813601319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4524521</v>
      </c>
      <c r="D33" s="157">
        <v>4008775</v>
      </c>
      <c r="E33" s="157">
        <f>+D33-C33</f>
        <v>-515746</v>
      </c>
      <c r="F33" s="161">
        <f>IF(C33=0,0,E33/C33)</f>
        <v>-0.1139890830432658</v>
      </c>
    </row>
    <row r="34" spans="1:6" ht="15" customHeight="1" x14ac:dyDescent="0.2">
      <c r="A34" s="147">
        <v>2</v>
      </c>
      <c r="B34" s="160" t="s">
        <v>173</v>
      </c>
      <c r="C34" s="157">
        <v>1468414</v>
      </c>
      <c r="D34" s="157">
        <v>1430025</v>
      </c>
      <c r="E34" s="157">
        <f>+D34-C34</f>
        <v>-38389</v>
      </c>
      <c r="F34" s="161">
        <f>IF(C34=0,0,E34/C34)</f>
        <v>-2.6143172157170935E-2</v>
      </c>
    </row>
    <row r="35" spans="1:6" ht="15.75" customHeight="1" x14ac:dyDescent="0.25">
      <c r="A35" s="147"/>
      <c r="B35" s="162" t="s">
        <v>174</v>
      </c>
      <c r="C35" s="158">
        <f>SUM(C33:C34)</f>
        <v>5992935</v>
      </c>
      <c r="D35" s="158">
        <f>SUM(D33:D34)</f>
        <v>5438800</v>
      </c>
      <c r="E35" s="158">
        <f>+D35-C35</f>
        <v>-554135</v>
      </c>
      <c r="F35" s="159">
        <f>IF(C35=0,0,E35/C35)</f>
        <v>-9.2464710529982383E-2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1481838</v>
      </c>
      <c r="D38" s="157">
        <v>1478895</v>
      </c>
      <c r="E38" s="157">
        <f>+D38-C38</f>
        <v>-2943</v>
      </c>
      <c r="F38" s="161">
        <f>IF(C38=0,0,E38/C38)</f>
        <v>-1.9860470577755464E-3</v>
      </c>
    </row>
    <row r="39" spans="1:6" ht="15" customHeight="1" x14ac:dyDescent="0.2">
      <c r="A39" s="147">
        <v>2</v>
      </c>
      <c r="B39" s="160" t="s">
        <v>178</v>
      </c>
      <c r="C39" s="157">
        <v>1082108</v>
      </c>
      <c r="D39" s="157">
        <v>1069690</v>
      </c>
      <c r="E39" s="157">
        <f>+D39-C39</f>
        <v>-12418</v>
      </c>
      <c r="F39" s="161">
        <f>IF(C39=0,0,E39/C39)</f>
        <v>-1.1475749185848363E-2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2563946</v>
      </c>
      <c r="D41" s="158">
        <f>SUM(D38:D40)</f>
        <v>2548585</v>
      </c>
      <c r="E41" s="158">
        <f>+D41-C41</f>
        <v>-15361</v>
      </c>
      <c r="F41" s="159">
        <f>IF(C41=0,0,E41/C41)</f>
        <v>-5.9911558199743677E-3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11263</v>
      </c>
      <c r="D47" s="157">
        <v>18377</v>
      </c>
      <c r="E47" s="157">
        <f>+D47-C47</f>
        <v>7114</v>
      </c>
      <c r="F47" s="161">
        <f>IF(C47=0,0,E47/C47)</f>
        <v>0.6316256769954719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1435298</v>
      </c>
      <c r="D50" s="157">
        <v>1288699</v>
      </c>
      <c r="E50" s="157">
        <f>+D50-C50</f>
        <v>-146599</v>
      </c>
      <c r="F50" s="161">
        <f>IF(C50=0,0,E50/C50)</f>
        <v>-0.10213837126506133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82465</v>
      </c>
      <c r="D53" s="157">
        <v>70608</v>
      </c>
      <c r="E53" s="157">
        <f t="shared" ref="E53:E59" si="0">+D53-C53</f>
        <v>-11857</v>
      </c>
      <c r="F53" s="161">
        <f t="shared" ref="F53:F59" si="1">IF(C53=0,0,E53/C53)</f>
        <v>-0.14378221063481478</v>
      </c>
    </row>
    <row r="54" spans="1:6" ht="15" customHeight="1" x14ac:dyDescent="0.2">
      <c r="A54" s="147">
        <v>2</v>
      </c>
      <c r="B54" s="160" t="s">
        <v>189</v>
      </c>
      <c r="C54" s="157">
        <v>26200</v>
      </c>
      <c r="D54" s="157">
        <v>13546</v>
      </c>
      <c r="E54" s="157">
        <f t="shared" si="0"/>
        <v>-12654</v>
      </c>
      <c r="F54" s="161">
        <f t="shared" si="1"/>
        <v>-0.48297709923664123</v>
      </c>
    </row>
    <row r="55" spans="1:6" ht="15" customHeight="1" x14ac:dyDescent="0.2">
      <c r="A55" s="147">
        <v>3</v>
      </c>
      <c r="B55" s="160" t="s">
        <v>190</v>
      </c>
      <c r="C55" s="157">
        <v>741545</v>
      </c>
      <c r="D55" s="157">
        <v>602902</v>
      </c>
      <c r="E55" s="157">
        <f t="shared" si="0"/>
        <v>-138643</v>
      </c>
      <c r="F55" s="161">
        <f t="shared" si="1"/>
        <v>-0.18696505269403746</v>
      </c>
    </row>
    <row r="56" spans="1:6" ht="15" customHeight="1" x14ac:dyDescent="0.2">
      <c r="A56" s="147">
        <v>4</v>
      </c>
      <c r="B56" s="160" t="s">
        <v>191</v>
      </c>
      <c r="C56" s="157">
        <v>692322</v>
      </c>
      <c r="D56" s="157">
        <v>659490</v>
      </c>
      <c r="E56" s="157">
        <f t="shared" si="0"/>
        <v>-32832</v>
      </c>
      <c r="F56" s="161">
        <f t="shared" si="1"/>
        <v>-4.7423019924254899E-2</v>
      </c>
    </row>
    <row r="57" spans="1:6" ht="15" customHeight="1" x14ac:dyDescent="0.2">
      <c r="A57" s="147">
        <v>5</v>
      </c>
      <c r="B57" s="160" t="s">
        <v>192</v>
      </c>
      <c r="C57" s="157">
        <v>110540</v>
      </c>
      <c r="D57" s="157">
        <v>134957</v>
      </c>
      <c r="E57" s="157">
        <f t="shared" si="0"/>
        <v>24417</v>
      </c>
      <c r="F57" s="161">
        <f t="shared" si="1"/>
        <v>0.22088836620227972</v>
      </c>
    </row>
    <row r="58" spans="1:6" ht="15" customHeight="1" x14ac:dyDescent="0.2">
      <c r="A58" s="147">
        <v>6</v>
      </c>
      <c r="B58" s="160" t="s">
        <v>193</v>
      </c>
      <c r="C58" s="157">
        <v>124996</v>
      </c>
      <c r="D58" s="157">
        <v>55952</v>
      </c>
      <c r="E58" s="157">
        <f t="shared" si="0"/>
        <v>-69044</v>
      </c>
      <c r="F58" s="161">
        <f t="shared" si="1"/>
        <v>-0.55236967582962659</v>
      </c>
    </row>
    <row r="59" spans="1:6" ht="15.75" customHeight="1" x14ac:dyDescent="0.25">
      <c r="A59" s="147"/>
      <c r="B59" s="162" t="s">
        <v>194</v>
      </c>
      <c r="C59" s="158">
        <f>SUM(C53:C58)</f>
        <v>1778068</v>
      </c>
      <c r="D59" s="158">
        <f>SUM(D53:D58)</f>
        <v>1537455</v>
      </c>
      <c r="E59" s="158">
        <f t="shared" si="0"/>
        <v>-240613</v>
      </c>
      <c r="F59" s="159">
        <f t="shared" si="1"/>
        <v>-0.13532272106578602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37900</v>
      </c>
      <c r="D62" s="157">
        <v>52154</v>
      </c>
      <c r="E62" s="157">
        <f t="shared" ref="E62:E90" si="2">+D62-C62</f>
        <v>14254</v>
      </c>
      <c r="F62" s="161">
        <f t="shared" ref="F62:F90" si="3">IF(C62=0,0,E62/C62)</f>
        <v>0.37609498680738784</v>
      </c>
    </row>
    <row r="63" spans="1:6" ht="15" customHeight="1" x14ac:dyDescent="0.2">
      <c r="A63" s="147">
        <v>2</v>
      </c>
      <c r="B63" s="160" t="s">
        <v>198</v>
      </c>
      <c r="C63" s="157">
        <v>75332</v>
      </c>
      <c r="D63" s="157">
        <v>198908</v>
      </c>
      <c r="E63" s="157">
        <f t="shared" si="2"/>
        <v>123576</v>
      </c>
      <c r="F63" s="161">
        <f t="shared" si="3"/>
        <v>1.6404184144852121</v>
      </c>
    </row>
    <row r="64" spans="1:6" ht="15" customHeight="1" x14ac:dyDescent="0.2">
      <c r="A64" s="147">
        <v>3</v>
      </c>
      <c r="B64" s="160" t="s">
        <v>199</v>
      </c>
      <c r="C64" s="157">
        <v>279790</v>
      </c>
      <c r="D64" s="157">
        <v>234940</v>
      </c>
      <c r="E64" s="157">
        <f t="shared" si="2"/>
        <v>-44850</v>
      </c>
      <c r="F64" s="161">
        <f t="shared" si="3"/>
        <v>-0.16029879552521534</v>
      </c>
    </row>
    <row r="65" spans="1:6" ht="15" customHeight="1" x14ac:dyDescent="0.2">
      <c r="A65" s="147">
        <v>4</v>
      </c>
      <c r="B65" s="160" t="s">
        <v>200</v>
      </c>
      <c r="C65" s="157">
        <v>0</v>
      </c>
      <c r="D65" s="157">
        <v>0</v>
      </c>
      <c r="E65" s="157">
        <f t="shared" si="2"/>
        <v>0</v>
      </c>
      <c r="F65" s="161">
        <f t="shared" si="3"/>
        <v>0</v>
      </c>
    </row>
    <row r="66" spans="1:6" ht="15" customHeight="1" x14ac:dyDescent="0.2">
      <c r="A66" s="147">
        <v>5</v>
      </c>
      <c r="B66" s="160" t="s">
        <v>201</v>
      </c>
      <c r="C66" s="157">
        <v>243205</v>
      </c>
      <c r="D66" s="157">
        <v>145784</v>
      </c>
      <c r="E66" s="157">
        <f t="shared" si="2"/>
        <v>-97421</v>
      </c>
      <c r="F66" s="161">
        <f t="shared" si="3"/>
        <v>-0.40057153430233755</v>
      </c>
    </row>
    <row r="67" spans="1:6" ht="15" customHeight="1" x14ac:dyDescent="0.2">
      <c r="A67" s="147">
        <v>6</v>
      </c>
      <c r="B67" s="160" t="s">
        <v>202</v>
      </c>
      <c r="C67" s="157">
        <v>91983</v>
      </c>
      <c r="D67" s="157">
        <v>100994</v>
      </c>
      <c r="E67" s="157">
        <f t="shared" si="2"/>
        <v>9011</v>
      </c>
      <c r="F67" s="161">
        <f t="shared" si="3"/>
        <v>9.7963754171966552E-2</v>
      </c>
    </row>
    <row r="68" spans="1:6" ht="15" customHeight="1" x14ac:dyDescent="0.2">
      <c r="A68" s="147">
        <v>7</v>
      </c>
      <c r="B68" s="160" t="s">
        <v>203</v>
      </c>
      <c r="C68" s="157">
        <v>1563671</v>
      </c>
      <c r="D68" s="157">
        <v>1720781</v>
      </c>
      <c r="E68" s="157">
        <f t="shared" si="2"/>
        <v>157110</v>
      </c>
      <c r="F68" s="161">
        <f t="shared" si="3"/>
        <v>0.10047509994110014</v>
      </c>
    </row>
    <row r="69" spans="1:6" ht="15" customHeight="1" x14ac:dyDescent="0.2">
      <c r="A69" s="147">
        <v>8</v>
      </c>
      <c r="B69" s="160" t="s">
        <v>204</v>
      </c>
      <c r="C69" s="157">
        <v>79959</v>
      </c>
      <c r="D69" s="157">
        <v>96422</v>
      </c>
      <c r="E69" s="157">
        <f t="shared" si="2"/>
        <v>16463</v>
      </c>
      <c r="F69" s="161">
        <f t="shared" si="3"/>
        <v>0.20589302017283859</v>
      </c>
    </row>
    <row r="70" spans="1:6" ht="15" customHeight="1" x14ac:dyDescent="0.2">
      <c r="A70" s="147">
        <v>9</v>
      </c>
      <c r="B70" s="160" t="s">
        <v>205</v>
      </c>
      <c r="C70" s="157">
        <v>41086</v>
      </c>
      <c r="D70" s="157">
        <v>34930</v>
      </c>
      <c r="E70" s="157">
        <f t="shared" si="2"/>
        <v>-6156</v>
      </c>
      <c r="F70" s="161">
        <f t="shared" si="3"/>
        <v>-0.14983205958233947</v>
      </c>
    </row>
    <row r="71" spans="1:6" ht="15" customHeight="1" x14ac:dyDescent="0.2">
      <c r="A71" s="147">
        <v>10</v>
      </c>
      <c r="B71" s="160" t="s">
        <v>206</v>
      </c>
      <c r="C71" s="157">
        <v>0</v>
      </c>
      <c r="D71" s="157">
        <v>0</v>
      </c>
      <c r="E71" s="157">
        <f t="shared" si="2"/>
        <v>0</v>
      </c>
      <c r="F71" s="161">
        <f t="shared" si="3"/>
        <v>0</v>
      </c>
    </row>
    <row r="72" spans="1:6" ht="15" customHeight="1" x14ac:dyDescent="0.2">
      <c r="A72" s="147">
        <v>11</v>
      </c>
      <c r="B72" s="160" t="s">
        <v>207</v>
      </c>
      <c r="C72" s="157">
        <v>299242</v>
      </c>
      <c r="D72" s="157">
        <v>314659</v>
      </c>
      <c r="E72" s="157">
        <f t="shared" si="2"/>
        <v>15417</v>
      </c>
      <c r="F72" s="161">
        <f t="shared" si="3"/>
        <v>5.1520174307082563E-2</v>
      </c>
    </row>
    <row r="73" spans="1:6" ht="15" customHeight="1" x14ac:dyDescent="0.2">
      <c r="A73" s="147">
        <v>12</v>
      </c>
      <c r="B73" s="160" t="s">
        <v>208</v>
      </c>
      <c r="C73" s="157">
        <v>264350</v>
      </c>
      <c r="D73" s="157">
        <v>239718</v>
      </c>
      <c r="E73" s="157">
        <f t="shared" si="2"/>
        <v>-24632</v>
      </c>
      <c r="F73" s="161">
        <f t="shared" si="3"/>
        <v>-9.3179496879137513E-2</v>
      </c>
    </row>
    <row r="74" spans="1:6" ht="15" customHeight="1" x14ac:dyDescent="0.2">
      <c r="A74" s="147">
        <v>13</v>
      </c>
      <c r="B74" s="160" t="s">
        <v>209</v>
      </c>
      <c r="C74" s="157">
        <v>59229</v>
      </c>
      <c r="D74" s="157">
        <v>47353</v>
      </c>
      <c r="E74" s="157">
        <f t="shared" si="2"/>
        <v>-11876</v>
      </c>
      <c r="F74" s="161">
        <f t="shared" si="3"/>
        <v>-0.20050988536021205</v>
      </c>
    </row>
    <row r="75" spans="1:6" ht="15" customHeight="1" x14ac:dyDescent="0.2">
      <c r="A75" s="147">
        <v>14</v>
      </c>
      <c r="B75" s="160" t="s">
        <v>210</v>
      </c>
      <c r="C75" s="157">
        <v>63808</v>
      </c>
      <c r="D75" s="157">
        <v>68401</v>
      </c>
      <c r="E75" s="157">
        <f t="shared" si="2"/>
        <v>4593</v>
      </c>
      <c r="F75" s="161">
        <f t="shared" si="3"/>
        <v>7.1981569709127377E-2</v>
      </c>
    </row>
    <row r="76" spans="1:6" ht="15" customHeight="1" x14ac:dyDescent="0.2">
      <c r="A76" s="147">
        <v>15</v>
      </c>
      <c r="B76" s="160" t="s">
        <v>211</v>
      </c>
      <c r="C76" s="157">
        <v>593314</v>
      </c>
      <c r="D76" s="157">
        <v>533347</v>
      </c>
      <c r="E76" s="157">
        <f t="shared" si="2"/>
        <v>-59967</v>
      </c>
      <c r="F76" s="161">
        <f t="shared" si="3"/>
        <v>-0.10107127086163482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1697387</v>
      </c>
      <c r="E77" s="157">
        <f t="shared" si="2"/>
        <v>1697387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210935</v>
      </c>
      <c r="D78" s="157">
        <v>193903</v>
      </c>
      <c r="E78" s="157">
        <f t="shared" si="2"/>
        <v>-17032</v>
      </c>
      <c r="F78" s="161">
        <f t="shared" si="3"/>
        <v>-8.0745253277075879E-2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309414</v>
      </c>
      <c r="D80" s="157">
        <v>293045</v>
      </c>
      <c r="E80" s="157">
        <f t="shared" si="2"/>
        <v>-16369</v>
      </c>
      <c r="F80" s="161">
        <f t="shared" si="3"/>
        <v>-5.2903229976665571E-2</v>
      </c>
    </row>
    <row r="81" spans="1:6" ht="15" customHeight="1" x14ac:dyDescent="0.2">
      <c r="A81" s="147">
        <v>20</v>
      </c>
      <c r="B81" s="160" t="s">
        <v>216</v>
      </c>
      <c r="C81" s="157">
        <v>25699</v>
      </c>
      <c r="D81" s="157">
        <v>0</v>
      </c>
      <c r="E81" s="157">
        <f t="shared" si="2"/>
        <v>-25699</v>
      </c>
      <c r="F81" s="161">
        <f t="shared" si="3"/>
        <v>-1</v>
      </c>
    </row>
    <row r="82" spans="1:6" ht="15" customHeight="1" x14ac:dyDescent="0.2">
      <c r="A82" s="147">
        <v>21</v>
      </c>
      <c r="B82" s="160" t="s">
        <v>217</v>
      </c>
      <c r="C82" s="157">
        <v>360648</v>
      </c>
      <c r="D82" s="157">
        <v>395597</v>
      </c>
      <c r="E82" s="157">
        <f t="shared" si="2"/>
        <v>34949</v>
      </c>
      <c r="F82" s="161">
        <f t="shared" si="3"/>
        <v>9.6906124531399032E-2</v>
      </c>
    </row>
    <row r="83" spans="1:6" ht="15" customHeight="1" x14ac:dyDescent="0.2">
      <c r="A83" s="147">
        <v>22</v>
      </c>
      <c r="B83" s="160" t="s">
        <v>218</v>
      </c>
      <c r="C83" s="157">
        <v>50329</v>
      </c>
      <c r="D83" s="157">
        <v>39875</v>
      </c>
      <c r="E83" s="157">
        <f t="shared" si="2"/>
        <v>-10454</v>
      </c>
      <c r="F83" s="161">
        <f t="shared" si="3"/>
        <v>-0.20771324683582029</v>
      </c>
    </row>
    <row r="84" spans="1:6" ht="15" customHeight="1" x14ac:dyDescent="0.2">
      <c r="A84" s="147">
        <v>23</v>
      </c>
      <c r="B84" s="160" t="s">
        <v>219</v>
      </c>
      <c r="C84" s="157">
        <v>214374</v>
      </c>
      <c r="D84" s="157">
        <v>188790</v>
      </c>
      <c r="E84" s="157">
        <f t="shared" si="2"/>
        <v>-25584</v>
      </c>
      <c r="F84" s="161">
        <f t="shared" si="3"/>
        <v>-0.11934283075372946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53224</v>
      </c>
      <c r="D86" s="157">
        <v>65402</v>
      </c>
      <c r="E86" s="157">
        <f t="shared" si="2"/>
        <v>12178</v>
      </c>
      <c r="F86" s="161">
        <f t="shared" si="3"/>
        <v>0.22880655343454082</v>
      </c>
    </row>
    <row r="87" spans="1:6" ht="15" customHeight="1" x14ac:dyDescent="0.2">
      <c r="A87" s="147">
        <v>26</v>
      </c>
      <c r="B87" s="160" t="s">
        <v>222</v>
      </c>
      <c r="C87" s="157">
        <v>3916437</v>
      </c>
      <c r="D87" s="157">
        <v>3763415</v>
      </c>
      <c r="E87" s="157">
        <f t="shared" si="2"/>
        <v>-153022</v>
      </c>
      <c r="F87" s="161">
        <f t="shared" si="3"/>
        <v>-3.9071737908716521E-2</v>
      </c>
    </row>
    <row r="88" spans="1:6" ht="15" customHeight="1" x14ac:dyDescent="0.2">
      <c r="A88" s="147">
        <v>27</v>
      </c>
      <c r="B88" s="160" t="s">
        <v>223</v>
      </c>
      <c r="C88" s="157">
        <v>1572228</v>
      </c>
      <c r="D88" s="157">
        <v>1262760</v>
      </c>
      <c r="E88" s="157">
        <f t="shared" si="2"/>
        <v>-309468</v>
      </c>
      <c r="F88" s="161">
        <f t="shared" si="3"/>
        <v>-0.19683404697028675</v>
      </c>
    </row>
    <row r="89" spans="1:6" ht="15" customHeight="1" x14ac:dyDescent="0.2">
      <c r="A89" s="147">
        <v>28</v>
      </c>
      <c r="B89" s="160" t="s">
        <v>224</v>
      </c>
      <c r="C89" s="157">
        <v>3191515</v>
      </c>
      <c r="D89" s="157">
        <v>2218471</v>
      </c>
      <c r="E89" s="157">
        <f t="shared" si="2"/>
        <v>-973044</v>
      </c>
      <c r="F89" s="161">
        <f t="shared" si="3"/>
        <v>-0.30488467075981157</v>
      </c>
    </row>
    <row r="90" spans="1:6" ht="15.75" customHeight="1" x14ac:dyDescent="0.25">
      <c r="A90" s="147"/>
      <c r="B90" s="162" t="s">
        <v>225</v>
      </c>
      <c r="C90" s="158">
        <f>SUM(C62:C89)</f>
        <v>13597672</v>
      </c>
      <c r="D90" s="158">
        <f>SUM(D62:D89)</f>
        <v>13907036</v>
      </c>
      <c r="E90" s="158">
        <f t="shared" si="2"/>
        <v>309364</v>
      </c>
      <c r="F90" s="159">
        <f t="shared" si="3"/>
        <v>2.2751247419411206E-2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-583581</v>
      </c>
      <c r="D93" s="157">
        <v>1291072</v>
      </c>
      <c r="E93" s="157">
        <f>+D93-C93</f>
        <v>1874653</v>
      </c>
      <c r="F93" s="161">
        <f>IF(C93=0,0,E93/C93)</f>
        <v>-3.2123269948816016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48236048</v>
      </c>
      <c r="D95" s="158">
        <f>+D93+D90+D59+D50+D47+D44+D41+D35+D30+D24+D18</f>
        <v>50076702</v>
      </c>
      <c r="E95" s="158">
        <f>+D95-C95</f>
        <v>1840654</v>
      </c>
      <c r="F95" s="159">
        <f>IF(C95=0,0,E95/C95)</f>
        <v>3.8159303598006206E-2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10267245</v>
      </c>
      <c r="D103" s="157">
        <v>10626673</v>
      </c>
      <c r="E103" s="157">
        <f t="shared" ref="E103:E121" si="4">D103-C103</f>
        <v>359428</v>
      </c>
      <c r="F103" s="161">
        <f t="shared" ref="F103:F121" si="5">IF(C103=0,0,E103/C103)</f>
        <v>3.500724877997944E-2</v>
      </c>
    </row>
    <row r="104" spans="1:6" ht="15" customHeight="1" x14ac:dyDescent="0.2">
      <c r="A104" s="147">
        <v>2</v>
      </c>
      <c r="B104" s="169" t="s">
        <v>234</v>
      </c>
      <c r="C104" s="157">
        <v>0</v>
      </c>
      <c r="D104" s="157">
        <v>0</v>
      </c>
      <c r="E104" s="157">
        <f t="shared" si="4"/>
        <v>0</v>
      </c>
      <c r="F104" s="161">
        <f t="shared" si="5"/>
        <v>0</v>
      </c>
    </row>
    <row r="105" spans="1:6" ht="15" customHeight="1" x14ac:dyDescent="0.2">
      <c r="A105" s="147">
        <v>3</v>
      </c>
      <c r="B105" s="169" t="s">
        <v>235</v>
      </c>
      <c r="C105" s="157">
        <v>0</v>
      </c>
      <c r="D105" s="157">
        <v>0</v>
      </c>
      <c r="E105" s="157">
        <f t="shared" si="4"/>
        <v>0</v>
      </c>
      <c r="F105" s="161">
        <f t="shared" si="5"/>
        <v>0</v>
      </c>
    </row>
    <row r="106" spans="1:6" ht="15" customHeight="1" x14ac:dyDescent="0.2">
      <c r="A106" s="147">
        <v>4</v>
      </c>
      <c r="B106" s="169" t="s">
        <v>236</v>
      </c>
      <c r="C106" s="157">
        <v>0</v>
      </c>
      <c r="D106" s="157">
        <v>0</v>
      </c>
      <c r="E106" s="157">
        <f t="shared" si="4"/>
        <v>0</v>
      </c>
      <c r="F106" s="161">
        <f t="shared" si="5"/>
        <v>0</v>
      </c>
    </row>
    <row r="107" spans="1:6" ht="15" customHeight="1" x14ac:dyDescent="0.2">
      <c r="A107" s="147">
        <v>5</v>
      </c>
      <c r="B107" s="169" t="s">
        <v>237</v>
      </c>
      <c r="C107" s="157">
        <v>0</v>
      </c>
      <c r="D107" s="157">
        <v>0</v>
      </c>
      <c r="E107" s="157">
        <f t="shared" si="4"/>
        <v>0</v>
      </c>
      <c r="F107" s="161">
        <f t="shared" si="5"/>
        <v>0</v>
      </c>
    </row>
    <row r="108" spans="1:6" ht="15" customHeight="1" x14ac:dyDescent="0.2">
      <c r="A108" s="147">
        <v>6</v>
      </c>
      <c r="B108" s="169" t="s">
        <v>238</v>
      </c>
      <c r="C108" s="157">
        <v>0</v>
      </c>
      <c r="D108" s="157">
        <v>0</v>
      </c>
      <c r="E108" s="157">
        <f t="shared" si="4"/>
        <v>0</v>
      </c>
      <c r="F108" s="161">
        <f t="shared" si="5"/>
        <v>0</v>
      </c>
    </row>
    <row r="109" spans="1:6" ht="15" customHeight="1" x14ac:dyDescent="0.2">
      <c r="A109" s="147">
        <v>7</v>
      </c>
      <c r="B109" s="169" t="s">
        <v>239</v>
      </c>
      <c r="C109" s="157">
        <v>0</v>
      </c>
      <c r="D109" s="157">
        <v>0</v>
      </c>
      <c r="E109" s="157">
        <f t="shared" si="4"/>
        <v>0</v>
      </c>
      <c r="F109" s="161">
        <f t="shared" si="5"/>
        <v>0</v>
      </c>
    </row>
    <row r="110" spans="1:6" ht="15" customHeight="1" x14ac:dyDescent="0.2">
      <c r="A110" s="147">
        <v>8</v>
      </c>
      <c r="B110" s="169" t="s">
        <v>240</v>
      </c>
      <c r="C110" s="157">
        <v>812509</v>
      </c>
      <c r="D110" s="157">
        <v>736980</v>
      </c>
      <c r="E110" s="157">
        <f t="shared" si="4"/>
        <v>-75529</v>
      </c>
      <c r="F110" s="161">
        <f t="shared" si="5"/>
        <v>-9.2957739545038887E-2</v>
      </c>
    </row>
    <row r="111" spans="1:6" ht="15" customHeight="1" x14ac:dyDescent="0.2">
      <c r="A111" s="147">
        <v>9</v>
      </c>
      <c r="B111" s="169" t="s">
        <v>241</v>
      </c>
      <c r="C111" s="157">
        <v>0</v>
      </c>
      <c r="D111" s="157">
        <v>0</v>
      </c>
      <c r="E111" s="157">
        <f t="shared" si="4"/>
        <v>0</v>
      </c>
      <c r="F111" s="161">
        <f t="shared" si="5"/>
        <v>0</v>
      </c>
    </row>
    <row r="112" spans="1:6" ht="15" customHeight="1" x14ac:dyDescent="0.2">
      <c r="A112" s="147">
        <v>10</v>
      </c>
      <c r="B112" s="169" t="s">
        <v>242</v>
      </c>
      <c r="C112" s="157">
        <v>957010</v>
      </c>
      <c r="D112" s="157">
        <v>1135859</v>
      </c>
      <c r="E112" s="157">
        <f t="shared" si="4"/>
        <v>178849</v>
      </c>
      <c r="F112" s="161">
        <f t="shared" si="5"/>
        <v>0.18688310466975266</v>
      </c>
    </row>
    <row r="113" spans="1:6" ht="15" customHeight="1" x14ac:dyDescent="0.2">
      <c r="A113" s="147">
        <v>11</v>
      </c>
      <c r="B113" s="169" t="s">
        <v>243</v>
      </c>
      <c r="C113" s="157">
        <v>546335</v>
      </c>
      <c r="D113" s="157">
        <v>604776</v>
      </c>
      <c r="E113" s="157">
        <f t="shared" si="4"/>
        <v>58441</v>
      </c>
      <c r="F113" s="161">
        <f t="shared" si="5"/>
        <v>0.10696916726916636</v>
      </c>
    </row>
    <row r="114" spans="1:6" ht="15" customHeight="1" x14ac:dyDescent="0.2">
      <c r="A114" s="147">
        <v>12</v>
      </c>
      <c r="B114" s="169" t="s">
        <v>244</v>
      </c>
      <c r="C114" s="157">
        <v>215932</v>
      </c>
      <c r="D114" s="157">
        <v>188825</v>
      </c>
      <c r="E114" s="157">
        <f t="shared" si="4"/>
        <v>-27107</v>
      </c>
      <c r="F114" s="161">
        <f t="shared" si="5"/>
        <v>-0.12553489061371173</v>
      </c>
    </row>
    <row r="115" spans="1:6" ht="15" customHeight="1" x14ac:dyDescent="0.2">
      <c r="A115" s="147">
        <v>13</v>
      </c>
      <c r="B115" s="169" t="s">
        <v>245</v>
      </c>
      <c r="C115" s="157">
        <v>2689131</v>
      </c>
      <c r="D115" s="157">
        <v>2453210</v>
      </c>
      <c r="E115" s="157">
        <f t="shared" si="4"/>
        <v>-235921</v>
      </c>
      <c r="F115" s="161">
        <f t="shared" si="5"/>
        <v>-8.7731315432383175E-2</v>
      </c>
    </row>
    <row r="116" spans="1:6" ht="15" customHeight="1" x14ac:dyDescent="0.2">
      <c r="A116" s="147">
        <v>14</v>
      </c>
      <c r="B116" s="169" t="s">
        <v>246</v>
      </c>
      <c r="C116" s="157">
        <v>0</v>
      </c>
      <c r="D116" s="157">
        <v>0</v>
      </c>
      <c r="E116" s="157">
        <f t="shared" si="4"/>
        <v>0</v>
      </c>
      <c r="F116" s="161">
        <f t="shared" si="5"/>
        <v>0</v>
      </c>
    </row>
    <row r="117" spans="1:6" ht="15" customHeight="1" x14ac:dyDescent="0.2">
      <c r="A117" s="147">
        <v>15</v>
      </c>
      <c r="B117" s="169" t="s">
        <v>203</v>
      </c>
      <c r="C117" s="157">
        <v>0</v>
      </c>
      <c r="D117" s="157">
        <v>0</v>
      </c>
      <c r="E117" s="157">
        <f t="shared" si="4"/>
        <v>0</v>
      </c>
      <c r="F117" s="161">
        <f t="shared" si="5"/>
        <v>0</v>
      </c>
    </row>
    <row r="118" spans="1:6" ht="15" customHeight="1" x14ac:dyDescent="0.2">
      <c r="A118" s="147">
        <v>16</v>
      </c>
      <c r="B118" s="169" t="s">
        <v>247</v>
      </c>
      <c r="C118" s="157">
        <v>0</v>
      </c>
      <c r="D118" s="157">
        <v>0</v>
      </c>
      <c r="E118" s="157">
        <f t="shared" si="4"/>
        <v>0</v>
      </c>
      <c r="F118" s="161">
        <f t="shared" si="5"/>
        <v>0</v>
      </c>
    </row>
    <row r="119" spans="1:6" ht="15" customHeight="1" x14ac:dyDescent="0.2">
      <c r="A119" s="147">
        <v>17</v>
      </c>
      <c r="B119" s="169" t="s">
        <v>248</v>
      </c>
      <c r="C119" s="157">
        <v>2384486</v>
      </c>
      <c r="D119" s="157">
        <v>2350887</v>
      </c>
      <c r="E119" s="157">
        <f t="shared" si="4"/>
        <v>-33599</v>
      </c>
      <c r="F119" s="161">
        <f t="shared" si="5"/>
        <v>-1.4090667758166749E-2</v>
      </c>
    </row>
    <row r="120" spans="1:6" ht="15" customHeight="1" x14ac:dyDescent="0.2">
      <c r="A120" s="147">
        <v>18</v>
      </c>
      <c r="B120" s="169" t="s">
        <v>249</v>
      </c>
      <c r="C120" s="157">
        <v>9304014</v>
      </c>
      <c r="D120" s="157">
        <v>10027132</v>
      </c>
      <c r="E120" s="157">
        <f t="shared" si="4"/>
        <v>723118</v>
      </c>
      <c r="F120" s="161">
        <f t="shared" si="5"/>
        <v>7.7721078235694824E-2</v>
      </c>
    </row>
    <row r="121" spans="1:6" ht="15.75" customHeight="1" x14ac:dyDescent="0.25">
      <c r="A121" s="147"/>
      <c r="B121" s="165" t="s">
        <v>250</v>
      </c>
      <c r="C121" s="158">
        <f>SUM(C103:C120)</f>
        <v>27176662</v>
      </c>
      <c r="D121" s="158">
        <f>SUM(D103:D120)</f>
        <v>28124342</v>
      </c>
      <c r="E121" s="158">
        <f t="shared" si="4"/>
        <v>947680</v>
      </c>
      <c r="F121" s="159">
        <f t="shared" si="5"/>
        <v>3.487109638409603E-2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527421</v>
      </c>
      <c r="D124" s="157">
        <v>345276</v>
      </c>
      <c r="E124" s="157">
        <f t="shared" ref="E124:E130" si="6">D124-C124</f>
        <v>-182145</v>
      </c>
      <c r="F124" s="161">
        <f t="shared" ref="F124:F130" si="7">IF(C124=0,0,E124/C124)</f>
        <v>-0.34535029890732449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742774</v>
      </c>
      <c r="D126" s="157">
        <v>507146</v>
      </c>
      <c r="E126" s="157">
        <f t="shared" si="6"/>
        <v>-235628</v>
      </c>
      <c r="F126" s="161">
        <f t="shared" si="7"/>
        <v>-0.31722704348832886</v>
      </c>
    </row>
    <row r="127" spans="1:6" ht="15" customHeight="1" x14ac:dyDescent="0.2">
      <c r="A127" s="147">
        <v>4</v>
      </c>
      <c r="B127" s="169" t="s">
        <v>255</v>
      </c>
      <c r="C127" s="157">
        <v>0</v>
      </c>
      <c r="D127" s="157">
        <v>0</v>
      </c>
      <c r="E127" s="157">
        <f t="shared" si="6"/>
        <v>0</v>
      </c>
      <c r="F127" s="161">
        <f t="shared" si="7"/>
        <v>0</v>
      </c>
    </row>
    <row r="128" spans="1:6" ht="15" customHeight="1" x14ac:dyDescent="0.2">
      <c r="A128" s="147">
        <v>5</v>
      </c>
      <c r="B128" s="169" t="s">
        <v>256</v>
      </c>
      <c r="C128" s="157">
        <v>504404</v>
      </c>
      <c r="D128" s="157">
        <v>454349</v>
      </c>
      <c r="E128" s="157">
        <f t="shared" si="6"/>
        <v>-50055</v>
      </c>
      <c r="F128" s="161">
        <f t="shared" si="7"/>
        <v>-9.9235929929183744E-2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1774599</v>
      </c>
      <c r="D130" s="158">
        <f>SUM(D124:D129)</f>
        <v>1306771</v>
      </c>
      <c r="E130" s="158">
        <f t="shared" si="6"/>
        <v>-467828</v>
      </c>
      <c r="F130" s="159">
        <f t="shared" si="7"/>
        <v>-0.26362462731016978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1756675</v>
      </c>
      <c r="D133" s="157">
        <v>2474520</v>
      </c>
      <c r="E133" s="157">
        <f t="shared" ref="E133:E167" si="8">D133-C133</f>
        <v>717845</v>
      </c>
      <c r="F133" s="161">
        <f t="shared" ref="F133:F167" si="9">IF(C133=0,0,E133/C133)</f>
        <v>0.40863847894459704</v>
      </c>
    </row>
    <row r="134" spans="1:6" ht="15" customHeight="1" x14ac:dyDescent="0.2">
      <c r="A134" s="147">
        <v>2</v>
      </c>
      <c r="B134" s="169" t="s">
        <v>261</v>
      </c>
      <c r="C134" s="157">
        <v>215389</v>
      </c>
      <c r="D134" s="157">
        <v>273596</v>
      </c>
      <c r="E134" s="157">
        <f t="shared" si="8"/>
        <v>58207</v>
      </c>
      <c r="F134" s="161">
        <f t="shared" si="9"/>
        <v>0.27024128437385381</v>
      </c>
    </row>
    <row r="135" spans="1:6" ht="15" customHeight="1" x14ac:dyDescent="0.2">
      <c r="A135" s="147">
        <v>3</v>
      </c>
      <c r="B135" s="169" t="s">
        <v>262</v>
      </c>
      <c r="C135" s="157">
        <v>18343</v>
      </c>
      <c r="D135" s="157">
        <v>15518</v>
      </c>
      <c r="E135" s="157">
        <f t="shared" si="8"/>
        <v>-2825</v>
      </c>
      <c r="F135" s="161">
        <f t="shared" si="9"/>
        <v>-0.15400970397426811</v>
      </c>
    </row>
    <row r="136" spans="1:6" ht="15" customHeight="1" x14ac:dyDescent="0.2">
      <c r="A136" s="147">
        <v>4</v>
      </c>
      <c r="B136" s="169" t="s">
        <v>263</v>
      </c>
      <c r="C136" s="157">
        <v>518049</v>
      </c>
      <c r="D136" s="157">
        <v>612588</v>
      </c>
      <c r="E136" s="157">
        <f t="shared" si="8"/>
        <v>94539</v>
      </c>
      <c r="F136" s="161">
        <f t="shared" si="9"/>
        <v>0.182490459396698</v>
      </c>
    </row>
    <row r="137" spans="1:6" ht="15" customHeight="1" x14ac:dyDescent="0.2">
      <c r="A137" s="147">
        <v>5</v>
      </c>
      <c r="B137" s="169" t="s">
        <v>264</v>
      </c>
      <c r="C137" s="157">
        <v>1513724</v>
      </c>
      <c r="D137" s="157">
        <v>1311515</v>
      </c>
      <c r="E137" s="157">
        <f t="shared" si="8"/>
        <v>-202209</v>
      </c>
      <c r="F137" s="161">
        <f t="shared" si="9"/>
        <v>-0.13358379731047404</v>
      </c>
    </row>
    <row r="138" spans="1:6" ht="15" customHeight="1" x14ac:dyDescent="0.2">
      <c r="A138" s="147">
        <v>6</v>
      </c>
      <c r="B138" s="169" t="s">
        <v>265</v>
      </c>
      <c r="C138" s="157">
        <v>0</v>
      </c>
      <c r="D138" s="157">
        <v>0</v>
      </c>
      <c r="E138" s="157">
        <f t="shared" si="8"/>
        <v>0</v>
      </c>
      <c r="F138" s="161">
        <f t="shared" si="9"/>
        <v>0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228600</v>
      </c>
      <c r="D140" s="157">
        <v>222324</v>
      </c>
      <c r="E140" s="157">
        <f t="shared" si="8"/>
        <v>-6276</v>
      </c>
      <c r="F140" s="161">
        <f t="shared" si="9"/>
        <v>-2.7454068241469818E-2</v>
      </c>
    </row>
    <row r="141" spans="1:6" ht="15" customHeight="1" x14ac:dyDescent="0.2">
      <c r="A141" s="147">
        <v>9</v>
      </c>
      <c r="B141" s="169" t="s">
        <v>268</v>
      </c>
      <c r="C141" s="157">
        <v>363476</v>
      </c>
      <c r="D141" s="157">
        <v>538768</v>
      </c>
      <c r="E141" s="157">
        <f t="shared" si="8"/>
        <v>175292</v>
      </c>
      <c r="F141" s="161">
        <f t="shared" si="9"/>
        <v>0.48226567916451157</v>
      </c>
    </row>
    <row r="142" spans="1:6" ht="15" customHeight="1" x14ac:dyDescent="0.2">
      <c r="A142" s="147">
        <v>10</v>
      </c>
      <c r="B142" s="169" t="s">
        <v>269</v>
      </c>
      <c r="C142" s="157">
        <v>2597597</v>
      </c>
      <c r="D142" s="157">
        <v>2753065</v>
      </c>
      <c r="E142" s="157">
        <f t="shared" si="8"/>
        <v>155468</v>
      </c>
      <c r="F142" s="161">
        <f t="shared" si="9"/>
        <v>5.9850700474322997E-2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262505</v>
      </c>
      <c r="D145" s="157">
        <v>309913</v>
      </c>
      <c r="E145" s="157">
        <f t="shared" si="8"/>
        <v>47408</v>
      </c>
      <c r="F145" s="161">
        <f t="shared" si="9"/>
        <v>0.18059846479114683</v>
      </c>
    </row>
    <row r="146" spans="1:6" ht="15" customHeight="1" x14ac:dyDescent="0.2">
      <c r="A146" s="147">
        <v>14</v>
      </c>
      <c r="B146" s="169" t="s">
        <v>273</v>
      </c>
      <c r="C146" s="157">
        <v>114194</v>
      </c>
      <c r="D146" s="157">
        <v>108293</v>
      </c>
      <c r="E146" s="157">
        <f t="shared" si="8"/>
        <v>-5901</v>
      </c>
      <c r="F146" s="161">
        <f t="shared" si="9"/>
        <v>-5.1675219363539242E-2</v>
      </c>
    </row>
    <row r="147" spans="1:6" ht="15" customHeight="1" x14ac:dyDescent="0.2">
      <c r="A147" s="147">
        <v>15</v>
      </c>
      <c r="B147" s="169" t="s">
        <v>274</v>
      </c>
      <c r="C147" s="157">
        <v>96545</v>
      </c>
      <c r="D147" s="157">
        <v>97642</v>
      </c>
      <c r="E147" s="157">
        <f t="shared" si="8"/>
        <v>1097</v>
      </c>
      <c r="F147" s="161">
        <f t="shared" si="9"/>
        <v>1.136257703661505E-2</v>
      </c>
    </row>
    <row r="148" spans="1:6" ht="15" customHeight="1" x14ac:dyDescent="0.2">
      <c r="A148" s="147">
        <v>16</v>
      </c>
      <c r="B148" s="169" t="s">
        <v>275</v>
      </c>
      <c r="C148" s="157">
        <v>68990</v>
      </c>
      <c r="D148" s="157">
        <v>84662</v>
      </c>
      <c r="E148" s="157">
        <f t="shared" si="8"/>
        <v>15672</v>
      </c>
      <c r="F148" s="161">
        <f t="shared" si="9"/>
        <v>0.22716335700826207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411337</v>
      </c>
      <c r="D150" s="157">
        <v>429112</v>
      </c>
      <c r="E150" s="157">
        <f t="shared" si="8"/>
        <v>17775</v>
      </c>
      <c r="F150" s="161">
        <f t="shared" si="9"/>
        <v>4.3212742836165968E-2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1713590</v>
      </c>
      <c r="D156" s="157">
        <v>2226119</v>
      </c>
      <c r="E156" s="157">
        <f t="shared" si="8"/>
        <v>512529</v>
      </c>
      <c r="F156" s="161">
        <f t="shared" si="9"/>
        <v>0.29909663338371489</v>
      </c>
    </row>
    <row r="157" spans="1:6" ht="15" customHeight="1" x14ac:dyDescent="0.2">
      <c r="A157" s="147">
        <v>25</v>
      </c>
      <c r="B157" s="169" t="s">
        <v>284</v>
      </c>
      <c r="C157" s="157">
        <v>273015</v>
      </c>
      <c r="D157" s="157">
        <v>215187</v>
      </c>
      <c r="E157" s="157">
        <f t="shared" si="8"/>
        <v>-57828</v>
      </c>
      <c r="F157" s="161">
        <f t="shared" si="9"/>
        <v>-0.21181253777264986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0</v>
      </c>
      <c r="D160" s="157">
        <v>0</v>
      </c>
      <c r="E160" s="157">
        <f t="shared" si="8"/>
        <v>0</v>
      </c>
      <c r="F160" s="161">
        <f t="shared" si="9"/>
        <v>0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57522</v>
      </c>
      <c r="D163" s="157">
        <v>103026</v>
      </c>
      <c r="E163" s="157">
        <f t="shared" si="8"/>
        <v>45504</v>
      </c>
      <c r="F163" s="161">
        <f t="shared" si="9"/>
        <v>0.79107124230729109</v>
      </c>
    </row>
    <row r="164" spans="1:6" ht="15" customHeight="1" x14ac:dyDescent="0.2">
      <c r="A164" s="147">
        <v>32</v>
      </c>
      <c r="B164" s="169" t="s">
        <v>291</v>
      </c>
      <c r="C164" s="157">
        <v>609862</v>
      </c>
      <c r="D164" s="157">
        <v>579225</v>
      </c>
      <c r="E164" s="157">
        <f t="shared" si="8"/>
        <v>-30637</v>
      </c>
      <c r="F164" s="161">
        <f t="shared" si="9"/>
        <v>-5.0235955019332243E-2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2563998</v>
      </c>
      <c r="D166" s="157">
        <v>2169958</v>
      </c>
      <c r="E166" s="157">
        <f t="shared" si="8"/>
        <v>-394040</v>
      </c>
      <c r="F166" s="161">
        <f t="shared" si="9"/>
        <v>-0.15368186714654222</v>
      </c>
    </row>
    <row r="167" spans="1:6" ht="15.75" customHeight="1" x14ac:dyDescent="0.25">
      <c r="A167" s="147"/>
      <c r="B167" s="165" t="s">
        <v>294</v>
      </c>
      <c r="C167" s="158">
        <f>SUM(C133:C166)</f>
        <v>13383411</v>
      </c>
      <c r="D167" s="158">
        <f>SUM(D133:D166)</f>
        <v>14525031</v>
      </c>
      <c r="E167" s="158">
        <f t="shared" si="8"/>
        <v>1141620</v>
      </c>
      <c r="F167" s="159">
        <f t="shared" si="9"/>
        <v>8.5301123906304607E-2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2396291</v>
      </c>
      <c r="D170" s="157">
        <v>2288535</v>
      </c>
      <c r="E170" s="157">
        <f t="shared" ref="E170:E183" si="10">D170-C170</f>
        <v>-107756</v>
      </c>
      <c r="F170" s="161">
        <f t="shared" ref="F170:F183" si="11">IF(C170=0,0,E170/C170)</f>
        <v>-4.4967827363204219E-2</v>
      </c>
    </row>
    <row r="171" spans="1:6" ht="15" customHeight="1" x14ac:dyDescent="0.2">
      <c r="A171" s="147">
        <v>2</v>
      </c>
      <c r="B171" s="169" t="s">
        <v>297</v>
      </c>
      <c r="C171" s="157">
        <v>1015570</v>
      </c>
      <c r="D171" s="157">
        <v>1368624</v>
      </c>
      <c r="E171" s="157">
        <f t="shared" si="10"/>
        <v>353054</v>
      </c>
      <c r="F171" s="161">
        <f t="shared" si="11"/>
        <v>0.34764122610947545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2147695</v>
      </c>
      <c r="D173" s="157">
        <v>2135253</v>
      </c>
      <c r="E173" s="157">
        <f t="shared" si="10"/>
        <v>-12442</v>
      </c>
      <c r="F173" s="161">
        <f t="shared" si="11"/>
        <v>-5.7931875801731621E-3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0</v>
      </c>
      <c r="D175" s="157">
        <v>0</v>
      </c>
      <c r="E175" s="157">
        <f t="shared" si="10"/>
        <v>0</v>
      </c>
      <c r="F175" s="161">
        <f t="shared" si="11"/>
        <v>0</v>
      </c>
    </row>
    <row r="176" spans="1:6" ht="15" customHeight="1" x14ac:dyDescent="0.2">
      <c r="A176" s="147">
        <v>7</v>
      </c>
      <c r="B176" s="169" t="s">
        <v>302</v>
      </c>
      <c r="C176" s="157">
        <v>341820</v>
      </c>
      <c r="D176" s="157">
        <v>328146</v>
      </c>
      <c r="E176" s="157">
        <f t="shared" si="10"/>
        <v>-13674</v>
      </c>
      <c r="F176" s="161">
        <f t="shared" si="11"/>
        <v>-4.0003510619624365E-2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0</v>
      </c>
      <c r="D179" s="157">
        <v>0</v>
      </c>
      <c r="E179" s="157">
        <f t="shared" si="10"/>
        <v>0</v>
      </c>
      <c r="F179" s="161">
        <f t="shared" si="11"/>
        <v>0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5901376</v>
      </c>
      <c r="D183" s="158">
        <f>SUM(D170:D182)</f>
        <v>6120558</v>
      </c>
      <c r="E183" s="158">
        <f t="shared" si="10"/>
        <v>219182</v>
      </c>
      <c r="F183" s="159">
        <f t="shared" si="11"/>
        <v>3.7140829528570965E-2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48236048</v>
      </c>
      <c r="D188" s="158">
        <f>+D186+D183+D167+D130+D121</f>
        <v>50076702</v>
      </c>
      <c r="E188" s="158">
        <f>D188-C188</f>
        <v>1840654</v>
      </c>
      <c r="F188" s="159">
        <f>IF(C188=0,0,E188/C188)</f>
        <v>3.8159303598006206E-2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FILING&amp;RESSENT-SHARON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53746903</v>
      </c>
      <c r="D11" s="183">
        <v>50085913</v>
      </c>
      <c r="E11" s="76">
        <v>49485574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429185</v>
      </c>
      <c r="D12" s="185">
        <v>1092483</v>
      </c>
      <c r="E12" s="185">
        <v>851556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54176088</v>
      </c>
      <c r="D13" s="76">
        <f>+D11+D12</f>
        <v>51178396</v>
      </c>
      <c r="E13" s="76">
        <f>+E11+E12</f>
        <v>50337130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49401485</v>
      </c>
      <c r="D14" s="185">
        <v>48236048</v>
      </c>
      <c r="E14" s="185">
        <v>50076702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4774603</v>
      </c>
      <c r="D15" s="76">
        <f>+D13-D14</f>
        <v>2942348</v>
      </c>
      <c r="E15" s="76">
        <f>+E13-E14</f>
        <v>260428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0</v>
      </c>
      <c r="D16" s="185">
        <v>0</v>
      </c>
      <c r="E16" s="185">
        <v>-18460790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4774603</v>
      </c>
      <c r="D17" s="76">
        <f>D15+D16</f>
        <v>2942348</v>
      </c>
      <c r="E17" s="76">
        <f>E15+E16</f>
        <v>-18200362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8.8131188062157612E-2</v>
      </c>
      <c r="D20" s="189">
        <f>IF(+D27=0,0,+D24/+D27)</f>
        <v>5.7491993301235937E-2</v>
      </c>
      <c r="E20" s="189">
        <f>IF(+E27=0,0,+E24/+E27)</f>
        <v>8.169946737925371E-3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0</v>
      </c>
      <c r="D21" s="189">
        <f>IF(D27=0,0,+D26/D27)</f>
        <v>0</v>
      </c>
      <c r="E21" s="189">
        <f>IF(E27=0,0,+E26/E27)</f>
        <v>-0.57913769272130988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8.8131188062157612E-2</v>
      </c>
      <c r="D22" s="189">
        <f>IF(D27=0,0,+D28/D27)</f>
        <v>5.7491993301235937E-2</v>
      </c>
      <c r="E22" s="189">
        <f>IF(E27=0,0,+E28/E27)</f>
        <v>-0.57096774598338451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4774603</v>
      </c>
      <c r="D24" s="76">
        <f>+D15</f>
        <v>2942348</v>
      </c>
      <c r="E24" s="76">
        <f>+E15</f>
        <v>260428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54176088</v>
      </c>
      <c r="D25" s="76">
        <f>+D13</f>
        <v>51178396</v>
      </c>
      <c r="E25" s="76">
        <f>+E13</f>
        <v>50337130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0</v>
      </c>
      <c r="D26" s="76">
        <f>+D16</f>
        <v>0</v>
      </c>
      <c r="E26" s="76">
        <f>+E16</f>
        <v>-18460790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54176088</v>
      </c>
      <c r="D27" s="76">
        <f>+D25+D26</f>
        <v>51178396</v>
      </c>
      <c r="E27" s="76">
        <f>+E25+E26</f>
        <v>31876340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4774603</v>
      </c>
      <c r="D28" s="76">
        <f>+D17</f>
        <v>2942348</v>
      </c>
      <c r="E28" s="76">
        <f>+E17</f>
        <v>-18200362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30054582</v>
      </c>
      <c r="D31" s="76">
        <v>32809453</v>
      </c>
      <c r="E31" s="76">
        <v>21513301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30054582</v>
      </c>
      <c r="D32" s="76">
        <v>32809453</v>
      </c>
      <c r="E32" s="76">
        <v>21513301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5175931</v>
      </c>
      <c r="D33" s="76">
        <f>+D32-C32</f>
        <v>2754871</v>
      </c>
      <c r="E33" s="76">
        <f>+E32-D32</f>
        <v>-11296152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1.208</v>
      </c>
      <c r="D34" s="193">
        <f>IF(C32=0,0,+D33/C32)</f>
        <v>9.166226301200929E-2</v>
      </c>
      <c r="E34" s="193">
        <f>IF(D32=0,0,+E33/D32)</f>
        <v>-0.34429565162211023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0.33408675973696855</v>
      </c>
      <c r="D38" s="195">
        <f>IF((D40+D41)=0,0,+D39/(D40+D41))</f>
        <v>0.32978569079114917</v>
      </c>
      <c r="E38" s="195">
        <f>IF((E40+E41)=0,0,+E39/(E40+E41))</f>
        <v>0.34665333347925853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49401485</v>
      </c>
      <c r="D39" s="76">
        <v>48236048</v>
      </c>
      <c r="E39" s="196">
        <v>50076702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147441042</v>
      </c>
      <c r="D40" s="76">
        <v>145172347</v>
      </c>
      <c r="E40" s="196">
        <v>143606025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429185</v>
      </c>
      <c r="D41" s="76">
        <v>1092483</v>
      </c>
      <c r="E41" s="196">
        <v>851556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1.3094621361111916</v>
      </c>
      <c r="D43" s="197">
        <f>IF(D38=0,0,IF((D46-D47)=0,0,((+D44-D45)/(D46-D47)/D38)))</f>
        <v>1.2915977243397487</v>
      </c>
      <c r="E43" s="197">
        <f>IF(E38=0,0,IF((E46-E47)=0,0,((+E44-E45)/(E46-E47)/E38)))</f>
        <v>1.2860459135958278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23155548</v>
      </c>
      <c r="D44" s="76">
        <v>21315739</v>
      </c>
      <c r="E44" s="196">
        <v>21931021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651124</v>
      </c>
      <c r="D45" s="76">
        <v>279386</v>
      </c>
      <c r="E45" s="196">
        <v>230791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55244177</v>
      </c>
      <c r="D46" s="76">
        <v>52241943</v>
      </c>
      <c r="E46" s="196">
        <v>51092254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3802432</v>
      </c>
      <c r="D47" s="76">
        <v>2855088</v>
      </c>
      <c r="E47" s="76">
        <v>2416523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1.0039727713897144</v>
      </c>
      <c r="D49" s="198">
        <f>IF(D38=0,0,IF(D51=0,0,(D50/D51)/D38))</f>
        <v>0.97521320379841536</v>
      </c>
      <c r="E49" s="198">
        <f>IF(E38=0,0,IF(E51=0,0,(E50/E51)/E38))</f>
        <v>0.90611396223912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25498542</v>
      </c>
      <c r="D50" s="199">
        <v>23646098</v>
      </c>
      <c r="E50" s="199">
        <v>22417977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76021100</v>
      </c>
      <c r="D51" s="199">
        <v>73523827</v>
      </c>
      <c r="E51" s="199">
        <v>71370414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0.74123078903885731</v>
      </c>
      <c r="D53" s="198">
        <f>IF(D38=0,0,IF(D55=0,0,(D54/D55)/D38))</f>
        <v>0.69164503746983241</v>
      </c>
      <c r="E53" s="198">
        <f>IF(E38=0,0,IF(E55=0,0,(E54/E55)/E38))</f>
        <v>0.63788172486679362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2090929</v>
      </c>
      <c r="D54" s="199">
        <v>2447356</v>
      </c>
      <c r="E54" s="199">
        <v>2561781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8443579</v>
      </c>
      <c r="D55" s="199">
        <v>10729564</v>
      </c>
      <c r="E55" s="199">
        <v>11585278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1080914.3250557801</v>
      </c>
      <c r="D57" s="88">
        <f>+D60*D38</f>
        <v>1043330.4580997085</v>
      </c>
      <c r="E57" s="88">
        <f>+E60*E38</f>
        <v>926357.19656328729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941923</v>
      </c>
      <c r="D58" s="199">
        <v>892961</v>
      </c>
      <c r="E58" s="199">
        <v>741722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2293507</v>
      </c>
      <c r="D59" s="199">
        <v>2270701</v>
      </c>
      <c r="E59" s="199">
        <v>1930565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3235430</v>
      </c>
      <c r="D60" s="76">
        <v>3163662</v>
      </c>
      <c r="E60" s="201">
        <v>2672287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2.1880199047777209E-2</v>
      </c>
      <c r="D62" s="202">
        <f>IF(D63=0,0,+D57/D63)</f>
        <v>2.1629683636182395E-2</v>
      </c>
      <c r="E62" s="202">
        <f>IF(E63=0,0,+E57/E63)</f>
        <v>1.849876608414203E-2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49401485</v>
      </c>
      <c r="D63" s="199">
        <v>48236048</v>
      </c>
      <c r="E63" s="199">
        <v>50076702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2.0662173401380346</v>
      </c>
      <c r="D67" s="203">
        <f>IF(D69=0,0,D68/D69)</f>
        <v>2.0897119097503629</v>
      </c>
      <c r="E67" s="203">
        <f>IF(E69=0,0,E68/E69)</f>
        <v>1.5785547860918323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11159582</v>
      </c>
      <c r="D68" s="204">
        <v>10006947</v>
      </c>
      <c r="E68" s="204">
        <v>8299457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5400972</v>
      </c>
      <c r="D69" s="204">
        <v>4788673</v>
      </c>
      <c r="E69" s="204">
        <v>5257630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0</v>
      </c>
      <c r="D71" s="203">
        <f>IF((D77/365)=0,0,+D74/(D77/365))</f>
        <v>0</v>
      </c>
      <c r="E71" s="203">
        <f>IF((E77/365)=0,0,+E74/(E77/365))</f>
        <v>1.485201065297832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0</v>
      </c>
      <c r="D72" s="183">
        <v>0</v>
      </c>
      <c r="E72" s="183">
        <v>193394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0</v>
      </c>
      <c r="D74" s="204">
        <f>+D72+D73</f>
        <v>0</v>
      </c>
      <c r="E74" s="204">
        <f>+E72+E73</f>
        <v>193394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49401485</v>
      </c>
      <c r="D75" s="204">
        <f>+D14</f>
        <v>48236048</v>
      </c>
      <c r="E75" s="204">
        <f>+E14</f>
        <v>50076702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3004141</v>
      </c>
      <c r="D76" s="204">
        <v>2563946</v>
      </c>
      <c r="E76" s="204">
        <v>2548585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46397344</v>
      </c>
      <c r="D77" s="204">
        <f>+D75-D76</f>
        <v>45672102</v>
      </c>
      <c r="E77" s="204">
        <f>+E75-E76</f>
        <v>47528117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45.688225887173445</v>
      </c>
      <c r="D79" s="203">
        <f>IF((D84/365)=0,0,+D83/(D84/365))</f>
        <v>46.709106211161611</v>
      </c>
      <c r="E79" s="203">
        <f>IF((E84/365)=0,0,+E83/(E84/365))</f>
        <v>44.640711856752439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7018848</v>
      </c>
      <c r="D80" s="212">
        <v>6272473</v>
      </c>
      <c r="E80" s="212">
        <v>6149131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137029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291175</v>
      </c>
      <c r="D82" s="212">
        <v>0</v>
      </c>
      <c r="E82" s="212">
        <v>96881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6727673</v>
      </c>
      <c r="D83" s="212">
        <f>+D80+D81-D82</f>
        <v>6409502</v>
      </c>
      <c r="E83" s="212">
        <f>+E80+E81-E82</f>
        <v>6052250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53746903</v>
      </c>
      <c r="D84" s="204">
        <f>+D11</f>
        <v>50085913</v>
      </c>
      <c r="E84" s="204">
        <f>+E11</f>
        <v>49485574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42.488526498413357</v>
      </c>
      <c r="D86" s="203">
        <f>IF((D90/365)=0,0,+D87/(D90/365))</f>
        <v>38.269875229302997</v>
      </c>
      <c r="E86" s="203">
        <f>IF((E90/365)=0,0,+E87/(E90/365))</f>
        <v>40.376835253119751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5400972</v>
      </c>
      <c r="D87" s="76">
        <f>+D69</f>
        <v>4788673</v>
      </c>
      <c r="E87" s="76">
        <f>+E69</f>
        <v>5257630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49401485</v>
      </c>
      <c r="D88" s="76">
        <f t="shared" si="0"/>
        <v>48236048</v>
      </c>
      <c r="E88" s="76">
        <f t="shared" si="0"/>
        <v>50076702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3004141</v>
      </c>
      <c r="D89" s="201">
        <f t="shared" si="0"/>
        <v>2563946</v>
      </c>
      <c r="E89" s="201">
        <f t="shared" si="0"/>
        <v>2548585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46397344</v>
      </c>
      <c r="D90" s="76">
        <f>+D88-D89</f>
        <v>45672102</v>
      </c>
      <c r="E90" s="76">
        <f>+E88-E89</f>
        <v>47528117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65.187964861126886</v>
      </c>
      <c r="D94" s="214">
        <f>IF(D96=0,0,(D95/D96)*100)</f>
        <v>74.871035856567332</v>
      </c>
      <c r="E94" s="214">
        <f>IF(E96=0,0,(E95/E96)*100)</f>
        <v>75.714354393264557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30054582</v>
      </c>
      <c r="D95" s="76">
        <f>+D32</f>
        <v>32809453</v>
      </c>
      <c r="E95" s="76">
        <f>+E32</f>
        <v>21513301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46104495</v>
      </c>
      <c r="D96" s="76">
        <v>43821289</v>
      </c>
      <c r="E96" s="76">
        <v>28413768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54.673585702277869</v>
      </c>
      <c r="D98" s="214">
        <f>IF(D104=0,0,(D101/D104)*100)</f>
        <v>60.822784726232548</v>
      </c>
      <c r="E98" s="214">
        <f>IF(E104=0,0,(E101/E104)*100)</f>
        <v>-297.69643356417242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4774603</v>
      </c>
      <c r="D99" s="76">
        <f>+D28</f>
        <v>2942348</v>
      </c>
      <c r="E99" s="76">
        <f>+E28</f>
        <v>-18200362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3004141</v>
      </c>
      <c r="D100" s="201">
        <f>+D76</f>
        <v>2563946</v>
      </c>
      <c r="E100" s="201">
        <f>+E76</f>
        <v>2548585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7778744</v>
      </c>
      <c r="D101" s="76">
        <f>+D99+D100</f>
        <v>5506294</v>
      </c>
      <c r="E101" s="76">
        <f>+E99+E100</f>
        <v>-15651777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5400972</v>
      </c>
      <c r="D102" s="204">
        <f>+D69</f>
        <v>4788673</v>
      </c>
      <c r="E102" s="204">
        <f>+E69</f>
        <v>5257630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8826637</v>
      </c>
      <c r="D103" s="216">
        <v>4264339</v>
      </c>
      <c r="E103" s="216">
        <v>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14227609</v>
      </c>
      <c r="D104" s="204">
        <f>+D102+D103</f>
        <v>9053012</v>
      </c>
      <c r="E104" s="204">
        <f>+E102+E103</f>
        <v>5257630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22.701543899639567</v>
      </c>
      <c r="D106" s="214">
        <f>IF(D109=0,0,(D107/D109)*100)</f>
        <v>11.502300600920456</v>
      </c>
      <c r="E106" s="214">
        <f>IF(E109=0,0,(E107/E109)*100)</f>
        <v>0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8826637</v>
      </c>
      <c r="D107" s="204">
        <f>+D103</f>
        <v>4264339</v>
      </c>
      <c r="E107" s="204">
        <f>+E103</f>
        <v>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30054582</v>
      </c>
      <c r="D108" s="204">
        <f>+D32</f>
        <v>32809453</v>
      </c>
      <c r="E108" s="204">
        <f>+E32</f>
        <v>21513301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38881219</v>
      </c>
      <c r="D109" s="204">
        <f>+D107+D108</f>
        <v>37073792</v>
      </c>
      <c r="E109" s="204">
        <f>+E107+E108</f>
        <v>21513301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7778744</v>
      </c>
      <c r="D111" s="214">
        <f>IF((+D113+D115)=0,0,((+D112+D113+D114)/(+D113+D115)))</f>
        <v>489.83993252840907</v>
      </c>
      <c r="E111" s="214">
        <f>IF((+E113+E115)=0,0,((+E112+E113+E114)/(+E113+E115)))</f>
        <v>-850.65839590815108</v>
      </c>
    </row>
    <row r="112" spans="1:6" ht="24" customHeight="1" x14ac:dyDescent="0.2">
      <c r="A112" s="85">
        <v>16</v>
      </c>
      <c r="B112" s="75" t="s">
        <v>373</v>
      </c>
      <c r="C112" s="218">
        <f>+C17</f>
        <v>4774603</v>
      </c>
      <c r="D112" s="76">
        <f>+D17</f>
        <v>2942348</v>
      </c>
      <c r="E112" s="76">
        <f>+E17</f>
        <v>-18200362</v>
      </c>
    </row>
    <row r="113" spans="1:8" ht="24" customHeight="1" x14ac:dyDescent="0.2">
      <c r="A113" s="85">
        <v>17</v>
      </c>
      <c r="B113" s="75" t="s">
        <v>88</v>
      </c>
      <c r="C113" s="218">
        <v>0</v>
      </c>
      <c r="D113" s="76">
        <v>11263</v>
      </c>
      <c r="E113" s="76">
        <v>18377</v>
      </c>
    </row>
    <row r="114" spans="1:8" ht="24" customHeight="1" x14ac:dyDescent="0.2">
      <c r="A114" s="85">
        <v>18</v>
      </c>
      <c r="B114" s="75" t="s">
        <v>374</v>
      </c>
      <c r="C114" s="218">
        <v>3004141</v>
      </c>
      <c r="D114" s="76">
        <v>2563946</v>
      </c>
      <c r="E114" s="76">
        <v>2548585</v>
      </c>
    </row>
    <row r="115" spans="1:8" ht="24" customHeight="1" x14ac:dyDescent="0.2">
      <c r="A115" s="85">
        <v>19</v>
      </c>
      <c r="B115" s="75" t="s">
        <v>104</v>
      </c>
      <c r="C115" s="218">
        <v>1</v>
      </c>
      <c r="D115" s="76">
        <v>1</v>
      </c>
      <c r="E115" s="76">
        <v>1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9.5037792833292443</v>
      </c>
      <c r="D119" s="214">
        <f>IF(+D121=0,0,(+D120)/(+D121))</f>
        <v>12.123338011018953</v>
      </c>
      <c r="E119" s="214">
        <f>IF(+E121=0,0,(+E120)/(+E121))</f>
        <v>0</v>
      </c>
    </row>
    <row r="120" spans="1:8" ht="24" customHeight="1" x14ac:dyDescent="0.2">
      <c r="A120" s="85">
        <v>21</v>
      </c>
      <c r="B120" s="75" t="s">
        <v>378</v>
      </c>
      <c r="C120" s="218">
        <v>28550693</v>
      </c>
      <c r="D120" s="218">
        <v>31083584</v>
      </c>
      <c r="E120" s="218">
        <v>0</v>
      </c>
    </row>
    <row r="121" spans="1:8" ht="24" customHeight="1" x14ac:dyDescent="0.2">
      <c r="A121" s="85">
        <v>22</v>
      </c>
      <c r="B121" s="75" t="s">
        <v>374</v>
      </c>
      <c r="C121" s="218">
        <v>3004141</v>
      </c>
      <c r="D121" s="218">
        <v>2563946</v>
      </c>
      <c r="E121" s="218">
        <v>2548585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12338</v>
      </c>
      <c r="D124" s="218">
        <v>11690</v>
      </c>
      <c r="E124" s="218">
        <v>11029</v>
      </c>
    </row>
    <row r="125" spans="1:8" ht="24" customHeight="1" x14ac:dyDescent="0.2">
      <c r="A125" s="85">
        <v>2</v>
      </c>
      <c r="B125" s="75" t="s">
        <v>381</v>
      </c>
      <c r="C125" s="218">
        <v>2878</v>
      </c>
      <c r="D125" s="218">
        <v>2616</v>
      </c>
      <c r="E125" s="218">
        <v>2466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4.2870048644892282</v>
      </c>
      <c r="D126" s="219">
        <f>IF(D125=0,0,D124/D125)</f>
        <v>4.4686544342507641</v>
      </c>
      <c r="E126" s="219">
        <f>IF(E125=0,0,E124/E125)</f>
        <v>4.4724249797242495</v>
      </c>
    </row>
    <row r="127" spans="1:8" ht="24" customHeight="1" x14ac:dyDescent="0.2">
      <c r="A127" s="85">
        <v>4</v>
      </c>
      <c r="B127" s="75" t="s">
        <v>383</v>
      </c>
      <c r="C127" s="218">
        <v>49</v>
      </c>
      <c r="D127" s="218">
        <v>49</v>
      </c>
      <c r="E127" s="218">
        <v>49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94</v>
      </c>
      <c r="E128" s="218">
        <v>94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94</v>
      </c>
      <c r="D129" s="218">
        <v>94</v>
      </c>
      <c r="E129" s="218">
        <v>94</v>
      </c>
    </row>
    <row r="130" spans="1:7" ht="24" customHeight="1" x14ac:dyDescent="0.2">
      <c r="A130" s="85">
        <v>7</v>
      </c>
      <c r="B130" s="75" t="s">
        <v>386</v>
      </c>
      <c r="C130" s="193">
        <v>0.68979999999999997</v>
      </c>
      <c r="D130" s="193">
        <v>0.65359999999999996</v>
      </c>
      <c r="E130" s="193">
        <v>0.61660000000000004</v>
      </c>
    </row>
    <row r="131" spans="1:7" ht="24" customHeight="1" x14ac:dyDescent="0.2">
      <c r="A131" s="85">
        <v>8</v>
      </c>
      <c r="B131" s="75" t="s">
        <v>387</v>
      </c>
      <c r="C131" s="193">
        <v>0.35959999999999998</v>
      </c>
      <c r="D131" s="193">
        <v>0.3407</v>
      </c>
      <c r="E131" s="193">
        <v>0.32140000000000002</v>
      </c>
    </row>
    <row r="132" spans="1:7" ht="24" customHeight="1" x14ac:dyDescent="0.2">
      <c r="A132" s="85">
        <v>9</v>
      </c>
      <c r="B132" s="75" t="s">
        <v>388</v>
      </c>
      <c r="C132" s="219">
        <v>247.4</v>
      </c>
      <c r="D132" s="219">
        <v>259.60000000000002</v>
      </c>
      <c r="E132" s="219">
        <v>253.9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0.34889705269445936</v>
      </c>
      <c r="D135" s="227">
        <f>IF(D149=0,0,D143/D149)</f>
        <v>0.34019464464537452</v>
      </c>
      <c r="E135" s="227">
        <f>IF(E149=0,0,E143/E149)</f>
        <v>0.33895326466977971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0.51560338267278383</v>
      </c>
      <c r="D136" s="227">
        <f>IF(D149=0,0,D144/D149)</f>
        <v>0.50645889881493755</v>
      </c>
      <c r="E136" s="227">
        <f>IF(E149=0,0,E144/E149)</f>
        <v>0.49698760201739445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5.7267494080786539E-2</v>
      </c>
      <c r="D137" s="227">
        <f>IF(D149=0,0,D145/D149)</f>
        <v>7.3909144694064913E-2</v>
      </c>
      <c r="E137" s="227">
        <f>IF(E149=0,0,E145/E149)</f>
        <v>8.0674038571849613E-2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5.0573889731462963E-2</v>
      </c>
      <c r="D138" s="227">
        <f>IF(D149=0,0,D146/D149)</f>
        <v>5.8226660756542016E-2</v>
      </c>
      <c r="E138" s="227">
        <f>IF(E149=0,0,E146/E149)</f>
        <v>6.4845601011517442E-2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2.5789508459930714E-2</v>
      </c>
      <c r="D139" s="227">
        <f>IF(D149=0,0,D147/D149)</f>
        <v>1.9666886008256106E-2</v>
      </c>
      <c r="E139" s="227">
        <f>IF(E149=0,0,E147/E149)</f>
        <v>1.6827448569793641E-2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1.8686723605765075E-3</v>
      </c>
      <c r="D140" s="227">
        <f>IF(D149=0,0,D148/D149)</f>
        <v>1.5437650808249315E-3</v>
      </c>
      <c r="E140" s="227">
        <f>IF(E149=0,0,E148/E149)</f>
        <v>1.7120451596651324E-3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51441745</v>
      </c>
      <c r="D143" s="229">
        <f>+D46-D147</f>
        <v>49386855</v>
      </c>
      <c r="E143" s="229">
        <f>+E46-E147</f>
        <v>48675731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76021100</v>
      </c>
      <c r="D144" s="229">
        <f>+D51</f>
        <v>73523827</v>
      </c>
      <c r="E144" s="229">
        <f>+E51</f>
        <v>71370414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8443579</v>
      </c>
      <c r="D145" s="229">
        <f>+D55</f>
        <v>10729564</v>
      </c>
      <c r="E145" s="229">
        <f>+E55</f>
        <v>11585278</v>
      </c>
    </row>
    <row r="146" spans="1:7" ht="20.100000000000001" customHeight="1" x14ac:dyDescent="0.2">
      <c r="A146" s="226">
        <v>11</v>
      </c>
      <c r="B146" s="224" t="s">
        <v>400</v>
      </c>
      <c r="C146" s="228">
        <v>7456667</v>
      </c>
      <c r="D146" s="229">
        <v>8452901</v>
      </c>
      <c r="E146" s="229">
        <v>9312219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3802432</v>
      </c>
      <c r="D147" s="229">
        <f>+D47</f>
        <v>2855088</v>
      </c>
      <c r="E147" s="229">
        <f>+E47</f>
        <v>2416523</v>
      </c>
    </row>
    <row r="148" spans="1:7" ht="20.100000000000001" customHeight="1" x14ac:dyDescent="0.2">
      <c r="A148" s="226">
        <v>13</v>
      </c>
      <c r="B148" s="224" t="s">
        <v>402</v>
      </c>
      <c r="C148" s="230">
        <v>275519</v>
      </c>
      <c r="D148" s="229">
        <v>224112</v>
      </c>
      <c r="E148" s="229">
        <v>245860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147441042</v>
      </c>
      <c r="D149" s="229">
        <f>SUM(D143:D148)</f>
        <v>145172347</v>
      </c>
      <c r="E149" s="229">
        <f>SUM(E143:E148)</f>
        <v>143606025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0.42762401361545627</v>
      </c>
      <c r="D152" s="227">
        <f>IF(D166=0,0,D160/D166)</f>
        <v>0.42641642737057789</v>
      </c>
      <c r="E152" s="227">
        <f>IF(E166=0,0,E160/E166)</f>
        <v>0.44227290072450259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0.48451757180642718</v>
      </c>
      <c r="D153" s="227">
        <f>IF(D166=0,0,D161/D166)</f>
        <v>0.47931714353788263</v>
      </c>
      <c r="E153" s="227">
        <f>IF(E166=0,0,E161/E166)</f>
        <v>0.45690131930238448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3.9731363538340385E-2</v>
      </c>
      <c r="D154" s="227">
        <f>IF(D166=0,0,D162/D166)</f>
        <v>4.960901740068481E-2</v>
      </c>
      <c r="E154" s="227">
        <f>IF(E166=0,0,E162/E166)</f>
        <v>5.2211719133433927E-2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3.3483921771134219E-2</v>
      </c>
      <c r="D155" s="227">
        <f>IF(D166=0,0,D163/D166)</f>
        <v>3.7676875421397402E-2</v>
      </c>
      <c r="E155" s="227">
        <f>IF(E166=0,0,E163/E166)</f>
        <v>4.2161551039922369E-2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1.2372512099903128E-2</v>
      </c>
      <c r="D156" s="227">
        <f>IF(D166=0,0,D164/D166)</f>
        <v>5.663281081913594E-3</v>
      </c>
      <c r="E156" s="227">
        <f>IF(E166=0,0,E164/E166)</f>
        <v>4.7037568279741128E-3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2.270617168738864E-3</v>
      </c>
      <c r="D157" s="227">
        <f>IF(D166=0,0,D165/D166)</f>
        <v>1.3172551875436601E-3</v>
      </c>
      <c r="E157" s="227">
        <f>IF(E166=0,0,E165/E166)</f>
        <v>1.7487529717825339E-3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22504424</v>
      </c>
      <c r="D160" s="229">
        <f>+D44-D164</f>
        <v>21036353</v>
      </c>
      <c r="E160" s="229">
        <f>+E44-E164</f>
        <v>21700230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25498542</v>
      </c>
      <c r="D161" s="229">
        <f>+D50</f>
        <v>23646098</v>
      </c>
      <c r="E161" s="229">
        <f>+E50</f>
        <v>22417977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2090929</v>
      </c>
      <c r="D162" s="229">
        <f>+D54</f>
        <v>2447356</v>
      </c>
      <c r="E162" s="229">
        <f>+E54</f>
        <v>2561781</v>
      </c>
    </row>
    <row r="163" spans="1:6" ht="20.100000000000001" customHeight="1" x14ac:dyDescent="0.2">
      <c r="A163" s="226">
        <v>11</v>
      </c>
      <c r="B163" s="224" t="s">
        <v>415</v>
      </c>
      <c r="C163" s="228">
        <v>1762147</v>
      </c>
      <c r="D163" s="229">
        <v>1858709</v>
      </c>
      <c r="E163" s="229">
        <v>2068667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651124</v>
      </c>
      <c r="D164" s="229">
        <f>+D45</f>
        <v>279386</v>
      </c>
      <c r="E164" s="229">
        <f>+E45</f>
        <v>230791</v>
      </c>
    </row>
    <row r="165" spans="1:6" ht="20.100000000000001" customHeight="1" x14ac:dyDescent="0.2">
      <c r="A165" s="226">
        <v>13</v>
      </c>
      <c r="B165" s="224" t="s">
        <v>417</v>
      </c>
      <c r="C165" s="230">
        <v>119495</v>
      </c>
      <c r="D165" s="229">
        <v>64984</v>
      </c>
      <c r="E165" s="229">
        <v>85803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52626661</v>
      </c>
      <c r="D166" s="229">
        <f>SUM(D160:D165)</f>
        <v>49332886</v>
      </c>
      <c r="E166" s="229">
        <f>SUM(E160:E165)</f>
        <v>49065249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830</v>
      </c>
      <c r="D169" s="218">
        <v>703</v>
      </c>
      <c r="E169" s="218">
        <v>647</v>
      </c>
    </row>
    <row r="170" spans="1:6" ht="20.100000000000001" customHeight="1" x14ac:dyDescent="0.2">
      <c r="A170" s="226">
        <v>2</v>
      </c>
      <c r="B170" s="224" t="s">
        <v>420</v>
      </c>
      <c r="C170" s="218">
        <v>1614</v>
      </c>
      <c r="D170" s="218">
        <v>1461</v>
      </c>
      <c r="E170" s="218">
        <v>1410</v>
      </c>
    </row>
    <row r="171" spans="1:6" ht="20.100000000000001" customHeight="1" x14ac:dyDescent="0.2">
      <c r="A171" s="226">
        <v>3</v>
      </c>
      <c r="B171" s="224" t="s">
        <v>421</v>
      </c>
      <c r="C171" s="218">
        <v>425</v>
      </c>
      <c r="D171" s="218">
        <v>447</v>
      </c>
      <c r="E171" s="218">
        <v>398</v>
      </c>
    </row>
    <row r="172" spans="1:6" ht="20.100000000000001" customHeight="1" x14ac:dyDescent="0.2">
      <c r="A172" s="226">
        <v>4</v>
      </c>
      <c r="B172" s="224" t="s">
        <v>422</v>
      </c>
      <c r="C172" s="218">
        <v>217</v>
      </c>
      <c r="D172" s="218">
        <v>235</v>
      </c>
      <c r="E172" s="218">
        <v>219</v>
      </c>
    </row>
    <row r="173" spans="1:6" ht="20.100000000000001" customHeight="1" x14ac:dyDescent="0.2">
      <c r="A173" s="226">
        <v>5</v>
      </c>
      <c r="B173" s="224" t="s">
        <v>423</v>
      </c>
      <c r="C173" s="218">
        <v>208</v>
      </c>
      <c r="D173" s="218">
        <v>212</v>
      </c>
      <c r="E173" s="218">
        <v>179</v>
      </c>
    </row>
    <row r="174" spans="1:6" ht="20.100000000000001" customHeight="1" x14ac:dyDescent="0.2">
      <c r="A174" s="226">
        <v>6</v>
      </c>
      <c r="B174" s="224" t="s">
        <v>424</v>
      </c>
      <c r="C174" s="218">
        <v>9</v>
      </c>
      <c r="D174" s="218">
        <v>5</v>
      </c>
      <c r="E174" s="218">
        <v>11</v>
      </c>
    </row>
    <row r="175" spans="1:6" ht="20.100000000000001" customHeight="1" x14ac:dyDescent="0.2">
      <c r="A175" s="226">
        <v>7</v>
      </c>
      <c r="B175" s="224" t="s">
        <v>425</v>
      </c>
      <c r="C175" s="218">
        <v>93</v>
      </c>
      <c r="D175" s="218">
        <v>40</v>
      </c>
      <c r="E175" s="218">
        <v>45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2878</v>
      </c>
      <c r="D176" s="218">
        <f>+D169+D170+D171+D174</f>
        <v>2616</v>
      </c>
      <c r="E176" s="218">
        <f>+E169+E170+E171+E174</f>
        <v>2466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1.0066999999999999</v>
      </c>
      <c r="D179" s="231">
        <v>0.92369999999999997</v>
      </c>
      <c r="E179" s="231">
        <v>0.87690000000000001</v>
      </c>
    </row>
    <row r="180" spans="1:6" ht="20.100000000000001" customHeight="1" x14ac:dyDescent="0.2">
      <c r="A180" s="226">
        <v>2</v>
      </c>
      <c r="B180" s="224" t="s">
        <v>420</v>
      </c>
      <c r="C180" s="231">
        <v>1.1823999999999999</v>
      </c>
      <c r="D180" s="231">
        <v>1.1961999999999999</v>
      </c>
      <c r="E180" s="231">
        <v>1.1719999999999999</v>
      </c>
    </row>
    <row r="181" spans="1:6" ht="20.100000000000001" customHeight="1" x14ac:dyDescent="0.2">
      <c r="A181" s="226">
        <v>3</v>
      </c>
      <c r="B181" s="224" t="s">
        <v>421</v>
      </c>
      <c r="C181" s="231">
        <v>0.93545999999999996</v>
      </c>
      <c r="D181" s="231">
        <v>0.90741300000000003</v>
      </c>
      <c r="E181" s="231">
        <v>0.967391</v>
      </c>
    </row>
    <row r="182" spans="1:6" ht="20.100000000000001" customHeight="1" x14ac:dyDescent="0.2">
      <c r="A182" s="226">
        <v>4</v>
      </c>
      <c r="B182" s="224" t="s">
        <v>422</v>
      </c>
      <c r="C182" s="231">
        <v>0.91049999999999998</v>
      </c>
      <c r="D182" s="231">
        <v>0.93440000000000001</v>
      </c>
      <c r="E182" s="231">
        <v>0.93510000000000004</v>
      </c>
    </row>
    <row r="183" spans="1:6" ht="20.100000000000001" customHeight="1" x14ac:dyDescent="0.2">
      <c r="A183" s="226">
        <v>5</v>
      </c>
      <c r="B183" s="224" t="s">
        <v>423</v>
      </c>
      <c r="C183" s="231">
        <v>0.96150000000000002</v>
      </c>
      <c r="D183" s="231">
        <v>0.87749999999999995</v>
      </c>
      <c r="E183" s="231">
        <v>1.0068999999999999</v>
      </c>
    </row>
    <row r="184" spans="1:6" ht="20.100000000000001" customHeight="1" x14ac:dyDescent="0.2">
      <c r="A184" s="226">
        <v>6</v>
      </c>
      <c r="B184" s="224" t="s">
        <v>424</v>
      </c>
      <c r="C184" s="231">
        <v>1.0219</v>
      </c>
      <c r="D184" s="231">
        <v>0.68859999999999999</v>
      </c>
      <c r="E184" s="231">
        <v>0.875</v>
      </c>
    </row>
    <row r="185" spans="1:6" ht="20.100000000000001" customHeight="1" x14ac:dyDescent="0.2">
      <c r="A185" s="226">
        <v>7</v>
      </c>
      <c r="B185" s="224" t="s">
        <v>425</v>
      </c>
      <c r="C185" s="231">
        <v>0.89090000000000003</v>
      </c>
      <c r="D185" s="231">
        <v>0.75600000000000001</v>
      </c>
      <c r="E185" s="231">
        <v>0.73839999999999995</v>
      </c>
    </row>
    <row r="186" spans="1:6" ht="20.100000000000001" customHeight="1" x14ac:dyDescent="0.2">
      <c r="A186" s="226">
        <v>8</v>
      </c>
      <c r="B186" s="224" t="s">
        <v>429</v>
      </c>
      <c r="C186" s="231">
        <v>1.0947610000000001</v>
      </c>
      <c r="D186" s="231">
        <v>1.0726549999999999</v>
      </c>
      <c r="E186" s="231">
        <v>1.060227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1878</v>
      </c>
      <c r="D189" s="218">
        <v>1593</v>
      </c>
      <c r="E189" s="218">
        <v>1561</v>
      </c>
    </row>
    <row r="190" spans="1:6" ht="20.100000000000001" customHeight="1" x14ac:dyDescent="0.2">
      <c r="A190" s="226">
        <v>2</v>
      </c>
      <c r="B190" s="224" t="s">
        <v>433</v>
      </c>
      <c r="C190" s="218">
        <v>15746</v>
      </c>
      <c r="D190" s="218">
        <v>14825</v>
      </c>
      <c r="E190" s="218">
        <v>14819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17624</v>
      </c>
      <c r="D191" s="218">
        <f>+D190+D189</f>
        <v>16418</v>
      </c>
      <c r="E191" s="218">
        <f>+E190+E189</f>
        <v>16380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FILING&amp;RESSENT-SHARON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6" t="s">
        <v>0</v>
      </c>
      <c r="B2" s="786"/>
      <c r="C2" s="786"/>
      <c r="D2" s="786"/>
      <c r="E2" s="786"/>
      <c r="F2" s="786"/>
    </row>
    <row r="3" spans="1:7" ht="20.25" customHeight="1" x14ac:dyDescent="0.3">
      <c r="A3" s="786" t="s">
        <v>1</v>
      </c>
      <c r="B3" s="786"/>
      <c r="C3" s="786"/>
      <c r="D3" s="786"/>
      <c r="E3" s="786"/>
      <c r="F3" s="786"/>
    </row>
    <row r="4" spans="1:7" ht="20.25" customHeight="1" x14ac:dyDescent="0.3">
      <c r="A4" s="786" t="s">
        <v>2</v>
      </c>
      <c r="B4" s="786"/>
      <c r="C4" s="786"/>
      <c r="D4" s="786"/>
      <c r="E4" s="786"/>
      <c r="F4" s="786"/>
    </row>
    <row r="5" spans="1:7" ht="20.25" customHeight="1" x14ac:dyDescent="0.3">
      <c r="A5" s="786" t="s">
        <v>435</v>
      </c>
      <c r="B5" s="786"/>
      <c r="C5" s="786"/>
      <c r="D5" s="786"/>
      <c r="E5" s="786"/>
      <c r="F5" s="786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7"/>
      <c r="D9" s="788"/>
      <c r="E9" s="788"/>
      <c r="F9" s="789"/>
      <c r="G9" s="245"/>
    </row>
    <row r="10" spans="1:7" ht="20.25" customHeight="1" x14ac:dyDescent="0.3">
      <c r="A10" s="790" t="s">
        <v>12</v>
      </c>
      <c r="B10" s="792" t="s">
        <v>114</v>
      </c>
      <c r="C10" s="794"/>
      <c r="D10" s="795"/>
      <c r="E10" s="795"/>
      <c r="F10" s="796"/>
    </row>
    <row r="11" spans="1:7" ht="20.25" customHeight="1" x14ac:dyDescent="0.3">
      <c r="A11" s="791"/>
      <c r="B11" s="793"/>
      <c r="C11" s="797"/>
      <c r="D11" s="798"/>
      <c r="E11" s="798"/>
      <c r="F11" s="799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229456</v>
      </c>
      <c r="D14" s="258">
        <v>441092</v>
      </c>
      <c r="E14" s="258">
        <f t="shared" ref="E14:E24" si="0">D14-C14</f>
        <v>211636</v>
      </c>
      <c r="F14" s="259">
        <f t="shared" ref="F14:F24" si="1">IF(C14=0,0,E14/C14)</f>
        <v>0.92233805173976713</v>
      </c>
    </row>
    <row r="15" spans="1:7" ht="20.25" customHeight="1" x14ac:dyDescent="0.3">
      <c r="A15" s="256">
        <v>2</v>
      </c>
      <c r="B15" s="257" t="s">
        <v>442</v>
      </c>
      <c r="C15" s="258">
        <v>47525</v>
      </c>
      <c r="D15" s="258">
        <v>123016</v>
      </c>
      <c r="E15" s="258">
        <f t="shared" si="0"/>
        <v>75491</v>
      </c>
      <c r="F15" s="259">
        <f t="shared" si="1"/>
        <v>1.5884481851657022</v>
      </c>
    </row>
    <row r="16" spans="1:7" ht="20.25" customHeight="1" x14ac:dyDescent="0.3">
      <c r="A16" s="256">
        <v>3</v>
      </c>
      <c r="B16" s="257" t="s">
        <v>443</v>
      </c>
      <c r="C16" s="258">
        <v>160422</v>
      </c>
      <c r="D16" s="258">
        <v>161657</v>
      </c>
      <c r="E16" s="258">
        <f t="shared" si="0"/>
        <v>1235</v>
      </c>
      <c r="F16" s="259">
        <f t="shared" si="1"/>
        <v>7.6984453503883511E-3</v>
      </c>
    </row>
    <row r="17" spans="1:6" ht="20.25" customHeight="1" x14ac:dyDescent="0.3">
      <c r="A17" s="256">
        <v>4</v>
      </c>
      <c r="B17" s="257" t="s">
        <v>444</v>
      </c>
      <c r="C17" s="258">
        <v>37827</v>
      </c>
      <c r="D17" s="258">
        <v>38066</v>
      </c>
      <c r="E17" s="258">
        <f t="shared" si="0"/>
        <v>239</v>
      </c>
      <c r="F17" s="259">
        <f t="shared" si="1"/>
        <v>6.3182382953974672E-3</v>
      </c>
    </row>
    <row r="18" spans="1:6" ht="20.25" customHeight="1" x14ac:dyDescent="0.3">
      <c r="A18" s="256">
        <v>5</v>
      </c>
      <c r="B18" s="257" t="s">
        <v>381</v>
      </c>
      <c r="C18" s="260">
        <v>9</v>
      </c>
      <c r="D18" s="260">
        <v>9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62</v>
      </c>
      <c r="D19" s="260">
        <v>71</v>
      </c>
      <c r="E19" s="260">
        <f t="shared" si="0"/>
        <v>9</v>
      </c>
      <c r="F19" s="259">
        <f t="shared" si="1"/>
        <v>0.14516129032258066</v>
      </c>
    </row>
    <row r="20" spans="1:6" ht="20.25" customHeight="1" x14ac:dyDescent="0.3">
      <c r="A20" s="256">
        <v>7</v>
      </c>
      <c r="B20" s="257" t="s">
        <v>445</v>
      </c>
      <c r="C20" s="260">
        <v>179</v>
      </c>
      <c r="D20" s="260">
        <v>141</v>
      </c>
      <c r="E20" s="260">
        <f t="shared" si="0"/>
        <v>-38</v>
      </c>
      <c r="F20" s="259">
        <f t="shared" si="1"/>
        <v>-0.21229050279329609</v>
      </c>
    </row>
    <row r="21" spans="1:6" ht="20.25" customHeight="1" x14ac:dyDescent="0.3">
      <c r="A21" s="256">
        <v>8</v>
      </c>
      <c r="B21" s="257" t="s">
        <v>446</v>
      </c>
      <c r="C21" s="260">
        <v>2</v>
      </c>
      <c r="D21" s="260">
        <v>4</v>
      </c>
      <c r="E21" s="260">
        <f t="shared" si="0"/>
        <v>2</v>
      </c>
      <c r="F21" s="259">
        <f t="shared" si="1"/>
        <v>1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6</v>
      </c>
      <c r="E22" s="260">
        <f t="shared" si="0"/>
        <v>6</v>
      </c>
      <c r="F22" s="259">
        <f t="shared" si="1"/>
        <v>0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389878</v>
      </c>
      <c r="D23" s="263">
        <f>+D14+D16</f>
        <v>602749</v>
      </c>
      <c r="E23" s="263">
        <f t="shared" si="0"/>
        <v>212871</v>
      </c>
      <c r="F23" s="264">
        <f t="shared" si="1"/>
        <v>0.54599387500705354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85352</v>
      </c>
      <c r="D24" s="263">
        <f>+D15+D17</f>
        <v>161082</v>
      </c>
      <c r="E24" s="263">
        <f t="shared" si="0"/>
        <v>75730</v>
      </c>
      <c r="F24" s="264">
        <f t="shared" si="1"/>
        <v>0.88726684787702692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665303</v>
      </c>
      <c r="D40" s="258">
        <v>370850</v>
      </c>
      <c r="E40" s="258">
        <f t="shared" ref="E40:E50" si="4">D40-C40</f>
        <v>-294453</v>
      </c>
      <c r="F40" s="259">
        <f t="shared" ref="F40:F50" si="5">IF(C40=0,0,E40/C40)</f>
        <v>-0.442584807223175</v>
      </c>
    </row>
    <row r="41" spans="1:6" ht="20.25" customHeight="1" x14ac:dyDescent="0.3">
      <c r="A41" s="256">
        <v>2</v>
      </c>
      <c r="B41" s="257" t="s">
        <v>442</v>
      </c>
      <c r="C41" s="258">
        <v>259022</v>
      </c>
      <c r="D41" s="258">
        <v>161457</v>
      </c>
      <c r="E41" s="258">
        <f t="shared" si="4"/>
        <v>-97565</v>
      </c>
      <c r="F41" s="259">
        <f t="shared" si="5"/>
        <v>-0.37666684683154328</v>
      </c>
    </row>
    <row r="42" spans="1:6" ht="20.25" customHeight="1" x14ac:dyDescent="0.3">
      <c r="A42" s="256">
        <v>3</v>
      </c>
      <c r="B42" s="257" t="s">
        <v>443</v>
      </c>
      <c r="C42" s="258">
        <v>581173</v>
      </c>
      <c r="D42" s="258">
        <v>768822</v>
      </c>
      <c r="E42" s="258">
        <f t="shared" si="4"/>
        <v>187649</v>
      </c>
      <c r="F42" s="259">
        <f t="shared" si="5"/>
        <v>0.32287976213623137</v>
      </c>
    </row>
    <row r="43" spans="1:6" ht="20.25" customHeight="1" x14ac:dyDescent="0.3">
      <c r="A43" s="256">
        <v>4</v>
      </c>
      <c r="B43" s="257" t="s">
        <v>444</v>
      </c>
      <c r="C43" s="258">
        <v>114567</v>
      </c>
      <c r="D43" s="258">
        <v>157172</v>
      </c>
      <c r="E43" s="258">
        <f t="shared" si="4"/>
        <v>42605</v>
      </c>
      <c r="F43" s="259">
        <f t="shared" si="5"/>
        <v>0.37187846413015962</v>
      </c>
    </row>
    <row r="44" spans="1:6" ht="20.25" customHeight="1" x14ac:dyDescent="0.3">
      <c r="A44" s="256">
        <v>5</v>
      </c>
      <c r="B44" s="257" t="s">
        <v>381</v>
      </c>
      <c r="C44" s="260">
        <v>22</v>
      </c>
      <c r="D44" s="260">
        <v>17</v>
      </c>
      <c r="E44" s="260">
        <f t="shared" si="4"/>
        <v>-5</v>
      </c>
      <c r="F44" s="259">
        <f t="shared" si="5"/>
        <v>-0.22727272727272727</v>
      </c>
    </row>
    <row r="45" spans="1:6" ht="20.25" customHeight="1" x14ac:dyDescent="0.3">
      <c r="A45" s="256">
        <v>6</v>
      </c>
      <c r="B45" s="257" t="s">
        <v>380</v>
      </c>
      <c r="C45" s="260">
        <v>159</v>
      </c>
      <c r="D45" s="260">
        <v>95</v>
      </c>
      <c r="E45" s="260">
        <f t="shared" si="4"/>
        <v>-64</v>
      </c>
      <c r="F45" s="259">
        <f t="shared" si="5"/>
        <v>-0.40251572327044027</v>
      </c>
    </row>
    <row r="46" spans="1:6" ht="20.25" customHeight="1" x14ac:dyDescent="0.3">
      <c r="A46" s="256">
        <v>7</v>
      </c>
      <c r="B46" s="257" t="s">
        <v>445</v>
      </c>
      <c r="C46" s="260">
        <v>624</v>
      </c>
      <c r="D46" s="260">
        <v>652</v>
      </c>
      <c r="E46" s="260">
        <f t="shared" si="4"/>
        <v>28</v>
      </c>
      <c r="F46" s="259">
        <f t="shared" si="5"/>
        <v>4.4871794871794872E-2</v>
      </c>
    </row>
    <row r="47" spans="1:6" ht="20.25" customHeight="1" x14ac:dyDescent="0.3">
      <c r="A47" s="256">
        <v>8</v>
      </c>
      <c r="B47" s="257" t="s">
        <v>446</v>
      </c>
      <c r="C47" s="260">
        <v>9</v>
      </c>
      <c r="D47" s="260">
        <v>37</v>
      </c>
      <c r="E47" s="260">
        <f t="shared" si="4"/>
        <v>28</v>
      </c>
      <c r="F47" s="259">
        <f t="shared" si="5"/>
        <v>3.1111111111111112</v>
      </c>
    </row>
    <row r="48" spans="1:6" ht="20.25" customHeight="1" x14ac:dyDescent="0.3">
      <c r="A48" s="256">
        <v>9</v>
      </c>
      <c r="B48" s="257" t="s">
        <v>447</v>
      </c>
      <c r="C48" s="260">
        <v>0</v>
      </c>
      <c r="D48" s="260">
        <v>9</v>
      </c>
      <c r="E48" s="260">
        <f t="shared" si="4"/>
        <v>9</v>
      </c>
      <c r="F48" s="259">
        <f t="shared" si="5"/>
        <v>0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1246476</v>
      </c>
      <c r="D49" s="263">
        <f>+D40+D42</f>
        <v>1139672</v>
      </c>
      <c r="E49" s="263">
        <f t="shared" si="4"/>
        <v>-106804</v>
      </c>
      <c r="F49" s="264">
        <f t="shared" si="5"/>
        <v>-8.5684762482390361E-2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373589</v>
      </c>
      <c r="D50" s="263">
        <f>+D41+D43</f>
        <v>318629</v>
      </c>
      <c r="E50" s="263">
        <f t="shared" si="4"/>
        <v>-54960</v>
      </c>
      <c r="F50" s="264">
        <f t="shared" si="5"/>
        <v>-0.14711353921020159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401496</v>
      </c>
      <c r="D66" s="258">
        <v>354536</v>
      </c>
      <c r="E66" s="258">
        <f t="shared" ref="E66:E76" si="8">D66-C66</f>
        <v>-46960</v>
      </c>
      <c r="F66" s="259">
        <f t="shared" ref="F66:F76" si="9">IF(C66=0,0,E66/C66)</f>
        <v>-0.11696256002550462</v>
      </c>
    </row>
    <row r="67" spans="1:6" ht="20.25" customHeight="1" x14ac:dyDescent="0.3">
      <c r="A67" s="256">
        <v>2</v>
      </c>
      <c r="B67" s="257" t="s">
        <v>442</v>
      </c>
      <c r="C67" s="258">
        <v>163229</v>
      </c>
      <c r="D67" s="258">
        <v>186362</v>
      </c>
      <c r="E67" s="258">
        <f t="shared" si="8"/>
        <v>23133</v>
      </c>
      <c r="F67" s="259">
        <f t="shared" si="9"/>
        <v>0.14172114023856056</v>
      </c>
    </row>
    <row r="68" spans="1:6" ht="20.25" customHeight="1" x14ac:dyDescent="0.3">
      <c r="A68" s="256">
        <v>3</v>
      </c>
      <c r="B68" s="257" t="s">
        <v>443</v>
      </c>
      <c r="C68" s="258">
        <v>238234</v>
      </c>
      <c r="D68" s="258">
        <v>331265</v>
      </c>
      <c r="E68" s="258">
        <f t="shared" si="8"/>
        <v>93031</v>
      </c>
      <c r="F68" s="259">
        <f t="shared" si="9"/>
        <v>0.39050261507593376</v>
      </c>
    </row>
    <row r="69" spans="1:6" ht="20.25" customHeight="1" x14ac:dyDescent="0.3">
      <c r="A69" s="256">
        <v>4</v>
      </c>
      <c r="B69" s="257" t="s">
        <v>444</v>
      </c>
      <c r="C69" s="258">
        <v>43924</v>
      </c>
      <c r="D69" s="258">
        <v>62458</v>
      </c>
      <c r="E69" s="258">
        <f t="shared" si="8"/>
        <v>18534</v>
      </c>
      <c r="F69" s="259">
        <f t="shared" si="9"/>
        <v>0.42195610600127492</v>
      </c>
    </row>
    <row r="70" spans="1:6" ht="20.25" customHeight="1" x14ac:dyDescent="0.3">
      <c r="A70" s="256">
        <v>5</v>
      </c>
      <c r="B70" s="257" t="s">
        <v>381</v>
      </c>
      <c r="C70" s="260">
        <v>17</v>
      </c>
      <c r="D70" s="260">
        <v>15</v>
      </c>
      <c r="E70" s="260">
        <f t="shared" si="8"/>
        <v>-2</v>
      </c>
      <c r="F70" s="259">
        <f t="shared" si="9"/>
        <v>-0.11764705882352941</v>
      </c>
    </row>
    <row r="71" spans="1:6" ht="20.25" customHeight="1" x14ac:dyDescent="0.3">
      <c r="A71" s="256">
        <v>6</v>
      </c>
      <c r="B71" s="257" t="s">
        <v>380</v>
      </c>
      <c r="C71" s="260">
        <v>102</v>
      </c>
      <c r="D71" s="260">
        <v>75</v>
      </c>
      <c r="E71" s="260">
        <f t="shared" si="8"/>
        <v>-27</v>
      </c>
      <c r="F71" s="259">
        <f t="shared" si="9"/>
        <v>-0.26470588235294118</v>
      </c>
    </row>
    <row r="72" spans="1:6" ht="20.25" customHeight="1" x14ac:dyDescent="0.3">
      <c r="A72" s="256">
        <v>7</v>
      </c>
      <c r="B72" s="257" t="s">
        <v>445</v>
      </c>
      <c r="C72" s="260">
        <v>210</v>
      </c>
      <c r="D72" s="260">
        <v>243</v>
      </c>
      <c r="E72" s="260">
        <f t="shared" si="8"/>
        <v>33</v>
      </c>
      <c r="F72" s="259">
        <f t="shared" si="9"/>
        <v>0.15714285714285714</v>
      </c>
    </row>
    <row r="73" spans="1:6" ht="20.25" customHeight="1" x14ac:dyDescent="0.3">
      <c r="A73" s="256">
        <v>8</v>
      </c>
      <c r="B73" s="257" t="s">
        <v>446</v>
      </c>
      <c r="C73" s="260">
        <v>5</v>
      </c>
      <c r="D73" s="260">
        <v>50</v>
      </c>
      <c r="E73" s="260">
        <f t="shared" si="8"/>
        <v>45</v>
      </c>
      <c r="F73" s="259">
        <f t="shared" si="9"/>
        <v>9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13</v>
      </c>
      <c r="E74" s="260">
        <f t="shared" si="8"/>
        <v>13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639730</v>
      </c>
      <c r="D75" s="263">
        <f>+D66+D68</f>
        <v>685801</v>
      </c>
      <c r="E75" s="263">
        <f t="shared" si="8"/>
        <v>46071</v>
      </c>
      <c r="F75" s="264">
        <f t="shared" si="9"/>
        <v>7.2016319384740443E-2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207153</v>
      </c>
      <c r="D76" s="263">
        <f>+D67+D69</f>
        <v>248820</v>
      </c>
      <c r="E76" s="263">
        <f t="shared" si="8"/>
        <v>41667</v>
      </c>
      <c r="F76" s="264">
        <f t="shared" si="9"/>
        <v>0.20114118550057203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9819</v>
      </c>
      <c r="D81" s="258">
        <v>656</v>
      </c>
      <c r="E81" s="258">
        <f t="shared" si="10"/>
        <v>-9163</v>
      </c>
      <c r="F81" s="259">
        <f t="shared" si="11"/>
        <v>-0.93319075262246665</v>
      </c>
    </row>
    <row r="82" spans="1:6" ht="20.25" customHeight="1" x14ac:dyDescent="0.3">
      <c r="A82" s="256">
        <v>4</v>
      </c>
      <c r="B82" s="257" t="s">
        <v>444</v>
      </c>
      <c r="C82" s="258">
        <v>3429</v>
      </c>
      <c r="D82" s="258">
        <v>0</v>
      </c>
      <c r="E82" s="258">
        <f t="shared" si="10"/>
        <v>-3429</v>
      </c>
      <c r="F82" s="259">
        <f t="shared" si="11"/>
        <v>-1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14</v>
      </c>
      <c r="D85" s="260">
        <v>1</v>
      </c>
      <c r="E85" s="260">
        <f t="shared" si="10"/>
        <v>-13</v>
      </c>
      <c r="F85" s="259">
        <f t="shared" si="11"/>
        <v>-0.9285714285714286</v>
      </c>
    </row>
    <row r="86" spans="1:6" ht="20.25" customHeight="1" x14ac:dyDescent="0.3">
      <c r="A86" s="256">
        <v>8</v>
      </c>
      <c r="B86" s="257" t="s">
        <v>446</v>
      </c>
      <c r="C86" s="260">
        <v>1</v>
      </c>
      <c r="D86" s="260">
        <v>1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9819</v>
      </c>
      <c r="D88" s="263">
        <f>+D79+D81</f>
        <v>656</v>
      </c>
      <c r="E88" s="263">
        <f t="shared" si="10"/>
        <v>-9163</v>
      </c>
      <c r="F88" s="264">
        <f t="shared" si="11"/>
        <v>-0.93319075262246665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3429</v>
      </c>
      <c r="D89" s="263">
        <f>+D80+D82</f>
        <v>0</v>
      </c>
      <c r="E89" s="263">
        <f t="shared" si="10"/>
        <v>-3429</v>
      </c>
      <c r="F89" s="264">
        <f t="shared" si="11"/>
        <v>-1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136160</v>
      </c>
      <c r="D105" s="258">
        <v>101566</v>
      </c>
      <c r="E105" s="258">
        <f t="shared" ref="E105:E115" si="14">D105-C105</f>
        <v>-34594</v>
      </c>
      <c r="F105" s="259">
        <f t="shared" ref="F105:F115" si="15">IF(C105=0,0,E105/C105)</f>
        <v>-0.25406874265569918</v>
      </c>
    </row>
    <row r="106" spans="1:6" ht="20.25" customHeight="1" x14ac:dyDescent="0.3">
      <c r="A106" s="256">
        <v>2</v>
      </c>
      <c r="B106" s="257" t="s">
        <v>442</v>
      </c>
      <c r="C106" s="258">
        <v>64317</v>
      </c>
      <c r="D106" s="258">
        <v>21762</v>
      </c>
      <c r="E106" s="258">
        <f t="shared" si="14"/>
        <v>-42555</v>
      </c>
      <c r="F106" s="259">
        <f t="shared" si="15"/>
        <v>-0.66164466626241891</v>
      </c>
    </row>
    <row r="107" spans="1:6" ht="20.25" customHeight="1" x14ac:dyDescent="0.3">
      <c r="A107" s="256">
        <v>3</v>
      </c>
      <c r="B107" s="257" t="s">
        <v>443</v>
      </c>
      <c r="C107" s="258">
        <v>88294</v>
      </c>
      <c r="D107" s="258">
        <v>15246</v>
      </c>
      <c r="E107" s="258">
        <f t="shared" si="14"/>
        <v>-73048</v>
      </c>
      <c r="F107" s="259">
        <f t="shared" si="15"/>
        <v>-0.82732688517906083</v>
      </c>
    </row>
    <row r="108" spans="1:6" ht="20.25" customHeight="1" x14ac:dyDescent="0.3">
      <c r="A108" s="256">
        <v>4</v>
      </c>
      <c r="B108" s="257" t="s">
        <v>444</v>
      </c>
      <c r="C108" s="258">
        <v>14895</v>
      </c>
      <c r="D108" s="258">
        <v>2581</v>
      </c>
      <c r="E108" s="258">
        <f t="shared" si="14"/>
        <v>-12314</v>
      </c>
      <c r="F108" s="259">
        <f t="shared" si="15"/>
        <v>-0.82672037596508896</v>
      </c>
    </row>
    <row r="109" spans="1:6" ht="20.25" customHeight="1" x14ac:dyDescent="0.3">
      <c r="A109" s="256">
        <v>5</v>
      </c>
      <c r="B109" s="257" t="s">
        <v>381</v>
      </c>
      <c r="C109" s="260">
        <v>7</v>
      </c>
      <c r="D109" s="260">
        <v>3</v>
      </c>
      <c r="E109" s="260">
        <f t="shared" si="14"/>
        <v>-4</v>
      </c>
      <c r="F109" s="259">
        <f t="shared" si="15"/>
        <v>-0.5714285714285714</v>
      </c>
    </row>
    <row r="110" spans="1:6" ht="20.25" customHeight="1" x14ac:dyDescent="0.3">
      <c r="A110" s="256">
        <v>6</v>
      </c>
      <c r="B110" s="257" t="s">
        <v>380</v>
      </c>
      <c r="C110" s="260">
        <v>38</v>
      </c>
      <c r="D110" s="260">
        <v>28</v>
      </c>
      <c r="E110" s="260">
        <f t="shared" si="14"/>
        <v>-10</v>
      </c>
      <c r="F110" s="259">
        <f t="shared" si="15"/>
        <v>-0.26315789473684209</v>
      </c>
    </row>
    <row r="111" spans="1:6" ht="20.25" customHeight="1" x14ac:dyDescent="0.3">
      <c r="A111" s="256">
        <v>7</v>
      </c>
      <c r="B111" s="257" t="s">
        <v>445</v>
      </c>
      <c r="C111" s="260">
        <v>67</v>
      </c>
      <c r="D111" s="260">
        <v>4</v>
      </c>
      <c r="E111" s="260">
        <f t="shared" si="14"/>
        <v>-63</v>
      </c>
      <c r="F111" s="259">
        <f t="shared" si="15"/>
        <v>-0.94029850746268662</v>
      </c>
    </row>
    <row r="112" spans="1:6" ht="20.25" customHeight="1" x14ac:dyDescent="0.3">
      <c r="A112" s="256">
        <v>8</v>
      </c>
      <c r="B112" s="257" t="s">
        <v>446</v>
      </c>
      <c r="C112" s="260">
        <v>4</v>
      </c>
      <c r="D112" s="260">
        <v>5</v>
      </c>
      <c r="E112" s="260">
        <f t="shared" si="14"/>
        <v>1</v>
      </c>
      <c r="F112" s="259">
        <f t="shared" si="15"/>
        <v>0.25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1</v>
      </c>
      <c r="E113" s="260">
        <f t="shared" si="14"/>
        <v>1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224454</v>
      </c>
      <c r="D114" s="263">
        <f>+D105+D107</f>
        <v>116812</v>
      </c>
      <c r="E114" s="263">
        <f t="shared" si="14"/>
        <v>-107642</v>
      </c>
      <c r="F114" s="264">
        <f t="shared" si="15"/>
        <v>-0.47957265185739617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79212</v>
      </c>
      <c r="D115" s="263">
        <f>+D106+D108</f>
        <v>24343</v>
      </c>
      <c r="E115" s="263">
        <f t="shared" si="14"/>
        <v>-54869</v>
      </c>
      <c r="F115" s="264">
        <f t="shared" si="15"/>
        <v>-0.69268545169923745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752568</v>
      </c>
      <c r="D118" s="258">
        <v>697664</v>
      </c>
      <c r="E118" s="258">
        <f t="shared" ref="E118:E128" si="16">D118-C118</f>
        <v>-54904</v>
      </c>
      <c r="F118" s="259">
        <f t="shared" ref="F118:F128" si="17">IF(C118=0,0,E118/C118)</f>
        <v>-7.2955533586333721E-2</v>
      </c>
    </row>
    <row r="119" spans="1:6" ht="20.25" customHeight="1" x14ac:dyDescent="0.3">
      <c r="A119" s="256">
        <v>2</v>
      </c>
      <c r="B119" s="257" t="s">
        <v>442</v>
      </c>
      <c r="C119" s="258">
        <v>296703</v>
      </c>
      <c r="D119" s="258">
        <v>220297</v>
      </c>
      <c r="E119" s="258">
        <f t="shared" si="16"/>
        <v>-76406</v>
      </c>
      <c r="F119" s="259">
        <f t="shared" si="17"/>
        <v>-0.25751677603529455</v>
      </c>
    </row>
    <row r="120" spans="1:6" ht="20.25" customHeight="1" x14ac:dyDescent="0.3">
      <c r="A120" s="256">
        <v>3</v>
      </c>
      <c r="B120" s="257" t="s">
        <v>443</v>
      </c>
      <c r="C120" s="258">
        <v>670740</v>
      </c>
      <c r="D120" s="258">
        <v>529736</v>
      </c>
      <c r="E120" s="258">
        <f t="shared" si="16"/>
        <v>-141004</v>
      </c>
      <c r="F120" s="259">
        <f t="shared" si="17"/>
        <v>-0.21022154635179055</v>
      </c>
    </row>
    <row r="121" spans="1:6" ht="20.25" customHeight="1" x14ac:dyDescent="0.3">
      <c r="A121" s="256">
        <v>4</v>
      </c>
      <c r="B121" s="257" t="s">
        <v>444</v>
      </c>
      <c r="C121" s="258">
        <v>135305</v>
      </c>
      <c r="D121" s="258">
        <v>105695</v>
      </c>
      <c r="E121" s="258">
        <f t="shared" si="16"/>
        <v>-29610</v>
      </c>
      <c r="F121" s="259">
        <f t="shared" si="17"/>
        <v>-0.21883891947821588</v>
      </c>
    </row>
    <row r="122" spans="1:6" ht="20.25" customHeight="1" x14ac:dyDescent="0.3">
      <c r="A122" s="256">
        <v>5</v>
      </c>
      <c r="B122" s="257" t="s">
        <v>381</v>
      </c>
      <c r="C122" s="260">
        <v>25</v>
      </c>
      <c r="D122" s="260">
        <v>24</v>
      </c>
      <c r="E122" s="260">
        <f t="shared" si="16"/>
        <v>-1</v>
      </c>
      <c r="F122" s="259">
        <f t="shared" si="17"/>
        <v>-0.04</v>
      </c>
    </row>
    <row r="123" spans="1:6" ht="20.25" customHeight="1" x14ac:dyDescent="0.3">
      <c r="A123" s="256">
        <v>6</v>
      </c>
      <c r="B123" s="257" t="s">
        <v>380</v>
      </c>
      <c r="C123" s="260">
        <v>130</v>
      </c>
      <c r="D123" s="260">
        <v>139</v>
      </c>
      <c r="E123" s="260">
        <f t="shared" si="16"/>
        <v>9</v>
      </c>
      <c r="F123" s="259">
        <f t="shared" si="17"/>
        <v>6.9230769230769235E-2</v>
      </c>
    </row>
    <row r="124" spans="1:6" ht="20.25" customHeight="1" x14ac:dyDescent="0.3">
      <c r="A124" s="256">
        <v>7</v>
      </c>
      <c r="B124" s="257" t="s">
        <v>445</v>
      </c>
      <c r="C124" s="260">
        <v>589</v>
      </c>
      <c r="D124" s="260">
        <v>556</v>
      </c>
      <c r="E124" s="260">
        <f t="shared" si="16"/>
        <v>-33</v>
      </c>
      <c r="F124" s="259">
        <f t="shared" si="17"/>
        <v>-5.6027164685908321E-2</v>
      </c>
    </row>
    <row r="125" spans="1:6" ht="20.25" customHeight="1" x14ac:dyDescent="0.3">
      <c r="A125" s="256">
        <v>8</v>
      </c>
      <c r="B125" s="257" t="s">
        <v>446</v>
      </c>
      <c r="C125" s="260">
        <v>8</v>
      </c>
      <c r="D125" s="260">
        <v>39</v>
      </c>
      <c r="E125" s="260">
        <f t="shared" si="16"/>
        <v>31</v>
      </c>
      <c r="F125" s="259">
        <f t="shared" si="17"/>
        <v>3.875</v>
      </c>
    </row>
    <row r="126" spans="1:6" ht="20.25" customHeight="1" x14ac:dyDescent="0.3">
      <c r="A126" s="256">
        <v>9</v>
      </c>
      <c r="B126" s="257" t="s">
        <v>447</v>
      </c>
      <c r="C126" s="260">
        <v>0</v>
      </c>
      <c r="D126" s="260">
        <v>16</v>
      </c>
      <c r="E126" s="260">
        <f t="shared" si="16"/>
        <v>16</v>
      </c>
      <c r="F126" s="259">
        <f t="shared" si="17"/>
        <v>0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1423308</v>
      </c>
      <c r="D127" s="263">
        <f>+D118+D120</f>
        <v>1227400</v>
      </c>
      <c r="E127" s="263">
        <f t="shared" si="16"/>
        <v>-195908</v>
      </c>
      <c r="F127" s="264">
        <f t="shared" si="17"/>
        <v>-0.13764273087764559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432008</v>
      </c>
      <c r="D128" s="263">
        <f>+D119+D121</f>
        <v>325992</v>
      </c>
      <c r="E128" s="263">
        <f t="shared" si="16"/>
        <v>-106016</v>
      </c>
      <c r="F128" s="264">
        <f t="shared" si="17"/>
        <v>-0.24540286290994612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472</v>
      </c>
      <c r="D133" s="258">
        <v>2288</v>
      </c>
      <c r="E133" s="258">
        <f t="shared" si="18"/>
        <v>1816</v>
      </c>
      <c r="F133" s="259">
        <f t="shared" si="19"/>
        <v>3.847457627118644</v>
      </c>
    </row>
    <row r="134" spans="1:6" ht="20.25" customHeight="1" x14ac:dyDescent="0.3">
      <c r="A134" s="256">
        <v>4</v>
      </c>
      <c r="B134" s="257" t="s">
        <v>444</v>
      </c>
      <c r="C134" s="258">
        <v>121</v>
      </c>
      <c r="D134" s="258">
        <v>397</v>
      </c>
      <c r="E134" s="258">
        <f t="shared" si="18"/>
        <v>276</v>
      </c>
      <c r="F134" s="259">
        <f t="shared" si="19"/>
        <v>2.28099173553719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1</v>
      </c>
      <c r="D137" s="260">
        <v>0</v>
      </c>
      <c r="E137" s="260">
        <f t="shared" si="18"/>
        <v>-1</v>
      </c>
      <c r="F137" s="259">
        <f t="shared" si="19"/>
        <v>-1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1</v>
      </c>
      <c r="E138" s="260">
        <f t="shared" si="18"/>
        <v>1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472</v>
      </c>
      <c r="D140" s="263">
        <f>+D131+D133</f>
        <v>2288</v>
      </c>
      <c r="E140" s="263">
        <f t="shared" si="18"/>
        <v>1816</v>
      </c>
      <c r="F140" s="264">
        <f t="shared" si="19"/>
        <v>3.847457627118644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121</v>
      </c>
      <c r="D141" s="263">
        <f>+D132+D134</f>
        <v>397</v>
      </c>
      <c r="E141" s="263">
        <f t="shared" si="18"/>
        <v>276</v>
      </c>
      <c r="F141" s="264">
        <f t="shared" si="19"/>
        <v>2.28099173553719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1420293</v>
      </c>
      <c r="D183" s="258">
        <v>1593077</v>
      </c>
      <c r="E183" s="258">
        <f t="shared" ref="E183:E193" si="26">D183-C183</f>
        <v>172784</v>
      </c>
      <c r="F183" s="259">
        <f t="shared" ref="F183:F193" si="27">IF(C183=0,0,E183/C183)</f>
        <v>0.12165377144011834</v>
      </c>
    </row>
    <row r="184" spans="1:6" ht="20.25" customHeight="1" x14ac:dyDescent="0.3">
      <c r="A184" s="256">
        <v>2</v>
      </c>
      <c r="B184" s="257" t="s">
        <v>442</v>
      </c>
      <c r="C184" s="258">
        <v>521443</v>
      </c>
      <c r="D184" s="258">
        <v>563936</v>
      </c>
      <c r="E184" s="258">
        <f t="shared" si="26"/>
        <v>42493</v>
      </c>
      <c r="F184" s="259">
        <f t="shared" si="27"/>
        <v>8.1491169696400176E-2</v>
      </c>
    </row>
    <row r="185" spans="1:6" ht="20.25" customHeight="1" x14ac:dyDescent="0.3">
      <c r="A185" s="256">
        <v>3</v>
      </c>
      <c r="B185" s="257" t="s">
        <v>443</v>
      </c>
      <c r="C185" s="258">
        <v>904156</v>
      </c>
      <c r="D185" s="258">
        <v>1242737</v>
      </c>
      <c r="E185" s="258">
        <f t="shared" si="26"/>
        <v>338581</v>
      </c>
      <c r="F185" s="259">
        <f t="shared" si="27"/>
        <v>0.37447188317060331</v>
      </c>
    </row>
    <row r="186" spans="1:6" ht="20.25" customHeight="1" x14ac:dyDescent="0.3">
      <c r="A186" s="256">
        <v>4</v>
      </c>
      <c r="B186" s="257" t="s">
        <v>444</v>
      </c>
      <c r="C186" s="258">
        <v>215012</v>
      </c>
      <c r="D186" s="258">
        <v>239101</v>
      </c>
      <c r="E186" s="258">
        <f t="shared" si="26"/>
        <v>24089</v>
      </c>
      <c r="F186" s="259">
        <f t="shared" si="27"/>
        <v>0.11203560731494056</v>
      </c>
    </row>
    <row r="187" spans="1:6" ht="20.25" customHeight="1" x14ac:dyDescent="0.3">
      <c r="A187" s="256">
        <v>5</v>
      </c>
      <c r="B187" s="257" t="s">
        <v>381</v>
      </c>
      <c r="C187" s="260">
        <v>53</v>
      </c>
      <c r="D187" s="260">
        <v>63</v>
      </c>
      <c r="E187" s="260">
        <f t="shared" si="26"/>
        <v>10</v>
      </c>
      <c r="F187" s="259">
        <f t="shared" si="27"/>
        <v>0.18867924528301888</v>
      </c>
    </row>
    <row r="188" spans="1:6" ht="20.25" customHeight="1" x14ac:dyDescent="0.3">
      <c r="A188" s="256">
        <v>6</v>
      </c>
      <c r="B188" s="257" t="s">
        <v>380</v>
      </c>
      <c r="C188" s="260">
        <v>345</v>
      </c>
      <c r="D188" s="260">
        <v>421</v>
      </c>
      <c r="E188" s="260">
        <f t="shared" si="26"/>
        <v>76</v>
      </c>
      <c r="F188" s="259">
        <f t="shared" si="27"/>
        <v>0.22028985507246376</v>
      </c>
    </row>
    <row r="189" spans="1:6" ht="20.25" customHeight="1" x14ac:dyDescent="0.3">
      <c r="A189" s="256">
        <v>7</v>
      </c>
      <c r="B189" s="257" t="s">
        <v>445</v>
      </c>
      <c r="C189" s="260">
        <v>574</v>
      </c>
      <c r="D189" s="260">
        <v>959</v>
      </c>
      <c r="E189" s="260">
        <f t="shared" si="26"/>
        <v>385</v>
      </c>
      <c r="F189" s="259">
        <f t="shared" si="27"/>
        <v>0.67073170731707321</v>
      </c>
    </row>
    <row r="190" spans="1:6" ht="20.25" customHeight="1" x14ac:dyDescent="0.3">
      <c r="A190" s="256">
        <v>8</v>
      </c>
      <c r="B190" s="257" t="s">
        <v>446</v>
      </c>
      <c r="C190" s="260">
        <v>243</v>
      </c>
      <c r="D190" s="260">
        <v>130</v>
      </c>
      <c r="E190" s="260">
        <f t="shared" si="26"/>
        <v>-113</v>
      </c>
      <c r="F190" s="259">
        <f t="shared" si="27"/>
        <v>-0.46502057613168724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39</v>
      </c>
      <c r="E191" s="260">
        <f t="shared" si="26"/>
        <v>39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2324449</v>
      </c>
      <c r="D192" s="263">
        <f>+D183+D185</f>
        <v>2835814</v>
      </c>
      <c r="E192" s="263">
        <f t="shared" si="26"/>
        <v>511365</v>
      </c>
      <c r="F192" s="264">
        <f t="shared" si="27"/>
        <v>0.21999407171333937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736455</v>
      </c>
      <c r="D193" s="263">
        <f>+D184+D186</f>
        <v>803037</v>
      </c>
      <c r="E193" s="263">
        <f t="shared" si="26"/>
        <v>66582</v>
      </c>
      <c r="F193" s="264">
        <f t="shared" si="27"/>
        <v>9.0408782614009003E-2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0" t="s">
        <v>44</v>
      </c>
      <c r="B195" s="801" t="s">
        <v>464</v>
      </c>
      <c r="C195" s="803"/>
      <c r="D195" s="804"/>
      <c r="E195" s="804"/>
      <c r="F195" s="805"/>
      <c r="G195" s="806"/>
      <c r="H195" s="806"/>
      <c r="I195" s="806"/>
    </row>
    <row r="196" spans="1:9" ht="20.25" customHeight="1" x14ac:dyDescent="0.3">
      <c r="A196" s="791"/>
      <c r="B196" s="802"/>
      <c r="C196" s="797"/>
      <c r="D196" s="798"/>
      <c r="E196" s="798"/>
      <c r="F196" s="799"/>
      <c r="G196" s="806"/>
      <c r="H196" s="806"/>
      <c r="I196" s="80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3605276</v>
      </c>
      <c r="D198" s="263">
        <f t="shared" si="28"/>
        <v>3558785</v>
      </c>
      <c r="E198" s="263">
        <f t="shared" ref="E198:E208" si="29">D198-C198</f>
        <v>-46491</v>
      </c>
      <c r="F198" s="273">
        <f t="shared" ref="F198:F208" si="30">IF(C198=0,0,E198/C198)</f>
        <v>-1.2895267935103998E-2</v>
      </c>
    </row>
    <row r="199" spans="1:9" ht="20.25" customHeight="1" x14ac:dyDescent="0.3">
      <c r="A199" s="271"/>
      <c r="B199" s="272" t="s">
        <v>466</v>
      </c>
      <c r="C199" s="263">
        <f t="shared" si="28"/>
        <v>1352239</v>
      </c>
      <c r="D199" s="263">
        <f t="shared" si="28"/>
        <v>1276830</v>
      </c>
      <c r="E199" s="263">
        <f t="shared" si="29"/>
        <v>-75409</v>
      </c>
      <c r="F199" s="273">
        <f t="shared" si="30"/>
        <v>-5.5766029525845653E-2</v>
      </c>
    </row>
    <row r="200" spans="1:9" ht="20.25" customHeight="1" x14ac:dyDescent="0.3">
      <c r="A200" s="271"/>
      <c r="B200" s="272" t="s">
        <v>467</v>
      </c>
      <c r="C200" s="263">
        <f t="shared" si="28"/>
        <v>2653310</v>
      </c>
      <c r="D200" s="263">
        <f t="shared" si="28"/>
        <v>3052407</v>
      </c>
      <c r="E200" s="263">
        <f t="shared" si="29"/>
        <v>399097</v>
      </c>
      <c r="F200" s="273">
        <f t="shared" si="30"/>
        <v>0.15041476495396316</v>
      </c>
    </row>
    <row r="201" spans="1:9" ht="20.25" customHeight="1" x14ac:dyDescent="0.3">
      <c r="A201" s="271"/>
      <c r="B201" s="272" t="s">
        <v>468</v>
      </c>
      <c r="C201" s="263">
        <f t="shared" si="28"/>
        <v>565080</v>
      </c>
      <c r="D201" s="263">
        <f t="shared" si="28"/>
        <v>605470</v>
      </c>
      <c r="E201" s="263">
        <f t="shared" si="29"/>
        <v>40390</v>
      </c>
      <c r="F201" s="273">
        <f t="shared" si="30"/>
        <v>7.1476605082466199E-2</v>
      </c>
    </row>
    <row r="202" spans="1:9" ht="20.25" customHeight="1" x14ac:dyDescent="0.3">
      <c r="A202" s="271"/>
      <c r="B202" s="272" t="s">
        <v>138</v>
      </c>
      <c r="C202" s="274">
        <f t="shared" si="28"/>
        <v>133</v>
      </c>
      <c r="D202" s="274">
        <f t="shared" si="28"/>
        <v>131</v>
      </c>
      <c r="E202" s="274">
        <f t="shared" si="29"/>
        <v>-2</v>
      </c>
      <c r="F202" s="273">
        <f t="shared" si="30"/>
        <v>-1.5037593984962405E-2</v>
      </c>
    </row>
    <row r="203" spans="1:9" ht="20.25" customHeight="1" x14ac:dyDescent="0.3">
      <c r="A203" s="271"/>
      <c r="B203" s="272" t="s">
        <v>140</v>
      </c>
      <c r="C203" s="274">
        <f t="shared" si="28"/>
        <v>836</v>
      </c>
      <c r="D203" s="274">
        <f t="shared" si="28"/>
        <v>829</v>
      </c>
      <c r="E203" s="274">
        <f t="shared" si="29"/>
        <v>-7</v>
      </c>
      <c r="F203" s="273">
        <f t="shared" si="30"/>
        <v>-8.3732057416267946E-3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2258</v>
      </c>
      <c r="D204" s="274">
        <f t="shared" si="28"/>
        <v>2556</v>
      </c>
      <c r="E204" s="274">
        <f t="shared" si="29"/>
        <v>298</v>
      </c>
      <c r="F204" s="273">
        <f t="shared" si="30"/>
        <v>0.13197519929140833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272</v>
      </c>
      <c r="D205" s="274">
        <f t="shared" si="28"/>
        <v>267</v>
      </c>
      <c r="E205" s="274">
        <f t="shared" si="29"/>
        <v>-5</v>
      </c>
      <c r="F205" s="273">
        <f t="shared" si="30"/>
        <v>-1.8382352941176471E-2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0</v>
      </c>
      <c r="D206" s="274">
        <f t="shared" si="28"/>
        <v>84</v>
      </c>
      <c r="E206" s="274">
        <f t="shared" si="29"/>
        <v>84</v>
      </c>
      <c r="F206" s="273">
        <f t="shared" si="30"/>
        <v>0</v>
      </c>
    </row>
    <row r="207" spans="1:9" ht="20.25" customHeight="1" x14ac:dyDescent="0.3">
      <c r="A207" s="271"/>
      <c r="B207" s="262" t="s">
        <v>471</v>
      </c>
      <c r="C207" s="263">
        <f>+C198+C200</f>
        <v>6258586</v>
      </c>
      <c r="D207" s="263">
        <f>+D198+D200</f>
        <v>6611192</v>
      </c>
      <c r="E207" s="263">
        <f t="shared" si="29"/>
        <v>352606</v>
      </c>
      <c r="F207" s="273">
        <f t="shared" si="30"/>
        <v>5.6339562961985341E-2</v>
      </c>
    </row>
    <row r="208" spans="1:9" ht="20.25" customHeight="1" x14ac:dyDescent="0.3">
      <c r="A208" s="271"/>
      <c r="B208" s="262" t="s">
        <v>472</v>
      </c>
      <c r="C208" s="263">
        <f>+C199+C201</f>
        <v>1917319</v>
      </c>
      <c r="D208" s="263">
        <f>+D199+D201</f>
        <v>1882300</v>
      </c>
      <c r="E208" s="263">
        <f t="shared" si="29"/>
        <v>-35019</v>
      </c>
      <c r="F208" s="273">
        <f t="shared" si="30"/>
        <v>-1.8264566303259917E-2</v>
      </c>
    </row>
  </sheetData>
  <mergeCells count="12"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  <mergeCell ref="B10:B11"/>
    <mergeCell ref="C10:F11"/>
  </mergeCells>
  <pageMargins left="0.25" right="0.25" top="0.5" bottom="0.5" header="0.25" footer="0.25"/>
  <pageSetup scale="57" fitToHeight="0" orientation="portrait" horizontalDpi="1200" verticalDpi="1200" r:id="rId1"/>
  <headerFooter>
    <oddHeader>&amp;LOFFICE OF HEALTH CARE ACCESS&amp;CTWELVE MONTHS ACTUAL FILING&amp;RESSENT-SHARON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6" t="s">
        <v>0</v>
      </c>
      <c r="B2" s="786"/>
      <c r="C2" s="786"/>
      <c r="D2" s="786"/>
      <c r="E2" s="786"/>
      <c r="F2" s="786"/>
    </row>
    <row r="3" spans="1:7" ht="20.25" customHeight="1" x14ac:dyDescent="0.3">
      <c r="A3" s="786" t="s">
        <v>1</v>
      </c>
      <c r="B3" s="786"/>
      <c r="C3" s="786"/>
      <c r="D3" s="786"/>
      <c r="E3" s="786"/>
      <c r="F3" s="786"/>
    </row>
    <row r="4" spans="1:7" ht="20.25" customHeight="1" x14ac:dyDescent="0.3">
      <c r="A4" s="786" t="s">
        <v>314</v>
      </c>
      <c r="B4" s="786"/>
      <c r="C4" s="786"/>
      <c r="D4" s="786"/>
      <c r="E4" s="786"/>
      <c r="F4" s="786"/>
    </row>
    <row r="5" spans="1:7" ht="20.25" customHeight="1" x14ac:dyDescent="0.3">
      <c r="A5" s="786" t="s">
        <v>473</v>
      </c>
      <c r="B5" s="786"/>
      <c r="C5" s="786"/>
      <c r="D5" s="786"/>
      <c r="E5" s="786"/>
      <c r="F5" s="786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0" t="s">
        <v>12</v>
      </c>
      <c r="B10" s="801" t="s">
        <v>116</v>
      </c>
      <c r="C10" s="803"/>
      <c r="D10" s="804"/>
      <c r="E10" s="804"/>
      <c r="F10" s="805"/>
    </row>
    <row r="11" spans="1:7" ht="20.25" customHeight="1" x14ac:dyDescent="0.3">
      <c r="A11" s="791"/>
      <c r="B11" s="802"/>
      <c r="C11" s="797"/>
      <c r="D11" s="798"/>
      <c r="E11" s="798"/>
      <c r="F11" s="799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0" t="s">
        <v>44</v>
      </c>
      <c r="B109" s="801" t="s">
        <v>490</v>
      </c>
      <c r="C109" s="803"/>
      <c r="D109" s="804"/>
      <c r="E109" s="804"/>
      <c r="F109" s="805"/>
      <c r="G109" s="245"/>
    </row>
    <row r="110" spans="1:7" ht="20.25" customHeight="1" x14ac:dyDescent="0.3">
      <c r="A110" s="791"/>
      <c r="B110" s="802"/>
      <c r="C110" s="797"/>
      <c r="D110" s="798"/>
      <c r="E110" s="798"/>
      <c r="F110" s="799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scale="57" fitToHeight="0" orientation="portrait" horizontalDpi="1200" verticalDpi="1200" r:id="rId1"/>
  <headerFooter>
    <oddHeader>&amp;LOFFICE OF HEALTH CARE ACCESS&amp;CTWELVE MONTHS ACTUAL FILING&amp;RESSENT-SHARON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10465</v>
      </c>
      <c r="D13" s="22">
        <v>317130</v>
      </c>
      <c r="E13" s="22">
        <f t="shared" ref="E13:E22" si="0">D13-C13</f>
        <v>306665</v>
      </c>
      <c r="F13" s="306">
        <f t="shared" ref="F13:F22" si="1">IF(C13=0,0,E13/C13)</f>
        <v>29.303870043000479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6904941</v>
      </c>
      <c r="D15" s="22">
        <v>6658799</v>
      </c>
      <c r="E15" s="22">
        <f t="shared" si="0"/>
        <v>-246142</v>
      </c>
      <c r="F15" s="306">
        <f t="shared" si="1"/>
        <v>-3.564722710881961E-2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137029</v>
      </c>
      <c r="D18" s="22">
        <v>0</v>
      </c>
      <c r="E18" s="22">
        <f t="shared" si="0"/>
        <v>-137029</v>
      </c>
      <c r="F18" s="306">
        <f t="shared" si="1"/>
        <v>-1</v>
      </c>
    </row>
    <row r="19" spans="1:11" ht="24" customHeight="1" x14ac:dyDescent="0.2">
      <c r="A19" s="304">
        <v>7</v>
      </c>
      <c r="B19" s="305" t="s">
        <v>22</v>
      </c>
      <c r="C19" s="22">
        <v>1192492</v>
      </c>
      <c r="D19" s="22">
        <v>1342069</v>
      </c>
      <c r="E19" s="22">
        <f t="shared" si="0"/>
        <v>149577</v>
      </c>
      <c r="F19" s="306">
        <f t="shared" si="1"/>
        <v>0.12543228801534936</v>
      </c>
    </row>
    <row r="20" spans="1:11" ht="24" customHeight="1" x14ac:dyDescent="0.2">
      <c r="A20" s="304">
        <v>8</v>
      </c>
      <c r="B20" s="305" t="s">
        <v>23</v>
      </c>
      <c r="C20" s="22">
        <v>813147</v>
      </c>
      <c r="D20" s="22">
        <v>695358</v>
      </c>
      <c r="E20" s="22">
        <f t="shared" si="0"/>
        <v>-117789</v>
      </c>
      <c r="F20" s="306">
        <f t="shared" si="1"/>
        <v>-0.14485572719323811</v>
      </c>
    </row>
    <row r="21" spans="1:11" ht="24" customHeight="1" x14ac:dyDescent="0.2">
      <c r="A21" s="304">
        <v>9</v>
      </c>
      <c r="B21" s="305" t="s">
        <v>24</v>
      </c>
      <c r="C21" s="22">
        <v>1656812</v>
      </c>
      <c r="D21" s="22">
        <v>0</v>
      </c>
      <c r="E21" s="22">
        <f t="shared" si="0"/>
        <v>-1656812</v>
      </c>
      <c r="F21" s="306">
        <f t="shared" si="1"/>
        <v>-1</v>
      </c>
    </row>
    <row r="22" spans="1:11" ht="24" customHeight="1" x14ac:dyDescent="0.25">
      <c r="A22" s="307"/>
      <c r="B22" s="308" t="s">
        <v>25</v>
      </c>
      <c r="C22" s="309">
        <f>SUM(C13:C21)</f>
        <v>10714886</v>
      </c>
      <c r="D22" s="309">
        <f>SUM(D13:D21)</f>
        <v>9013356</v>
      </c>
      <c r="E22" s="309">
        <f t="shared" si="0"/>
        <v>-1701530</v>
      </c>
      <c r="F22" s="310">
        <f t="shared" si="1"/>
        <v>-0.1588005696000872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0</v>
      </c>
      <c r="D25" s="22">
        <v>0</v>
      </c>
      <c r="E25" s="22">
        <f>D25-C25</f>
        <v>0</v>
      </c>
      <c r="F25" s="306">
        <f>IF(C25=0,0,E25/C25)</f>
        <v>0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0</v>
      </c>
      <c r="D29" s="309">
        <f>SUM(D25:D28)</f>
        <v>0</v>
      </c>
      <c r="E29" s="309">
        <f>D29-C29</f>
        <v>0</v>
      </c>
      <c r="F29" s="310">
        <f>IF(C29=0,0,E29/C29)</f>
        <v>0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0</v>
      </c>
      <c r="D32" s="22">
        <v>0</v>
      </c>
      <c r="E32" s="22">
        <f>D32-C32</f>
        <v>0</v>
      </c>
      <c r="F32" s="306">
        <f>IF(C32=0,0,E32/C32)</f>
        <v>0</v>
      </c>
    </row>
    <row r="33" spans="1:8" ht="24" customHeight="1" x14ac:dyDescent="0.2">
      <c r="A33" s="304">
        <v>7</v>
      </c>
      <c r="B33" s="305" t="s">
        <v>35</v>
      </c>
      <c r="C33" s="22">
        <v>706549</v>
      </c>
      <c r="D33" s="22">
        <v>4659987</v>
      </c>
      <c r="E33" s="22">
        <f>D33-C33</f>
        <v>3953438</v>
      </c>
      <c r="F33" s="306">
        <f>IF(C33=0,0,E33/C33)</f>
        <v>5.5954194259704568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64190748</v>
      </c>
      <c r="D36" s="22">
        <v>15586215</v>
      </c>
      <c r="E36" s="22">
        <f>D36-C36</f>
        <v>-48604533</v>
      </c>
      <c r="F36" s="306">
        <f>IF(C36=0,0,E36/C36)</f>
        <v>-0.75718907341600072</v>
      </c>
    </row>
    <row r="37" spans="1:8" ht="24" customHeight="1" x14ac:dyDescent="0.2">
      <c r="A37" s="304">
        <v>2</v>
      </c>
      <c r="B37" s="305" t="s">
        <v>39</v>
      </c>
      <c r="C37" s="22">
        <v>31083584</v>
      </c>
      <c r="D37" s="22">
        <v>0</v>
      </c>
      <c r="E37" s="22">
        <f>D37-C37</f>
        <v>-31083584</v>
      </c>
      <c r="F37" s="22">
        <f>IF(C37=0,0,E37/C37)</f>
        <v>-1</v>
      </c>
    </row>
    <row r="38" spans="1:8" ht="24" customHeight="1" x14ac:dyDescent="0.25">
      <c r="A38" s="307"/>
      <c r="B38" s="308" t="s">
        <v>40</v>
      </c>
      <c r="C38" s="309">
        <f>C36-C37</f>
        <v>33107164</v>
      </c>
      <c r="D38" s="309">
        <f>D36-D37</f>
        <v>15586215</v>
      </c>
      <c r="E38" s="309">
        <f>D38-C38</f>
        <v>-17520949</v>
      </c>
      <c r="F38" s="310">
        <f>IF(C38=0,0,E38/C38)</f>
        <v>-0.52921926505091166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0</v>
      </c>
      <c r="D40" s="22">
        <v>108959</v>
      </c>
      <c r="E40" s="22">
        <f>D40-C40</f>
        <v>108959</v>
      </c>
      <c r="F40" s="306">
        <f>IF(C40=0,0,E40/C40)</f>
        <v>0</v>
      </c>
    </row>
    <row r="41" spans="1:8" ht="24" customHeight="1" x14ac:dyDescent="0.25">
      <c r="A41" s="307"/>
      <c r="B41" s="308" t="s">
        <v>42</v>
      </c>
      <c r="C41" s="309">
        <f>+C38+C40</f>
        <v>33107164</v>
      </c>
      <c r="D41" s="309">
        <f>+D38+D40</f>
        <v>15695174</v>
      </c>
      <c r="E41" s="309">
        <f>D41-C41</f>
        <v>-17411990</v>
      </c>
      <c r="F41" s="310">
        <f>IF(C41=0,0,E41/C41)</f>
        <v>-0.52592816467154968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44528599</v>
      </c>
      <c r="D43" s="309">
        <f>D22+D29+D31+D32+D33+D41</f>
        <v>29368517</v>
      </c>
      <c r="E43" s="309">
        <f>D43-C43</f>
        <v>-15160082</v>
      </c>
      <c r="F43" s="310">
        <f>IF(C43=0,0,E43/C43)</f>
        <v>-0.34045719695784726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1941959</v>
      </c>
      <c r="D49" s="22">
        <v>1598775</v>
      </c>
      <c r="E49" s="22">
        <f t="shared" ref="E49:E56" si="2">D49-C49</f>
        <v>-343184</v>
      </c>
      <c r="F49" s="306">
        <f t="shared" ref="F49:F56" si="3">IF(C49=0,0,E49/C49)</f>
        <v>-0.17672051778642084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3439322</v>
      </c>
      <c r="D50" s="22">
        <v>4342444</v>
      </c>
      <c r="E50" s="22">
        <f t="shared" si="2"/>
        <v>903122</v>
      </c>
      <c r="F50" s="306">
        <f t="shared" si="3"/>
        <v>0.26258721922518452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0</v>
      </c>
      <c r="D51" s="22">
        <v>96881</v>
      </c>
      <c r="E51" s="22">
        <f t="shared" si="2"/>
        <v>96881</v>
      </c>
      <c r="F51" s="306">
        <f t="shared" si="3"/>
        <v>0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0</v>
      </c>
      <c r="D53" s="22">
        <v>0</v>
      </c>
      <c r="E53" s="22">
        <f t="shared" si="2"/>
        <v>0</v>
      </c>
      <c r="F53" s="306">
        <f t="shared" si="3"/>
        <v>0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165055</v>
      </c>
      <c r="D54" s="22">
        <v>174279</v>
      </c>
      <c r="E54" s="22">
        <f t="shared" si="2"/>
        <v>9224</v>
      </c>
      <c r="F54" s="306">
        <f t="shared" si="3"/>
        <v>5.588440216897398E-2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0</v>
      </c>
      <c r="D55" s="22">
        <v>0</v>
      </c>
      <c r="E55" s="22">
        <f t="shared" si="2"/>
        <v>0</v>
      </c>
      <c r="F55" s="306">
        <f t="shared" si="3"/>
        <v>0</v>
      </c>
    </row>
    <row r="56" spans="1:6" ht="24" customHeight="1" x14ac:dyDescent="0.25">
      <c r="A56" s="307"/>
      <c r="B56" s="308" t="s">
        <v>54</v>
      </c>
      <c r="C56" s="309">
        <f>SUM(C49:C55)</f>
        <v>5546336</v>
      </c>
      <c r="D56" s="309">
        <f>SUM(D49:D55)</f>
        <v>6212379</v>
      </c>
      <c r="E56" s="309">
        <f t="shared" si="2"/>
        <v>666043</v>
      </c>
      <c r="F56" s="310">
        <f t="shared" si="3"/>
        <v>0.12008702682275289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20704808</v>
      </c>
      <c r="D60" s="22">
        <v>0</v>
      </c>
      <c r="E60" s="22">
        <f>D60-C60</f>
        <v>-20704808</v>
      </c>
      <c r="F60" s="306">
        <f>IF(C60=0,0,E60/C60)</f>
        <v>-1</v>
      </c>
    </row>
    <row r="61" spans="1:6" ht="24" customHeight="1" x14ac:dyDescent="0.25">
      <c r="A61" s="307"/>
      <c r="B61" s="308" t="s">
        <v>58</v>
      </c>
      <c r="C61" s="309">
        <f>SUM(C59:C60)</f>
        <v>20704808</v>
      </c>
      <c r="D61" s="309">
        <f>SUM(D59:D60)</f>
        <v>0</v>
      </c>
      <c r="E61" s="309">
        <f>D61-C61</f>
        <v>-20704808</v>
      </c>
      <c r="F61" s="310">
        <f>IF(C61=0,0,E61/C61)</f>
        <v>-1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1450000</v>
      </c>
      <c r="D63" s="22">
        <v>1304000</v>
      </c>
      <c r="E63" s="22">
        <f>D63-C63</f>
        <v>-146000</v>
      </c>
      <c r="F63" s="306">
        <f>IF(C63=0,0,E63/C63)</f>
        <v>-0.10068965517241379</v>
      </c>
    </row>
    <row r="64" spans="1:6" ht="24" customHeight="1" x14ac:dyDescent="0.2">
      <c r="A64" s="304">
        <v>4</v>
      </c>
      <c r="B64" s="305" t="s">
        <v>60</v>
      </c>
      <c r="C64" s="22">
        <v>508824</v>
      </c>
      <c r="D64" s="22">
        <v>338837</v>
      </c>
      <c r="E64" s="22">
        <f>D64-C64</f>
        <v>-169987</v>
      </c>
      <c r="F64" s="306">
        <f>IF(C64=0,0,E64/C64)</f>
        <v>-0.33407818813577977</v>
      </c>
    </row>
    <row r="65" spans="1:6" ht="24" customHeight="1" x14ac:dyDescent="0.25">
      <c r="A65" s="307"/>
      <c r="B65" s="308" t="s">
        <v>61</v>
      </c>
      <c r="C65" s="309">
        <f>SUM(C61:C64)</f>
        <v>22663632</v>
      </c>
      <c r="D65" s="309">
        <f>SUM(D61:D64)</f>
        <v>1642837</v>
      </c>
      <c r="E65" s="309">
        <f>D65-C65</f>
        <v>-21020795</v>
      </c>
      <c r="F65" s="310">
        <f>IF(C65=0,0,E65/C65)</f>
        <v>-0.92751219222055847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250000</v>
      </c>
      <c r="D67" s="22">
        <v>0</v>
      </c>
      <c r="E67" s="22">
        <f>D67-C67</f>
        <v>-250000</v>
      </c>
      <c r="F67" s="321">
        <f>IF(C67=0,0,E67/C67)</f>
        <v>-1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16068631</v>
      </c>
      <c r="D70" s="22">
        <v>21513301</v>
      </c>
      <c r="E70" s="22">
        <f>D70-C70</f>
        <v>5444670</v>
      </c>
      <c r="F70" s="306">
        <f>IF(C70=0,0,E70/C70)</f>
        <v>0.33883844865191065</v>
      </c>
    </row>
    <row r="71" spans="1:6" ht="24" customHeight="1" x14ac:dyDescent="0.2">
      <c r="A71" s="304">
        <v>2</v>
      </c>
      <c r="B71" s="305" t="s">
        <v>65</v>
      </c>
      <c r="C71" s="22">
        <v>0</v>
      </c>
      <c r="D71" s="22">
        <v>0</v>
      </c>
      <c r="E71" s="22">
        <f>D71-C71</f>
        <v>0</v>
      </c>
      <c r="F71" s="306">
        <f>IF(C71=0,0,E71/C71)</f>
        <v>0</v>
      </c>
    </row>
    <row r="72" spans="1:6" ht="24" customHeight="1" x14ac:dyDescent="0.2">
      <c r="A72" s="304">
        <v>3</v>
      </c>
      <c r="B72" s="305" t="s">
        <v>66</v>
      </c>
      <c r="C72" s="22">
        <v>0</v>
      </c>
      <c r="D72" s="22">
        <v>0</v>
      </c>
      <c r="E72" s="22">
        <f>D72-C72</f>
        <v>0</v>
      </c>
      <c r="F72" s="306">
        <f>IF(C72=0,0,E72/C72)</f>
        <v>0</v>
      </c>
    </row>
    <row r="73" spans="1:6" ht="24" customHeight="1" x14ac:dyDescent="0.25">
      <c r="A73" s="304"/>
      <c r="B73" s="308" t="s">
        <v>67</v>
      </c>
      <c r="C73" s="309">
        <f>SUM(C70:C72)</f>
        <v>16068631</v>
      </c>
      <c r="D73" s="309">
        <f>SUM(D70:D72)</f>
        <v>21513301</v>
      </c>
      <c r="E73" s="309">
        <f>D73-C73</f>
        <v>5444670</v>
      </c>
      <c r="F73" s="310">
        <f>IF(C73=0,0,E73/C73)</f>
        <v>0.33883844865191065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44528599</v>
      </c>
      <c r="D75" s="309">
        <f>D56+D65+D67+D73</f>
        <v>29368517</v>
      </c>
      <c r="E75" s="309">
        <f>D75-C75</f>
        <v>-15160082</v>
      </c>
      <c r="F75" s="310">
        <f>IF(C75=0,0,E75/C75)</f>
        <v>-0.34045719695784726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0" fitToHeight="0" orientation="portrait" horizontalDpi="1200" verticalDpi="1200" r:id="rId1"/>
  <headerFooter>
    <oddHeader>&amp;LOFFICE OF HEALTH CARE ACCESS&amp;CTWELVE MONTHS ACTUAL FILING&amp;RSHARON HOSPITAL HOLDING CO,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159429171</v>
      </c>
      <c r="D11" s="76">
        <v>156550609</v>
      </c>
      <c r="E11" s="76">
        <f t="shared" ref="E11:E20" si="0">D11-C11</f>
        <v>-2878562</v>
      </c>
      <c r="F11" s="77">
        <f t="shared" ref="F11:F20" si="1">IF(C11=0,0,E11/C11)</f>
        <v>-1.8055428513769289E-2</v>
      </c>
    </row>
    <row r="12" spans="1:7" ht="23.1" customHeight="1" x14ac:dyDescent="0.2">
      <c r="A12" s="74">
        <v>2</v>
      </c>
      <c r="B12" s="75" t="s">
        <v>72</v>
      </c>
      <c r="C12" s="76">
        <v>99028534</v>
      </c>
      <c r="D12" s="76">
        <v>97769852</v>
      </c>
      <c r="E12" s="76">
        <f t="shared" si="0"/>
        <v>-1258682</v>
      </c>
      <c r="F12" s="77">
        <f t="shared" si="1"/>
        <v>-1.2710296206141959E-2</v>
      </c>
    </row>
    <row r="13" spans="1:7" ht="23.1" customHeight="1" x14ac:dyDescent="0.2">
      <c r="A13" s="74">
        <v>3</v>
      </c>
      <c r="B13" s="75" t="s">
        <v>73</v>
      </c>
      <c r="C13" s="76">
        <v>892961</v>
      </c>
      <c r="D13" s="76">
        <v>741722</v>
      </c>
      <c r="E13" s="76">
        <f t="shared" si="0"/>
        <v>-151239</v>
      </c>
      <c r="F13" s="77">
        <f t="shared" si="1"/>
        <v>-0.16936797911666915</v>
      </c>
    </row>
    <row r="14" spans="1:7" ht="23.1" customHeight="1" x14ac:dyDescent="0.2">
      <c r="A14" s="74">
        <v>4</v>
      </c>
      <c r="B14" s="75" t="s">
        <v>74</v>
      </c>
      <c r="C14" s="76">
        <v>745840</v>
      </c>
      <c r="D14" s="76">
        <v>853781</v>
      </c>
      <c r="E14" s="76">
        <f t="shared" si="0"/>
        <v>107941</v>
      </c>
      <c r="F14" s="77">
        <f t="shared" si="1"/>
        <v>0.14472406950552397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58761836</v>
      </c>
      <c r="D15" s="79">
        <f>D11-D12-D13-D14</f>
        <v>57185254</v>
      </c>
      <c r="E15" s="79">
        <f t="shared" si="0"/>
        <v>-1576582</v>
      </c>
      <c r="F15" s="80">
        <f t="shared" si="1"/>
        <v>-2.6830033016667483E-2</v>
      </c>
    </row>
    <row r="16" spans="1:7" ht="23.1" customHeight="1" x14ac:dyDescent="0.2">
      <c r="A16" s="74">
        <v>5</v>
      </c>
      <c r="B16" s="75" t="s">
        <v>76</v>
      </c>
      <c r="C16" s="76">
        <v>2651594</v>
      </c>
      <c r="D16" s="76">
        <v>2233479</v>
      </c>
      <c r="E16" s="76">
        <f t="shared" si="0"/>
        <v>-418115</v>
      </c>
      <c r="F16" s="77">
        <f t="shared" si="1"/>
        <v>-0.15768439663085676</v>
      </c>
      <c r="G16" s="65"/>
    </row>
    <row r="17" spans="1:7" ht="31.5" customHeight="1" x14ac:dyDescent="0.25">
      <c r="A17" s="71"/>
      <c r="B17" s="81" t="s">
        <v>77</v>
      </c>
      <c r="C17" s="79">
        <f>C15-C16</f>
        <v>56110242</v>
      </c>
      <c r="D17" s="79">
        <f>D15-D16</f>
        <v>54951775</v>
      </c>
      <c r="E17" s="79">
        <f t="shared" si="0"/>
        <v>-1158467</v>
      </c>
      <c r="F17" s="80">
        <f t="shared" si="1"/>
        <v>-2.0646266326921205E-2</v>
      </c>
    </row>
    <row r="18" spans="1:7" ht="23.1" customHeight="1" x14ac:dyDescent="0.2">
      <c r="A18" s="74">
        <v>6</v>
      </c>
      <c r="B18" s="75" t="s">
        <v>78</v>
      </c>
      <c r="C18" s="76">
        <v>1205475</v>
      </c>
      <c r="D18" s="76">
        <v>934163</v>
      </c>
      <c r="E18" s="76">
        <f t="shared" si="0"/>
        <v>-271312</v>
      </c>
      <c r="F18" s="77">
        <f t="shared" si="1"/>
        <v>-0.2250664675750223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57315717</v>
      </c>
      <c r="D20" s="79">
        <f>SUM(D17:D19)</f>
        <v>55885938</v>
      </c>
      <c r="E20" s="79">
        <f t="shared" si="0"/>
        <v>-1429779</v>
      </c>
      <c r="F20" s="80">
        <f t="shared" si="1"/>
        <v>-2.4945670661330119E-2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22975001</v>
      </c>
      <c r="D23" s="76">
        <v>21709858</v>
      </c>
      <c r="E23" s="76">
        <f t="shared" ref="E23:E32" si="2">D23-C23</f>
        <v>-1265143</v>
      </c>
      <c r="F23" s="77">
        <f t="shared" ref="F23:F32" si="3">IF(C23=0,0,E23/C23)</f>
        <v>-5.5066069420410473E-2</v>
      </c>
    </row>
    <row r="24" spans="1:7" ht="23.1" customHeight="1" x14ac:dyDescent="0.2">
      <c r="A24" s="74">
        <v>2</v>
      </c>
      <c r="B24" s="75" t="s">
        <v>83</v>
      </c>
      <c r="C24" s="76">
        <v>4537331</v>
      </c>
      <c r="D24" s="76">
        <v>4384844</v>
      </c>
      <c r="E24" s="76">
        <f t="shared" si="2"/>
        <v>-152487</v>
      </c>
      <c r="F24" s="77">
        <f t="shared" si="3"/>
        <v>-3.3607202119483898E-2</v>
      </c>
    </row>
    <row r="25" spans="1:7" ht="23.1" customHeight="1" x14ac:dyDescent="0.2">
      <c r="A25" s="74">
        <v>3</v>
      </c>
      <c r="B25" s="75" t="s">
        <v>84</v>
      </c>
      <c r="C25" s="76">
        <v>2741068</v>
      </c>
      <c r="D25" s="76">
        <v>2535715</v>
      </c>
      <c r="E25" s="76">
        <f t="shared" si="2"/>
        <v>-205353</v>
      </c>
      <c r="F25" s="77">
        <f t="shared" si="3"/>
        <v>-7.4917149082036644E-2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6326695</v>
      </c>
      <c r="D26" s="76">
        <v>5682283</v>
      </c>
      <c r="E26" s="76">
        <f t="shared" si="2"/>
        <v>-644412</v>
      </c>
      <c r="F26" s="77">
        <f t="shared" si="3"/>
        <v>-0.10185602435394783</v>
      </c>
    </row>
    <row r="27" spans="1:7" ht="23.1" customHeight="1" x14ac:dyDescent="0.2">
      <c r="A27" s="74">
        <v>5</v>
      </c>
      <c r="B27" s="75" t="s">
        <v>86</v>
      </c>
      <c r="C27" s="76">
        <v>2576361</v>
      </c>
      <c r="D27" s="76">
        <v>2548585</v>
      </c>
      <c r="E27" s="76">
        <f t="shared" si="2"/>
        <v>-27776</v>
      </c>
      <c r="F27" s="77">
        <f t="shared" si="3"/>
        <v>-1.0781097835280071E-2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11263</v>
      </c>
      <c r="D29" s="76">
        <v>18277</v>
      </c>
      <c r="E29" s="76">
        <f t="shared" si="2"/>
        <v>7014</v>
      </c>
      <c r="F29" s="77">
        <f t="shared" si="3"/>
        <v>0.62274704785581103</v>
      </c>
    </row>
    <row r="30" spans="1:7" ht="23.1" customHeight="1" x14ac:dyDescent="0.2">
      <c r="A30" s="74">
        <v>8</v>
      </c>
      <c r="B30" s="75" t="s">
        <v>89</v>
      </c>
      <c r="C30" s="76">
        <v>1435297</v>
      </c>
      <c r="D30" s="76">
        <v>1292016</v>
      </c>
      <c r="E30" s="76">
        <f t="shared" si="2"/>
        <v>-143281</v>
      </c>
      <c r="F30" s="77">
        <f t="shared" si="3"/>
        <v>-9.9826725757804824E-2</v>
      </c>
    </row>
    <row r="31" spans="1:7" ht="23.1" customHeight="1" x14ac:dyDescent="0.2">
      <c r="A31" s="74">
        <v>9</v>
      </c>
      <c r="B31" s="75" t="s">
        <v>90</v>
      </c>
      <c r="C31" s="76">
        <v>18123045</v>
      </c>
      <c r="D31" s="76">
        <v>20583516</v>
      </c>
      <c r="E31" s="76">
        <f t="shared" si="2"/>
        <v>2460471</v>
      </c>
      <c r="F31" s="77">
        <f t="shared" si="3"/>
        <v>0.13576476800670087</v>
      </c>
    </row>
    <row r="32" spans="1:7" ht="23.1" customHeight="1" x14ac:dyDescent="0.25">
      <c r="A32" s="71"/>
      <c r="B32" s="78" t="s">
        <v>91</v>
      </c>
      <c r="C32" s="79">
        <f>SUM(C23:C31)</f>
        <v>58726061</v>
      </c>
      <c r="D32" s="79">
        <f>SUM(D23:D31)</f>
        <v>58755094</v>
      </c>
      <c r="E32" s="79">
        <f t="shared" si="2"/>
        <v>29033</v>
      </c>
      <c r="F32" s="80">
        <f t="shared" si="3"/>
        <v>4.943801696490422E-4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-1410344</v>
      </c>
      <c r="D34" s="79">
        <f>+D20-D32</f>
        <v>-2869156</v>
      </c>
      <c r="E34" s="79">
        <f>D34-C34</f>
        <v>-1458812</v>
      </c>
      <c r="F34" s="80">
        <f>IF(C34=0,0,E34/C34)</f>
        <v>1.0343660837355992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0</v>
      </c>
      <c r="D37" s="76">
        <v>0</v>
      </c>
      <c r="E37" s="76">
        <f>D37-C37</f>
        <v>0</v>
      </c>
      <c r="F37" s="77">
        <f>IF(C37=0,0,E37/C37)</f>
        <v>0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5">
      <c r="A40" s="83"/>
      <c r="B40" s="78" t="s">
        <v>97</v>
      </c>
      <c r="C40" s="79">
        <f>SUM(C37:C39)</f>
        <v>0</v>
      </c>
      <c r="D40" s="79">
        <f>SUM(D37:D39)</f>
        <v>0</v>
      </c>
      <c r="E40" s="79">
        <f>D40-C40</f>
        <v>0</v>
      </c>
      <c r="F40" s="80">
        <f>IF(C40=0,0,E40/C40)</f>
        <v>0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-1410344</v>
      </c>
      <c r="D42" s="79">
        <f>D34+D40</f>
        <v>-2869156</v>
      </c>
      <c r="E42" s="79">
        <f>D42-C42</f>
        <v>-1458812</v>
      </c>
      <c r="F42" s="80">
        <f>IF(C42=0,0,E42/C42)</f>
        <v>1.0343660837355992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-15331206</v>
      </c>
      <c r="E46" s="76">
        <f>D46-C46</f>
        <v>-15331206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-15331206</v>
      </c>
      <c r="E47" s="79">
        <f>D47-C47</f>
        <v>-15331206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-1410344</v>
      </c>
      <c r="D49" s="79">
        <f>D42+D47</f>
        <v>-18200362</v>
      </c>
      <c r="E49" s="79">
        <f>D49-C49</f>
        <v>-16790018</v>
      </c>
      <c r="F49" s="80">
        <f>IF(C49=0,0,E49/C49)</f>
        <v>11.904909724152406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scale="76" fitToHeight="0" orientation="portrait" horizontalDpi="1200" verticalDpi="1200" r:id="rId1"/>
  <headerFooter>
    <oddHeader>&amp;L&amp;8OFFICE OF HEALTH CARE ACCESS&amp;C&amp;8TWELVE MONTHS ACTUAL FILING&amp;R&amp;8SHARON HOSPITAL HOLDING CO,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Foster, Tillman</cp:lastModifiedBy>
  <cp:lastPrinted>2016-07-21T15:45:55Z</cp:lastPrinted>
  <dcterms:created xsi:type="dcterms:W3CDTF">2016-07-21T15:18:45Z</dcterms:created>
  <dcterms:modified xsi:type="dcterms:W3CDTF">2016-07-27T14:47:43Z</dcterms:modified>
</cp:coreProperties>
</file>