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10560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45621" fullCalcOnLoad="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/>
  <c r="E92" i="22"/>
  <c r="D92" i="22"/>
  <c r="C92" i="22"/>
  <c r="E91" i="22"/>
  <c r="E93" i="22"/>
  <c r="D91" i="22"/>
  <c r="D93" i="22"/>
  <c r="C91" i="22"/>
  <c r="C93" i="22"/>
  <c r="E87" i="22"/>
  <c r="D87" i="22"/>
  <c r="C87" i="22"/>
  <c r="E86" i="22"/>
  <c r="E88" i="22"/>
  <c r="D86" i="22"/>
  <c r="D88" i="22"/>
  <c r="C86" i="22"/>
  <c r="C88" i="22"/>
  <c r="E83" i="22"/>
  <c r="E101" i="22"/>
  <c r="D83" i="22"/>
  <c r="D102" i="22"/>
  <c r="C83" i="22"/>
  <c r="C101" i="22"/>
  <c r="E76" i="22"/>
  <c r="D76" i="22"/>
  <c r="C76" i="22"/>
  <c r="E75" i="22"/>
  <c r="E77" i="22"/>
  <c r="D75" i="22"/>
  <c r="D77" i="22"/>
  <c r="C75" i="22"/>
  <c r="C77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D23" i="22"/>
  <c r="D54" i="22"/>
  <c r="E21" i="22"/>
  <c r="D21" i="22"/>
  <c r="C21" i="22"/>
  <c r="E12" i="22"/>
  <c r="E33" i="22"/>
  <c r="D12" i="22"/>
  <c r="D34" i="22"/>
  <c r="C12" i="22"/>
  <c r="C33" i="22"/>
  <c r="D21" i="21"/>
  <c r="E21" i="21"/>
  <c r="F21" i="21"/>
  <c r="C21" i="21"/>
  <c r="D19" i="21"/>
  <c r="E19" i="21"/>
  <c r="F19" i="21"/>
  <c r="C19" i="21"/>
  <c r="F17" i="21"/>
  <c r="E17" i="21"/>
  <c r="F15" i="21"/>
  <c r="E15" i="21"/>
  <c r="D45" i="20"/>
  <c r="E45" i="20"/>
  <c r="C45" i="20"/>
  <c r="F45" i="20"/>
  <c r="D44" i="20"/>
  <c r="E44" i="20"/>
  <c r="C44" i="20"/>
  <c r="F44" i="20"/>
  <c r="D43" i="20"/>
  <c r="D46" i="20"/>
  <c r="C43" i="20"/>
  <c r="C46" i="20"/>
  <c r="D36" i="20"/>
  <c r="D40" i="20"/>
  <c r="C36" i="20"/>
  <c r="C40" i="20"/>
  <c r="F35" i="20"/>
  <c r="E35" i="20"/>
  <c r="F34" i="20"/>
  <c r="E34" i="20"/>
  <c r="F33" i="20"/>
  <c r="E33" i="20"/>
  <c r="E36" i="20"/>
  <c r="F36" i="20"/>
  <c r="F30" i="20"/>
  <c r="E30" i="20"/>
  <c r="F29" i="20"/>
  <c r="E29" i="20"/>
  <c r="F28" i="20"/>
  <c r="E28" i="20"/>
  <c r="F27" i="20"/>
  <c r="E27" i="20"/>
  <c r="D25" i="20"/>
  <c r="D39" i="20"/>
  <c r="C25" i="20"/>
  <c r="C39" i="20"/>
  <c r="F24" i="20"/>
  <c r="E24" i="20"/>
  <c r="F23" i="20"/>
  <c r="E23" i="20"/>
  <c r="F22" i="20"/>
  <c r="E22" i="20"/>
  <c r="E25" i="20"/>
  <c r="F25" i="20"/>
  <c r="D19" i="20"/>
  <c r="D20" i="20"/>
  <c r="C19" i="20"/>
  <c r="C20" i="20"/>
  <c r="F18" i="20"/>
  <c r="E18" i="20"/>
  <c r="D16" i="20"/>
  <c r="E16" i="20"/>
  <c r="F16" i="20"/>
  <c r="C16" i="20"/>
  <c r="F15" i="20"/>
  <c r="E15" i="20"/>
  <c r="F13" i="20"/>
  <c r="E13" i="20"/>
  <c r="F12" i="20"/>
  <c r="E12" i="20"/>
  <c r="C137" i="19"/>
  <c r="C139" i="19"/>
  <c r="C143" i="19"/>
  <c r="C115" i="19"/>
  <c r="C105" i="19"/>
  <c r="C96" i="19"/>
  <c r="C95" i="19"/>
  <c r="C89" i="19"/>
  <c r="C88" i="19"/>
  <c r="C83" i="19"/>
  <c r="C77" i="19"/>
  <c r="C78" i="19"/>
  <c r="C64" i="19"/>
  <c r="C63" i="19"/>
  <c r="C65" i="19"/>
  <c r="C114" i="19"/>
  <c r="C116" i="19"/>
  <c r="C119" i="19"/>
  <c r="C123" i="19"/>
  <c r="C60" i="19"/>
  <c r="C59" i="19"/>
  <c r="C49" i="19"/>
  <c r="C48" i="19"/>
  <c r="C36" i="19"/>
  <c r="C32" i="19"/>
  <c r="C33" i="19"/>
  <c r="C21" i="19"/>
  <c r="C37" i="19"/>
  <c r="E328" i="18"/>
  <c r="E325" i="18"/>
  <c r="D324" i="18"/>
  <c r="E324" i="18"/>
  <c r="C324" i="18"/>
  <c r="C326" i="18"/>
  <c r="C330" i="18"/>
  <c r="E318" i="18"/>
  <c r="E315" i="18"/>
  <c r="D314" i="18"/>
  <c r="D316" i="18"/>
  <c r="C314" i="18"/>
  <c r="C316" i="18"/>
  <c r="C320" i="18"/>
  <c r="E308" i="18"/>
  <c r="E305" i="18"/>
  <c r="D301" i="18"/>
  <c r="E301" i="18"/>
  <c r="C301" i="18"/>
  <c r="D293" i="18"/>
  <c r="C293" i="18"/>
  <c r="E293" i="18"/>
  <c r="D292" i="18"/>
  <c r="E292" i="18"/>
  <c r="C292" i="18"/>
  <c r="D291" i="18"/>
  <c r="C291" i="18"/>
  <c r="E291" i="18"/>
  <c r="D290" i="18"/>
  <c r="E290" i="18"/>
  <c r="C290" i="18"/>
  <c r="D288" i="18"/>
  <c r="E288" i="18"/>
  <c r="C288" i="18"/>
  <c r="D287" i="18"/>
  <c r="C287" i="18"/>
  <c r="E287" i="18"/>
  <c r="D282" i="18"/>
  <c r="E282" i="18"/>
  <c r="C282" i="18"/>
  <c r="D281" i="18"/>
  <c r="C281" i="18"/>
  <c r="E281" i="18"/>
  <c r="D280" i="18"/>
  <c r="E280" i="18"/>
  <c r="C280" i="18"/>
  <c r="D279" i="18"/>
  <c r="C279" i="18"/>
  <c r="E279" i="18"/>
  <c r="D278" i="18"/>
  <c r="E278" i="18"/>
  <c r="C278" i="18"/>
  <c r="D277" i="18"/>
  <c r="C277" i="18"/>
  <c r="E277" i="18"/>
  <c r="D276" i="18"/>
  <c r="E276" i="18"/>
  <c r="C276" i="18"/>
  <c r="E270" i="18"/>
  <c r="D265" i="18"/>
  <c r="D302" i="18"/>
  <c r="E302" i="18"/>
  <c r="C265" i="18"/>
  <c r="C302" i="18"/>
  <c r="D262" i="18"/>
  <c r="E262" i="18"/>
  <c r="C262" i="18"/>
  <c r="D251" i="18"/>
  <c r="C251" i="18"/>
  <c r="D233" i="18"/>
  <c r="E233" i="18"/>
  <c r="C233" i="18"/>
  <c r="D232" i="18"/>
  <c r="C232" i="18"/>
  <c r="E232" i="18"/>
  <c r="D231" i="18"/>
  <c r="C231" i="18"/>
  <c r="D230" i="18"/>
  <c r="C230" i="18"/>
  <c r="E230" i="18"/>
  <c r="D228" i="18"/>
  <c r="C228" i="18"/>
  <c r="E228" i="18"/>
  <c r="D227" i="18"/>
  <c r="E227" i="18"/>
  <c r="C227" i="18"/>
  <c r="D221" i="18"/>
  <c r="D245" i="18"/>
  <c r="E245" i="18"/>
  <c r="C221" i="18"/>
  <c r="C245" i="18"/>
  <c r="D220" i="18"/>
  <c r="E220" i="18"/>
  <c r="C220" i="18"/>
  <c r="C244" i="18"/>
  <c r="D219" i="18"/>
  <c r="D243" i="18"/>
  <c r="E243" i="18"/>
  <c r="C219" i="18"/>
  <c r="C243" i="18"/>
  <c r="D218" i="18"/>
  <c r="E218" i="18"/>
  <c r="C218" i="18"/>
  <c r="C242" i="18"/>
  <c r="C217" i="18"/>
  <c r="D216" i="18"/>
  <c r="C216" i="18"/>
  <c r="C240" i="18"/>
  <c r="D215" i="18"/>
  <c r="D239" i="18"/>
  <c r="C215" i="18"/>
  <c r="C210" i="18"/>
  <c r="E209" i="18"/>
  <c r="E208" i="18"/>
  <c r="E207" i="18"/>
  <c r="E206" i="18"/>
  <c r="D205" i="18"/>
  <c r="C205" i="18"/>
  <c r="C229" i="18"/>
  <c r="E204" i="18"/>
  <c r="E203" i="18"/>
  <c r="E197" i="18"/>
  <c r="E196" i="18"/>
  <c r="D195" i="18"/>
  <c r="D260" i="18"/>
  <c r="C195" i="18"/>
  <c r="C260" i="18"/>
  <c r="E194" i="18"/>
  <c r="E193" i="18"/>
  <c r="E192" i="18"/>
  <c r="E191" i="18"/>
  <c r="E190" i="18"/>
  <c r="D188" i="18"/>
  <c r="C188" i="18"/>
  <c r="C261" i="18"/>
  <c r="E186" i="18"/>
  <c r="E185" i="18"/>
  <c r="D179" i="18"/>
  <c r="C179" i="18"/>
  <c r="E179" i="18"/>
  <c r="D178" i="18"/>
  <c r="E178" i="18"/>
  <c r="C178" i="18"/>
  <c r="D177" i="18"/>
  <c r="C177" i="18"/>
  <c r="E177" i="18"/>
  <c r="D176" i="18"/>
  <c r="E176" i="18"/>
  <c r="C176" i="18"/>
  <c r="D174" i="18"/>
  <c r="E174" i="18"/>
  <c r="C174" i="18"/>
  <c r="D173" i="18"/>
  <c r="C173" i="18"/>
  <c r="E173" i="18"/>
  <c r="D167" i="18"/>
  <c r="E167" i="18"/>
  <c r="C167" i="18"/>
  <c r="D166" i="18"/>
  <c r="C166" i="18"/>
  <c r="E166" i="18"/>
  <c r="D165" i="18"/>
  <c r="E165" i="18"/>
  <c r="C165" i="18"/>
  <c r="D164" i="18"/>
  <c r="C164" i="18"/>
  <c r="E164" i="18"/>
  <c r="D162" i="18"/>
  <c r="C162" i="18"/>
  <c r="E162" i="18"/>
  <c r="D161" i="18"/>
  <c r="E161" i="18"/>
  <c r="C161" i="18"/>
  <c r="D156" i="18"/>
  <c r="D157" i="18"/>
  <c r="E155" i="18"/>
  <c r="E154" i="18"/>
  <c r="E153" i="18"/>
  <c r="E152" i="18"/>
  <c r="D151" i="18"/>
  <c r="C151" i="18"/>
  <c r="C156" i="18"/>
  <c r="C157" i="18"/>
  <c r="E150" i="18"/>
  <c r="E149" i="18"/>
  <c r="C144" i="18"/>
  <c r="C180" i="18"/>
  <c r="E143" i="18"/>
  <c r="E142" i="18"/>
  <c r="E141" i="18"/>
  <c r="E140" i="18"/>
  <c r="D139" i="18"/>
  <c r="D175" i="18"/>
  <c r="C139" i="18"/>
  <c r="C163" i="18"/>
  <c r="E138" i="18"/>
  <c r="E137" i="18"/>
  <c r="D75" i="18"/>
  <c r="C75" i="18"/>
  <c r="E75" i="18"/>
  <c r="D74" i="18"/>
  <c r="E74" i="18"/>
  <c r="C74" i="18"/>
  <c r="D73" i="18"/>
  <c r="C73" i="18"/>
  <c r="E73" i="18"/>
  <c r="D72" i="18"/>
  <c r="E72" i="18"/>
  <c r="C72" i="18"/>
  <c r="C71" i="18"/>
  <c r="D70" i="18"/>
  <c r="E70" i="18"/>
  <c r="C70" i="18"/>
  <c r="C76" i="18"/>
  <c r="D69" i="18"/>
  <c r="C69" i="18"/>
  <c r="C77" i="18"/>
  <c r="C65" i="18"/>
  <c r="C66" i="18"/>
  <c r="E64" i="18"/>
  <c r="E63" i="18"/>
  <c r="E62" i="18"/>
  <c r="E61" i="18"/>
  <c r="D60" i="18"/>
  <c r="C60" i="18"/>
  <c r="C289" i="18"/>
  <c r="E59" i="18"/>
  <c r="E58" i="18"/>
  <c r="C55" i="18"/>
  <c r="D54" i="18"/>
  <c r="C54" i="18"/>
  <c r="E53" i="18"/>
  <c r="E52" i="18"/>
  <c r="E51" i="18"/>
  <c r="E50" i="18"/>
  <c r="E49" i="18"/>
  <c r="E48" i="18"/>
  <c r="E47" i="18"/>
  <c r="D42" i="18"/>
  <c r="E42" i="18"/>
  <c r="C42" i="18"/>
  <c r="D41" i="18"/>
  <c r="C41" i="18"/>
  <c r="E41" i="18"/>
  <c r="D40" i="18"/>
  <c r="E40" i="18"/>
  <c r="C40" i="18"/>
  <c r="D39" i="18"/>
  <c r="C39" i="18"/>
  <c r="E39" i="18"/>
  <c r="D38" i="18"/>
  <c r="E38" i="18"/>
  <c r="C38" i="18"/>
  <c r="D37" i="18"/>
  <c r="C37" i="18"/>
  <c r="C43" i="18"/>
  <c r="C259" i="18"/>
  <c r="C263" i="18"/>
  <c r="D36" i="18"/>
  <c r="E36" i="18"/>
  <c r="C36" i="18"/>
  <c r="C33" i="18"/>
  <c r="C295" i="18"/>
  <c r="D32" i="18"/>
  <c r="C32" i="18"/>
  <c r="E31" i="18"/>
  <c r="E30" i="18"/>
  <c r="E29" i="18"/>
  <c r="E28" i="18"/>
  <c r="E27" i="18"/>
  <c r="E26" i="18"/>
  <c r="E25" i="18"/>
  <c r="D22" i="18"/>
  <c r="D21" i="18"/>
  <c r="C21" i="18"/>
  <c r="E20" i="18"/>
  <c r="E19" i="18"/>
  <c r="E18" i="18"/>
  <c r="E17" i="18"/>
  <c r="E16" i="18"/>
  <c r="E15" i="18"/>
  <c r="E14" i="18"/>
  <c r="F335" i="17"/>
  <c r="E335" i="17"/>
  <c r="F334" i="17"/>
  <c r="E334" i="17"/>
  <c r="F333" i="17"/>
  <c r="E333" i="17"/>
  <c r="F332" i="17"/>
  <c r="E332" i="17"/>
  <c r="F331" i="17"/>
  <c r="E331" i="17"/>
  <c r="F330" i="17"/>
  <c r="E330" i="17"/>
  <c r="F329" i="17"/>
  <c r="E329" i="17"/>
  <c r="F316" i="17"/>
  <c r="E316" i="17"/>
  <c r="D311" i="17"/>
  <c r="E311" i="17"/>
  <c r="C311" i="17"/>
  <c r="F311" i="17"/>
  <c r="F308" i="17"/>
  <c r="E308" i="17"/>
  <c r="D307" i="17"/>
  <c r="E307" i="17"/>
  <c r="F307" i="17"/>
  <c r="C307" i="17"/>
  <c r="D299" i="17"/>
  <c r="C299" i="17"/>
  <c r="D298" i="17"/>
  <c r="C298" i="17"/>
  <c r="D297" i="17"/>
  <c r="C297" i="17"/>
  <c r="D296" i="17"/>
  <c r="C296" i="17"/>
  <c r="D295" i="17"/>
  <c r="C295" i="17"/>
  <c r="D294" i="17"/>
  <c r="C294" i="17"/>
  <c r="D250" i="17"/>
  <c r="D306" i="17"/>
  <c r="E306" i="17"/>
  <c r="C250" i="17"/>
  <c r="C306" i="17"/>
  <c r="F249" i="17"/>
  <c r="E249" i="17"/>
  <c r="F248" i="17"/>
  <c r="E248" i="17"/>
  <c r="F245" i="17"/>
  <c r="E245" i="17"/>
  <c r="F244" i="17"/>
  <c r="E244" i="17"/>
  <c r="F243" i="17"/>
  <c r="E243" i="17"/>
  <c r="D238" i="17"/>
  <c r="E238" i="17"/>
  <c r="F238" i="17"/>
  <c r="C238" i="17"/>
  <c r="D237" i="17"/>
  <c r="D239" i="17"/>
  <c r="E239" i="17"/>
  <c r="C237" i="17"/>
  <c r="C239" i="17"/>
  <c r="F234" i="17"/>
  <c r="E234" i="17"/>
  <c r="F233" i="17"/>
  <c r="E233" i="17"/>
  <c r="D230" i="17"/>
  <c r="E230" i="17"/>
  <c r="F230" i="17"/>
  <c r="C230" i="17"/>
  <c r="D229" i="17"/>
  <c r="E229" i="17"/>
  <c r="F229" i="17"/>
  <c r="C229" i="17"/>
  <c r="F228" i="17"/>
  <c r="E228" i="17"/>
  <c r="D226" i="17"/>
  <c r="D227" i="17"/>
  <c r="E227" i="17"/>
  <c r="C226" i="17"/>
  <c r="C227" i="17"/>
  <c r="F225" i="17"/>
  <c r="E225" i="17"/>
  <c r="F224" i="17"/>
  <c r="E224" i="17"/>
  <c r="D223" i="17"/>
  <c r="E223" i="17"/>
  <c r="F223" i="17"/>
  <c r="C223" i="17"/>
  <c r="F222" i="17"/>
  <c r="E222" i="17"/>
  <c r="F221" i="17"/>
  <c r="E221" i="17"/>
  <c r="D204" i="17"/>
  <c r="E204" i="17"/>
  <c r="F204" i="17"/>
  <c r="C204" i="17"/>
  <c r="D203" i="17"/>
  <c r="E203" i="17"/>
  <c r="F203" i="17"/>
  <c r="C203" i="17"/>
  <c r="C283" i="17"/>
  <c r="D198" i="17"/>
  <c r="E198" i="17"/>
  <c r="F198" i="17"/>
  <c r="C198" i="17"/>
  <c r="D191" i="17"/>
  <c r="D280" i="17"/>
  <c r="C191" i="17"/>
  <c r="C280" i="17"/>
  <c r="D189" i="17"/>
  <c r="D278" i="17"/>
  <c r="C189" i="17"/>
  <c r="C278" i="17"/>
  <c r="D188" i="17"/>
  <c r="D277" i="17"/>
  <c r="C188" i="17"/>
  <c r="C277" i="17"/>
  <c r="F180" i="17"/>
  <c r="D180" i="17"/>
  <c r="E180" i="17"/>
  <c r="C180" i="17"/>
  <c r="F179" i="17"/>
  <c r="D179" i="17"/>
  <c r="D181" i="17"/>
  <c r="E181" i="17"/>
  <c r="C179" i="17"/>
  <c r="C181" i="17"/>
  <c r="F181" i="17"/>
  <c r="F171" i="17"/>
  <c r="D171" i="17"/>
  <c r="E171" i="17"/>
  <c r="C171" i="17"/>
  <c r="C172" i="17"/>
  <c r="C173" i="17"/>
  <c r="F173" i="17"/>
  <c r="F170" i="17"/>
  <c r="D170" i="17"/>
  <c r="E170" i="17"/>
  <c r="C170" i="17"/>
  <c r="F169" i="17"/>
  <c r="E169" i="17"/>
  <c r="F168" i="17"/>
  <c r="E168" i="17"/>
  <c r="F165" i="17"/>
  <c r="D165" i="17"/>
  <c r="E165" i="17"/>
  <c r="C165" i="17"/>
  <c r="F164" i="17"/>
  <c r="D164" i="17"/>
  <c r="E164" i="17"/>
  <c r="C164" i="17"/>
  <c r="F163" i="17"/>
  <c r="E163" i="17"/>
  <c r="F158" i="17"/>
  <c r="D158" i="17"/>
  <c r="E158" i="17"/>
  <c r="C158" i="17"/>
  <c r="C159" i="17"/>
  <c r="F159" i="17"/>
  <c r="F157" i="17"/>
  <c r="E157" i="17"/>
  <c r="F156" i="17"/>
  <c r="E156" i="17"/>
  <c r="F155" i="17"/>
  <c r="D155" i="17"/>
  <c r="E155" i="17"/>
  <c r="C155" i="17"/>
  <c r="F154" i="17"/>
  <c r="E154" i="17"/>
  <c r="F153" i="17"/>
  <c r="E153" i="17"/>
  <c r="D145" i="17"/>
  <c r="E145" i="17"/>
  <c r="F145" i="17"/>
  <c r="C145" i="17"/>
  <c r="F144" i="17"/>
  <c r="D144" i="17"/>
  <c r="E144" i="17"/>
  <c r="C144" i="17"/>
  <c r="C146" i="17"/>
  <c r="D136" i="17"/>
  <c r="E136" i="17"/>
  <c r="F136" i="17"/>
  <c r="C136" i="17"/>
  <c r="C137" i="17"/>
  <c r="D135" i="17"/>
  <c r="E135" i="17"/>
  <c r="F135" i="17"/>
  <c r="C135" i="17"/>
  <c r="E134" i="17"/>
  <c r="F134" i="17"/>
  <c r="E133" i="17"/>
  <c r="F133" i="17"/>
  <c r="D130" i="17"/>
  <c r="C130" i="17"/>
  <c r="D129" i="17"/>
  <c r="C129" i="17"/>
  <c r="E128" i="17"/>
  <c r="F128" i="17"/>
  <c r="D123" i="17"/>
  <c r="C123" i="17"/>
  <c r="E122" i="17"/>
  <c r="F122" i="17"/>
  <c r="E121" i="17"/>
  <c r="F121" i="17"/>
  <c r="D120" i="17"/>
  <c r="C120" i="17"/>
  <c r="E119" i="17"/>
  <c r="F119" i="17"/>
  <c r="E118" i="17"/>
  <c r="F118" i="17"/>
  <c r="D110" i="17"/>
  <c r="C110" i="17"/>
  <c r="D109" i="17"/>
  <c r="D111" i="17"/>
  <c r="C109" i="17"/>
  <c r="C111" i="17"/>
  <c r="D101" i="17"/>
  <c r="D102" i="17"/>
  <c r="C101" i="17"/>
  <c r="C102" i="17"/>
  <c r="D100" i="17"/>
  <c r="C100" i="17"/>
  <c r="E99" i="17"/>
  <c r="F99" i="17"/>
  <c r="E98" i="17"/>
  <c r="F98" i="17"/>
  <c r="D95" i="17"/>
  <c r="C95" i="17"/>
  <c r="D94" i="17"/>
  <c r="C94" i="17"/>
  <c r="E93" i="17"/>
  <c r="F93" i="17"/>
  <c r="D88" i="17"/>
  <c r="D89" i="17"/>
  <c r="E89" i="17"/>
  <c r="C88" i="17"/>
  <c r="C89" i="17"/>
  <c r="E87" i="17"/>
  <c r="F87" i="17"/>
  <c r="E86" i="17"/>
  <c r="F86" i="17"/>
  <c r="D85" i="17"/>
  <c r="C85" i="17"/>
  <c r="E84" i="17"/>
  <c r="F84" i="17"/>
  <c r="E83" i="17"/>
  <c r="F83" i="17"/>
  <c r="D76" i="17"/>
  <c r="D77" i="17"/>
  <c r="E77" i="17"/>
  <c r="C76" i="17"/>
  <c r="C77" i="17"/>
  <c r="F74" i="17"/>
  <c r="E74" i="17"/>
  <c r="F73" i="17"/>
  <c r="E73" i="17"/>
  <c r="D67" i="17"/>
  <c r="E67" i="17"/>
  <c r="F67" i="17"/>
  <c r="C67" i="17"/>
  <c r="D66" i="17"/>
  <c r="D68" i="17"/>
  <c r="E68" i="17"/>
  <c r="C66" i="17"/>
  <c r="C68" i="17"/>
  <c r="D59" i="17"/>
  <c r="D60" i="17"/>
  <c r="C59" i="17"/>
  <c r="C60" i="17"/>
  <c r="D58" i="17"/>
  <c r="E58" i="17"/>
  <c r="F58" i="17"/>
  <c r="C58" i="17"/>
  <c r="E57" i="17"/>
  <c r="F57" i="17"/>
  <c r="E56" i="17"/>
  <c r="F56" i="17"/>
  <c r="D53" i="17"/>
  <c r="E53" i="17"/>
  <c r="F53" i="17"/>
  <c r="C53" i="17"/>
  <c r="D52" i="17"/>
  <c r="E52" i="17"/>
  <c r="F52" i="17"/>
  <c r="C52" i="17"/>
  <c r="E51" i="17"/>
  <c r="F51" i="17"/>
  <c r="D47" i="17"/>
  <c r="D48" i="17"/>
  <c r="C47" i="17"/>
  <c r="C48" i="17"/>
  <c r="E46" i="17"/>
  <c r="F46" i="17"/>
  <c r="E45" i="17"/>
  <c r="F45" i="17"/>
  <c r="D44" i="17"/>
  <c r="E44" i="17"/>
  <c r="F44" i="17"/>
  <c r="C44" i="17"/>
  <c r="E43" i="17"/>
  <c r="F43" i="17"/>
  <c r="E42" i="17"/>
  <c r="F42" i="17"/>
  <c r="D36" i="17"/>
  <c r="E36" i="17"/>
  <c r="F36" i="17"/>
  <c r="C36" i="17"/>
  <c r="D35" i="17"/>
  <c r="D37" i="17"/>
  <c r="C35" i="17"/>
  <c r="D30" i="17"/>
  <c r="D31" i="17"/>
  <c r="C30" i="17"/>
  <c r="C31" i="17"/>
  <c r="D29" i="17"/>
  <c r="E29" i="17"/>
  <c r="F29" i="17"/>
  <c r="C29" i="17"/>
  <c r="E28" i="17"/>
  <c r="F28" i="17"/>
  <c r="E27" i="17"/>
  <c r="F27" i="17"/>
  <c r="D24" i="17"/>
  <c r="E24" i="17"/>
  <c r="F24" i="17"/>
  <c r="C24" i="17"/>
  <c r="D23" i="17"/>
  <c r="E23" i="17"/>
  <c r="F23" i="17"/>
  <c r="C23" i="17"/>
  <c r="E22" i="17"/>
  <c r="F22" i="17"/>
  <c r="D20" i="17"/>
  <c r="E20" i="17"/>
  <c r="F20" i="17"/>
  <c r="C20" i="17"/>
  <c r="E19" i="17"/>
  <c r="F19" i="17"/>
  <c r="E18" i="17"/>
  <c r="F18" i="17"/>
  <c r="D17" i="17"/>
  <c r="E17" i="17"/>
  <c r="F17" i="17"/>
  <c r="C17" i="17"/>
  <c r="E16" i="17"/>
  <c r="F16" i="17"/>
  <c r="E15" i="17"/>
  <c r="F15" i="17"/>
  <c r="D21" i="16"/>
  <c r="E21" i="16"/>
  <c r="C21" i="16"/>
  <c r="F20" i="16"/>
  <c r="E20" i="16"/>
  <c r="D17" i="16"/>
  <c r="E17" i="16"/>
  <c r="F17" i="16"/>
  <c r="C17" i="16"/>
  <c r="F16" i="16"/>
  <c r="E16" i="16"/>
  <c r="D13" i="16"/>
  <c r="E13" i="16"/>
  <c r="F13" i="16"/>
  <c r="C13" i="16"/>
  <c r="F12" i="16"/>
  <c r="E12" i="16"/>
  <c r="D107" i="15"/>
  <c r="E107" i="15"/>
  <c r="F107" i="15"/>
  <c r="C107" i="15"/>
  <c r="F106" i="15"/>
  <c r="E106" i="15"/>
  <c r="F105" i="15"/>
  <c r="E105" i="15"/>
  <c r="F104" i="15"/>
  <c r="E104" i="15"/>
  <c r="D100" i="15"/>
  <c r="E100" i="15"/>
  <c r="F100" i="15"/>
  <c r="C100" i="15"/>
  <c r="F99" i="15"/>
  <c r="E99" i="15"/>
  <c r="F98" i="15"/>
  <c r="E98" i="15"/>
  <c r="F97" i="15"/>
  <c r="E97" i="15"/>
  <c r="F96" i="15"/>
  <c r="E96" i="15"/>
  <c r="F95" i="15"/>
  <c r="E95" i="15"/>
  <c r="D92" i="15"/>
  <c r="E92" i="15"/>
  <c r="F92" i="15"/>
  <c r="C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D75" i="15"/>
  <c r="C75" i="15"/>
  <c r="F74" i="15"/>
  <c r="E74" i="15"/>
  <c r="F73" i="15"/>
  <c r="E73" i="15"/>
  <c r="E75" i="15"/>
  <c r="F75" i="15"/>
  <c r="D70" i="15"/>
  <c r="E70" i="15"/>
  <c r="F70" i="15"/>
  <c r="C70" i="15"/>
  <c r="F69" i="15"/>
  <c r="E69" i="15"/>
  <c r="F68" i="15"/>
  <c r="E68" i="15"/>
  <c r="D65" i="15"/>
  <c r="E65" i="15"/>
  <c r="F65" i="15"/>
  <c r="C65" i="15"/>
  <c r="F64" i="15"/>
  <c r="E64" i="15"/>
  <c r="F63" i="15"/>
  <c r="E63" i="15"/>
  <c r="F60" i="15"/>
  <c r="D60" i="15"/>
  <c r="C60" i="15"/>
  <c r="F59" i="15"/>
  <c r="E59" i="15"/>
  <c r="F58" i="15"/>
  <c r="E58" i="15"/>
  <c r="E60" i="15"/>
  <c r="F55" i="15"/>
  <c r="D55" i="15"/>
  <c r="E55" i="15"/>
  <c r="C55" i="15"/>
  <c r="F54" i="15"/>
  <c r="E54" i="15"/>
  <c r="F53" i="15"/>
  <c r="E53" i="15"/>
  <c r="F50" i="15"/>
  <c r="D50" i="15"/>
  <c r="E50" i="15"/>
  <c r="C50" i="15"/>
  <c r="F49" i="15"/>
  <c r="E49" i="15"/>
  <c r="F48" i="15"/>
  <c r="E48" i="15"/>
  <c r="D45" i="15"/>
  <c r="E45" i="15"/>
  <c r="F45" i="15"/>
  <c r="C45" i="15"/>
  <c r="F44" i="15"/>
  <c r="E44" i="15"/>
  <c r="F43" i="15"/>
  <c r="E43" i="15"/>
  <c r="F37" i="15"/>
  <c r="D37" i="15"/>
  <c r="E37" i="15"/>
  <c r="C37" i="15"/>
  <c r="F36" i="15"/>
  <c r="E36" i="15"/>
  <c r="F35" i="15"/>
  <c r="E35" i="15"/>
  <c r="F34" i="15"/>
  <c r="E34" i="15"/>
  <c r="F33" i="15"/>
  <c r="E33" i="15"/>
  <c r="D30" i="15"/>
  <c r="E30" i="15"/>
  <c r="F30" i="15"/>
  <c r="C30" i="15"/>
  <c r="F29" i="15"/>
  <c r="E29" i="15"/>
  <c r="F28" i="15"/>
  <c r="E28" i="15"/>
  <c r="F27" i="15"/>
  <c r="E27" i="15"/>
  <c r="F26" i="15"/>
  <c r="E26" i="15"/>
  <c r="D23" i="15"/>
  <c r="E23" i="15"/>
  <c r="F23" i="15"/>
  <c r="C23" i="15"/>
  <c r="F22" i="15"/>
  <c r="E22" i="15"/>
  <c r="F21" i="15"/>
  <c r="E21" i="15"/>
  <c r="F20" i="15"/>
  <c r="E20" i="15"/>
  <c r="F19" i="15"/>
  <c r="E19" i="15"/>
  <c r="D16" i="15"/>
  <c r="E16" i="15"/>
  <c r="F16" i="15"/>
  <c r="C16" i="15"/>
  <c r="F15" i="15"/>
  <c r="E15" i="15"/>
  <c r="F14" i="15"/>
  <c r="E14" i="15"/>
  <c r="F13" i="15"/>
  <c r="E13" i="15"/>
  <c r="F12" i="15"/>
  <c r="E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3" i="14"/>
  <c r="E17" i="14"/>
  <c r="E31" i="14"/>
  <c r="D17" i="14"/>
  <c r="D33" i="14"/>
  <c r="D36" i="14"/>
  <c r="D38" i="14"/>
  <c r="D40" i="14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/>
  <c r="E77" i="13"/>
  <c r="D78" i="13"/>
  <c r="D80" i="13"/>
  <c r="D77" i="13"/>
  <c r="C78" i="13"/>
  <c r="C80" i="13"/>
  <c r="C77" i="13"/>
  <c r="E75" i="13"/>
  <c r="C75" i="13"/>
  <c r="E73" i="13"/>
  <c r="D73" i="13"/>
  <c r="D75" i="13"/>
  <c r="C73" i="13"/>
  <c r="E71" i="13"/>
  <c r="D71" i="13"/>
  <c r="C71" i="13"/>
  <c r="E66" i="13"/>
  <c r="E65" i="13"/>
  <c r="D66" i="13"/>
  <c r="C66" i="13"/>
  <c r="C65" i="13"/>
  <c r="D65" i="13"/>
  <c r="E60" i="13"/>
  <c r="D60" i="13"/>
  <c r="C60" i="13"/>
  <c r="E58" i="13"/>
  <c r="D58" i="13"/>
  <c r="C58" i="13"/>
  <c r="E55" i="13"/>
  <c r="D55" i="13"/>
  <c r="C55" i="13"/>
  <c r="E54" i="13"/>
  <c r="E50" i="13"/>
  <c r="D54" i="13"/>
  <c r="C54" i="13"/>
  <c r="C50" i="13"/>
  <c r="D50" i="13"/>
  <c r="E48" i="13"/>
  <c r="E42" i="13"/>
  <c r="C48" i="13"/>
  <c r="C42" i="13"/>
  <c r="E46" i="13"/>
  <c r="E59" i="13"/>
  <c r="E61" i="13"/>
  <c r="E57" i="13"/>
  <c r="D46" i="13"/>
  <c r="D59" i="13"/>
  <c r="D61" i="13"/>
  <c r="D57" i="13"/>
  <c r="C46" i="13"/>
  <c r="C59" i="13"/>
  <c r="C61" i="13"/>
  <c r="C57" i="13"/>
  <c r="E45" i="13"/>
  <c r="D45" i="13"/>
  <c r="C45" i="13"/>
  <c r="E38" i="13"/>
  <c r="D38" i="13"/>
  <c r="C38" i="13"/>
  <c r="E33" i="13"/>
  <c r="E34" i="13"/>
  <c r="D33" i="13"/>
  <c r="D34" i="13"/>
  <c r="E26" i="13"/>
  <c r="D26" i="13"/>
  <c r="C26" i="13"/>
  <c r="E25" i="13"/>
  <c r="E27" i="13"/>
  <c r="C25" i="13"/>
  <c r="C27" i="13"/>
  <c r="E15" i="13"/>
  <c r="E24" i="13"/>
  <c r="C15" i="13"/>
  <c r="C24" i="13"/>
  <c r="E13" i="13"/>
  <c r="D13" i="13"/>
  <c r="D25" i="13"/>
  <c r="D27" i="13"/>
  <c r="C13" i="13"/>
  <c r="D47" i="12"/>
  <c r="E47" i="12"/>
  <c r="F47" i="12"/>
  <c r="C47" i="12"/>
  <c r="F46" i="12"/>
  <c r="E46" i="12"/>
  <c r="F45" i="12"/>
  <c r="E45" i="12"/>
  <c r="D40" i="12"/>
  <c r="E40" i="12"/>
  <c r="F40" i="12"/>
  <c r="C40" i="12"/>
  <c r="F39" i="12"/>
  <c r="E39" i="12"/>
  <c r="F38" i="12"/>
  <c r="E38" i="12"/>
  <c r="F37" i="12"/>
  <c r="E37" i="12"/>
  <c r="D32" i="12"/>
  <c r="E32" i="12"/>
  <c r="F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19" i="12"/>
  <c r="E19" i="12"/>
  <c r="F18" i="12"/>
  <c r="E18" i="12"/>
  <c r="F16" i="12"/>
  <c r="E16" i="12"/>
  <c r="D15" i="12"/>
  <c r="D17" i="12"/>
  <c r="C15" i="12"/>
  <c r="C17" i="12"/>
  <c r="F14" i="12"/>
  <c r="E14" i="12"/>
  <c r="F13" i="12"/>
  <c r="E13" i="12"/>
  <c r="F12" i="12"/>
  <c r="E12" i="12"/>
  <c r="F11" i="12"/>
  <c r="E11" i="12"/>
  <c r="D73" i="11"/>
  <c r="E73" i="11"/>
  <c r="C73" i="11"/>
  <c r="F72" i="11"/>
  <c r="E72" i="11"/>
  <c r="F71" i="11"/>
  <c r="E71" i="11"/>
  <c r="F70" i="11"/>
  <c r="E70" i="11"/>
  <c r="F67" i="11"/>
  <c r="E67" i="11"/>
  <c r="F64" i="11"/>
  <c r="E64" i="11"/>
  <c r="F63" i="11"/>
  <c r="E63" i="11"/>
  <c r="D61" i="11"/>
  <c r="D65" i="11"/>
  <c r="E65" i="11"/>
  <c r="C61" i="11"/>
  <c r="C65" i="11"/>
  <c r="F60" i="11"/>
  <c r="E60" i="11"/>
  <c r="F59" i="11"/>
  <c r="E59" i="11"/>
  <c r="D56" i="11"/>
  <c r="D75" i="11"/>
  <c r="E75" i="11"/>
  <c r="C56" i="11"/>
  <c r="C75" i="11"/>
  <c r="F55" i="11"/>
  <c r="E55" i="11"/>
  <c r="F54" i="11"/>
  <c r="E54" i="11"/>
  <c r="F53" i="11"/>
  <c r="E53" i="11"/>
  <c r="F52" i="11"/>
  <c r="E52" i="11"/>
  <c r="F51" i="11"/>
  <c r="E51" i="11"/>
  <c r="A51" i="11"/>
  <c r="A52" i="11"/>
  <c r="A53" i="11"/>
  <c r="A54" i="11"/>
  <c r="A55" i="11"/>
  <c r="E50" i="11"/>
  <c r="F50" i="11"/>
  <c r="A50" i="11"/>
  <c r="F49" i="11"/>
  <c r="E49" i="11"/>
  <c r="F40" i="11"/>
  <c r="E40" i="11"/>
  <c r="D38" i="11"/>
  <c r="D41" i="11"/>
  <c r="C38" i="11"/>
  <c r="C41" i="11"/>
  <c r="F37" i="11"/>
  <c r="E37" i="11"/>
  <c r="F36" i="11"/>
  <c r="E36" i="11"/>
  <c r="F33" i="11"/>
  <c r="E33" i="11"/>
  <c r="F32" i="11"/>
  <c r="E32" i="11"/>
  <c r="F31" i="11"/>
  <c r="E31" i="11"/>
  <c r="D29" i="11"/>
  <c r="E29" i="11"/>
  <c r="F29" i="11"/>
  <c r="C29" i="11"/>
  <c r="F28" i="11"/>
  <c r="E28" i="11"/>
  <c r="F27" i="11"/>
  <c r="E27" i="11"/>
  <c r="F26" i="11"/>
  <c r="E26" i="11"/>
  <c r="F25" i="11"/>
  <c r="E25" i="11"/>
  <c r="D22" i="11"/>
  <c r="D43" i="11"/>
  <c r="C22" i="11"/>
  <c r="C4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0" i="10"/>
  <c r="D120" i="10"/>
  <c r="E120" i="10"/>
  <c r="C120" i="10"/>
  <c r="F119" i="10"/>
  <c r="D119" i="10"/>
  <c r="E119" i="10"/>
  <c r="C119" i="10"/>
  <c r="F118" i="10"/>
  <c r="D118" i="10"/>
  <c r="E118" i="10"/>
  <c r="C118" i="10"/>
  <c r="F117" i="10"/>
  <c r="D117" i="10"/>
  <c r="E117" i="10"/>
  <c r="C117" i="10"/>
  <c r="F116" i="10"/>
  <c r="D116" i="10"/>
  <c r="E116" i="10"/>
  <c r="C116" i="10"/>
  <c r="F115" i="10"/>
  <c r="D115" i="10"/>
  <c r="E115" i="10"/>
  <c r="C115" i="10"/>
  <c r="F114" i="10"/>
  <c r="D114" i="10"/>
  <c r="E114" i="10"/>
  <c r="C114" i="10"/>
  <c r="F113" i="10"/>
  <c r="D113" i="10"/>
  <c r="D122" i="10"/>
  <c r="E122" i="10"/>
  <c r="C113" i="10"/>
  <c r="C122" i="10"/>
  <c r="F122" i="10"/>
  <c r="F112" i="10"/>
  <c r="D112" i="10"/>
  <c r="D121" i="10"/>
  <c r="C112" i="10"/>
  <c r="C121" i="10"/>
  <c r="F121" i="10"/>
  <c r="F108" i="10"/>
  <c r="D108" i="10"/>
  <c r="E108" i="10"/>
  <c r="C108" i="10"/>
  <c r="F107" i="10"/>
  <c r="D107" i="10"/>
  <c r="E107" i="10"/>
  <c r="C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F95" i="10"/>
  <c r="D95" i="10"/>
  <c r="E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F84" i="10"/>
  <c r="D84" i="10"/>
  <c r="E84" i="10"/>
  <c r="C84" i="10"/>
  <c r="F83" i="10"/>
  <c r="D83" i="10"/>
  <c r="E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F72" i="10"/>
  <c r="D72" i="10"/>
  <c r="E72" i="10"/>
  <c r="C72" i="10"/>
  <c r="F71" i="10"/>
  <c r="D71" i="10"/>
  <c r="E71" i="10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F60" i="10"/>
  <c r="D60" i="10"/>
  <c r="E60" i="10"/>
  <c r="C60" i="10"/>
  <c r="F59" i="10"/>
  <c r="D59" i="10"/>
  <c r="E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F48" i="10"/>
  <c r="D48" i="10"/>
  <c r="E48" i="10"/>
  <c r="C48" i="10"/>
  <c r="F47" i="10"/>
  <c r="D47" i="10"/>
  <c r="E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F36" i="10"/>
  <c r="D36" i="10"/>
  <c r="E36" i="10"/>
  <c r="C36" i="10"/>
  <c r="F35" i="10"/>
  <c r="D35" i="10"/>
  <c r="E35" i="10"/>
  <c r="C35" i="10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F24" i="10"/>
  <c r="D24" i="10"/>
  <c r="E24" i="10"/>
  <c r="C24" i="10"/>
  <c r="F23" i="10"/>
  <c r="D23" i="10"/>
  <c r="E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/>
  <c r="F206" i="9"/>
  <c r="C206" i="9"/>
  <c r="D205" i="9"/>
  <c r="E205" i="9"/>
  <c r="F205" i="9"/>
  <c r="C205" i="9"/>
  <c r="D204" i="9"/>
  <c r="E204" i="9"/>
  <c r="F204" i="9"/>
  <c r="C204" i="9"/>
  <c r="D203" i="9"/>
  <c r="E203" i="9"/>
  <c r="F203" i="9"/>
  <c r="C203" i="9"/>
  <c r="D202" i="9"/>
  <c r="E202" i="9"/>
  <c r="F202" i="9"/>
  <c r="C202" i="9"/>
  <c r="D201" i="9"/>
  <c r="E201" i="9"/>
  <c r="F201" i="9"/>
  <c r="C201" i="9"/>
  <c r="D200" i="9"/>
  <c r="E200" i="9"/>
  <c r="F200" i="9"/>
  <c r="C200" i="9"/>
  <c r="D199" i="9"/>
  <c r="D208" i="9"/>
  <c r="E208" i="9"/>
  <c r="C199" i="9"/>
  <c r="C208" i="9"/>
  <c r="D198" i="9"/>
  <c r="D207" i="9"/>
  <c r="E207" i="9"/>
  <c r="C198" i="9"/>
  <c r="C207" i="9"/>
  <c r="D193" i="9"/>
  <c r="E193" i="9"/>
  <c r="F193" i="9"/>
  <c r="C193" i="9"/>
  <c r="D192" i="9"/>
  <c r="E192" i="9"/>
  <c r="F192" i="9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F166" i="9"/>
  <c r="D166" i="9"/>
  <c r="E166" i="9"/>
  <c r="C166" i="9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E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E141" i="9"/>
  <c r="F141" i="9"/>
  <c r="C141" i="9"/>
  <c r="D140" i="9"/>
  <c r="E140" i="9"/>
  <c r="F140" i="9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/>
  <c r="C128" i="9"/>
  <c r="D127" i="9"/>
  <c r="E127" i="9"/>
  <c r="F127" i="9"/>
  <c r="C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20" i="9"/>
  <c r="E120" i="9"/>
  <c r="F119" i="9"/>
  <c r="E119" i="9"/>
  <c r="F118" i="9"/>
  <c r="E118" i="9"/>
  <c r="F115" i="9"/>
  <c r="D115" i="9"/>
  <c r="E115" i="9"/>
  <c r="C115" i="9"/>
  <c r="F114" i="9"/>
  <c r="D114" i="9"/>
  <c r="E114" i="9"/>
  <c r="C114" i="9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E102" i="9"/>
  <c r="F102" i="9"/>
  <c r="C102" i="9"/>
  <c r="D101" i="9"/>
  <c r="E101" i="9"/>
  <c r="F101" i="9"/>
  <c r="C101" i="9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E89" i="9"/>
  <c r="C89" i="9"/>
  <c r="F88" i="9"/>
  <c r="D88" i="9"/>
  <c r="E88" i="9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F76" i="9"/>
  <c r="D76" i="9"/>
  <c r="E76" i="9"/>
  <c r="C76" i="9"/>
  <c r="F75" i="9"/>
  <c r="D75" i="9"/>
  <c r="E75" i="9"/>
  <c r="C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F67" i="9"/>
  <c r="E67" i="9"/>
  <c r="F66" i="9"/>
  <c r="E66" i="9"/>
  <c r="F63" i="9"/>
  <c r="D63" i="9"/>
  <c r="E63" i="9"/>
  <c r="C63" i="9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E50" i="9"/>
  <c r="F50" i="9"/>
  <c r="C50" i="9"/>
  <c r="D49" i="9"/>
  <c r="E49" i="9"/>
  <c r="F49" i="9"/>
  <c r="C49" i="9"/>
  <c r="F48" i="9"/>
  <c r="E48" i="9"/>
  <c r="F47" i="9"/>
  <c r="E47" i="9"/>
  <c r="F46" i="9"/>
  <c r="E46" i="9"/>
  <c r="F45" i="9"/>
  <c r="E45" i="9"/>
  <c r="F44" i="9"/>
  <c r="E44" i="9"/>
  <c r="F43" i="9"/>
  <c r="E43" i="9"/>
  <c r="F42" i="9"/>
  <c r="E42" i="9"/>
  <c r="F41" i="9"/>
  <c r="E41" i="9"/>
  <c r="F40" i="9"/>
  <c r="E40" i="9"/>
  <c r="F37" i="9"/>
  <c r="D37" i="9"/>
  <c r="E37" i="9"/>
  <c r="C37" i="9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/>
  <c r="F24" i="9"/>
  <c r="C24" i="9"/>
  <c r="D23" i="9"/>
  <c r="E23" i="9"/>
  <c r="F23" i="9"/>
  <c r="C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E166" i="8"/>
  <c r="D160" i="8"/>
  <c r="D166" i="8"/>
  <c r="C160" i="8"/>
  <c r="C166" i="8"/>
  <c r="E147" i="8"/>
  <c r="D147" i="8"/>
  <c r="D143" i="8"/>
  <c r="D149" i="8"/>
  <c r="C147" i="8"/>
  <c r="E145" i="8"/>
  <c r="D145" i="8"/>
  <c r="C145" i="8"/>
  <c r="E144" i="8"/>
  <c r="D144" i="8"/>
  <c r="C144" i="8"/>
  <c r="E143" i="8"/>
  <c r="E149" i="8"/>
  <c r="C143" i="8"/>
  <c r="C149" i="8"/>
  <c r="E126" i="8"/>
  <c r="D126" i="8"/>
  <c r="C126" i="8"/>
  <c r="E119" i="8"/>
  <c r="D119" i="8"/>
  <c r="C119" i="8"/>
  <c r="E108" i="8"/>
  <c r="D108" i="8"/>
  <c r="C108" i="8"/>
  <c r="E107" i="8"/>
  <c r="E109" i="8"/>
  <c r="E106" i="8"/>
  <c r="D107" i="8"/>
  <c r="D109" i="8"/>
  <c r="D106" i="8"/>
  <c r="C107" i="8"/>
  <c r="C109" i="8"/>
  <c r="C106" i="8"/>
  <c r="E102" i="8"/>
  <c r="E104" i="8"/>
  <c r="D102" i="8"/>
  <c r="D104" i="8"/>
  <c r="C102" i="8"/>
  <c r="C104" i="8"/>
  <c r="E100" i="8"/>
  <c r="D100" i="8"/>
  <c r="C100" i="8"/>
  <c r="E95" i="8"/>
  <c r="D95" i="8"/>
  <c r="C95" i="8"/>
  <c r="E94" i="8"/>
  <c r="D94" i="8"/>
  <c r="C94" i="8"/>
  <c r="E89" i="8"/>
  <c r="D89" i="8"/>
  <c r="C89" i="8"/>
  <c r="E87" i="8"/>
  <c r="D87" i="8"/>
  <c r="C87" i="8"/>
  <c r="E84" i="8"/>
  <c r="D84" i="8"/>
  <c r="C84" i="8"/>
  <c r="E83" i="8"/>
  <c r="D83" i="8"/>
  <c r="C83" i="8"/>
  <c r="E79" i="8"/>
  <c r="D79" i="8"/>
  <c r="C79" i="8"/>
  <c r="E75" i="8"/>
  <c r="E88" i="8"/>
  <c r="E90" i="8"/>
  <c r="E86" i="8"/>
  <c r="D75" i="8"/>
  <c r="D88" i="8"/>
  <c r="D90" i="8"/>
  <c r="D86" i="8"/>
  <c r="C75" i="8"/>
  <c r="C88" i="8"/>
  <c r="C90" i="8"/>
  <c r="C86" i="8"/>
  <c r="E74" i="8"/>
  <c r="D74" i="8"/>
  <c r="C74" i="8"/>
  <c r="E67" i="8"/>
  <c r="D67" i="8"/>
  <c r="C67" i="8"/>
  <c r="E38" i="8"/>
  <c r="E57" i="8"/>
  <c r="E62" i="8"/>
  <c r="D38" i="8"/>
  <c r="D53" i="8"/>
  <c r="C38" i="8"/>
  <c r="C57" i="8"/>
  <c r="C62" i="8"/>
  <c r="E33" i="8"/>
  <c r="E34" i="8"/>
  <c r="D33" i="8"/>
  <c r="D34" i="8"/>
  <c r="E26" i="8"/>
  <c r="D26" i="8"/>
  <c r="C26" i="8"/>
  <c r="E13" i="8"/>
  <c r="E25" i="8"/>
  <c r="E27" i="8"/>
  <c r="D13" i="8"/>
  <c r="D25" i="8"/>
  <c r="D27" i="8"/>
  <c r="C13" i="8"/>
  <c r="C25" i="8"/>
  <c r="C27" i="8"/>
  <c r="F186" i="7"/>
  <c r="E186" i="7"/>
  <c r="D183" i="7"/>
  <c r="D188" i="7"/>
  <c r="E188" i="7"/>
  <c r="C183" i="7"/>
  <c r="C188" i="7"/>
  <c r="F182" i="7"/>
  <c r="E182" i="7"/>
  <c r="F181" i="7"/>
  <c r="E181" i="7"/>
  <c r="F180" i="7"/>
  <c r="E180" i="7"/>
  <c r="F179" i="7"/>
  <c r="E179" i="7"/>
  <c r="F178" i="7"/>
  <c r="E178" i="7"/>
  <c r="F177" i="7"/>
  <c r="E177" i="7"/>
  <c r="F176" i="7"/>
  <c r="E176" i="7"/>
  <c r="F175" i="7"/>
  <c r="E175" i="7"/>
  <c r="F174" i="7"/>
  <c r="E174" i="7"/>
  <c r="F173" i="7"/>
  <c r="E173" i="7"/>
  <c r="F172" i="7"/>
  <c r="E172" i="7"/>
  <c r="F171" i="7"/>
  <c r="E171" i="7"/>
  <c r="F170" i="7"/>
  <c r="E170" i="7"/>
  <c r="D167" i="7"/>
  <c r="E167" i="7"/>
  <c r="F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D130" i="7"/>
  <c r="E130" i="7"/>
  <c r="F130" i="7"/>
  <c r="C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D121" i="7"/>
  <c r="E121" i="7"/>
  <c r="F121" i="7"/>
  <c r="C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D95" i="7"/>
  <c r="E95" i="7"/>
  <c r="C90" i="7"/>
  <c r="C95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59" i="7"/>
  <c r="E59" i="7"/>
  <c r="F59" i="7"/>
  <c r="C59" i="7"/>
  <c r="F58" i="7"/>
  <c r="E58" i="7"/>
  <c r="F57" i="7"/>
  <c r="E57" i="7"/>
  <c r="F56" i="7"/>
  <c r="E56" i="7"/>
  <c r="F55" i="7"/>
  <c r="E55" i="7"/>
  <c r="F54" i="7"/>
  <c r="E54" i="7"/>
  <c r="F53" i="7"/>
  <c r="E53" i="7"/>
  <c r="F50" i="7"/>
  <c r="E50" i="7"/>
  <c r="F47" i="7"/>
  <c r="E47" i="7"/>
  <c r="F44" i="7"/>
  <c r="E44" i="7"/>
  <c r="D41" i="7"/>
  <c r="E41" i="7"/>
  <c r="F41" i="7"/>
  <c r="C41" i="7"/>
  <c r="F40" i="7"/>
  <c r="E40" i="7"/>
  <c r="F39" i="7"/>
  <c r="E39" i="7"/>
  <c r="F38" i="7"/>
  <c r="E38" i="7"/>
  <c r="D35" i="7"/>
  <c r="E35" i="7"/>
  <c r="F35" i="7"/>
  <c r="C35" i="7"/>
  <c r="F34" i="7"/>
  <c r="E34" i="7"/>
  <c r="F33" i="7"/>
  <c r="E33" i="7"/>
  <c r="D30" i="7"/>
  <c r="E30" i="7"/>
  <c r="F30" i="7"/>
  <c r="C30" i="7"/>
  <c r="F29" i="7"/>
  <c r="E29" i="7"/>
  <c r="F28" i="7"/>
  <c r="E28" i="7"/>
  <c r="F27" i="7"/>
  <c r="E27" i="7"/>
  <c r="D24" i="7"/>
  <c r="E24" i="7"/>
  <c r="F24" i="7"/>
  <c r="C24" i="7"/>
  <c r="F23" i="7"/>
  <c r="E23" i="7"/>
  <c r="F22" i="7"/>
  <c r="E22" i="7"/>
  <c r="F21" i="7"/>
  <c r="E21" i="7"/>
  <c r="D18" i="7"/>
  <c r="E18" i="7"/>
  <c r="F18" i="7"/>
  <c r="C18" i="7"/>
  <c r="F17" i="7"/>
  <c r="E17" i="7"/>
  <c r="F16" i="7"/>
  <c r="E16" i="7"/>
  <c r="F15" i="7"/>
  <c r="E15" i="7"/>
  <c r="D179" i="6"/>
  <c r="E179" i="6"/>
  <c r="C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D166" i="6"/>
  <c r="E166" i="6"/>
  <c r="F166" i="6"/>
  <c r="C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D153" i="6"/>
  <c r="E153" i="6"/>
  <c r="F153" i="6"/>
  <c r="C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D137" i="6"/>
  <c r="E137" i="6"/>
  <c r="F137" i="6"/>
  <c r="C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D124" i="6"/>
  <c r="E124" i="6"/>
  <c r="F124" i="6"/>
  <c r="C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D111" i="6"/>
  <c r="E111" i="6"/>
  <c r="F111" i="6"/>
  <c r="C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4" i="6"/>
  <c r="D94" i="6"/>
  <c r="E94" i="6"/>
  <c r="C94" i="6"/>
  <c r="F93" i="6"/>
  <c r="D93" i="6"/>
  <c r="E93" i="6"/>
  <c r="C93" i="6"/>
  <c r="D92" i="6"/>
  <c r="E92" i="6"/>
  <c r="F92" i="6"/>
  <c r="C92" i="6"/>
  <c r="D91" i="6"/>
  <c r="E91" i="6"/>
  <c r="F91" i="6"/>
  <c r="C91" i="6"/>
  <c r="D90" i="6"/>
  <c r="E90" i="6"/>
  <c r="F90" i="6"/>
  <c r="C90" i="6"/>
  <c r="D89" i="6"/>
  <c r="E89" i="6"/>
  <c r="F89" i="6"/>
  <c r="C89" i="6"/>
  <c r="D88" i="6"/>
  <c r="E88" i="6"/>
  <c r="F88" i="6"/>
  <c r="C88" i="6"/>
  <c r="F87" i="6"/>
  <c r="D87" i="6"/>
  <c r="E87" i="6"/>
  <c r="C87" i="6"/>
  <c r="D86" i="6"/>
  <c r="E86" i="6"/>
  <c r="F86" i="6"/>
  <c r="C86" i="6"/>
  <c r="D85" i="6"/>
  <c r="E85" i="6"/>
  <c r="F85" i="6"/>
  <c r="C85" i="6"/>
  <c r="D84" i="6"/>
  <c r="D95" i="6"/>
  <c r="C84" i="6"/>
  <c r="C95" i="6"/>
  <c r="D81" i="6"/>
  <c r="E81" i="6"/>
  <c r="F81" i="6"/>
  <c r="C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D68" i="6"/>
  <c r="E68" i="6"/>
  <c r="F68" i="6"/>
  <c r="C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1" i="6"/>
  <c r="D51" i="6"/>
  <c r="E51" i="6"/>
  <c r="C51" i="6"/>
  <c r="F50" i="6"/>
  <c r="D50" i="6"/>
  <c r="E50" i="6"/>
  <c r="C50" i="6"/>
  <c r="D49" i="6"/>
  <c r="E49" i="6"/>
  <c r="F49" i="6"/>
  <c r="C49" i="6"/>
  <c r="D48" i="6"/>
  <c r="E48" i="6"/>
  <c r="F48" i="6"/>
  <c r="C48" i="6"/>
  <c r="D47" i="6"/>
  <c r="E47" i="6"/>
  <c r="F47" i="6"/>
  <c r="C47" i="6"/>
  <c r="D46" i="6"/>
  <c r="E46" i="6"/>
  <c r="F46" i="6"/>
  <c r="C46" i="6"/>
  <c r="D45" i="6"/>
  <c r="E45" i="6"/>
  <c r="F45" i="6"/>
  <c r="C45" i="6"/>
  <c r="F44" i="6"/>
  <c r="D44" i="6"/>
  <c r="E44" i="6"/>
  <c r="C44" i="6"/>
  <c r="D43" i="6"/>
  <c r="E43" i="6"/>
  <c r="F43" i="6"/>
  <c r="C43" i="6"/>
  <c r="D42" i="6"/>
  <c r="E42" i="6"/>
  <c r="F42" i="6"/>
  <c r="C42" i="6"/>
  <c r="D41" i="6"/>
  <c r="D52" i="6"/>
  <c r="E52" i="6"/>
  <c r="C41" i="6"/>
  <c r="C52" i="6"/>
  <c r="D38" i="6"/>
  <c r="E38" i="6"/>
  <c r="F38" i="6"/>
  <c r="C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5" i="6"/>
  <c r="E25" i="6"/>
  <c r="F25" i="6"/>
  <c r="C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51" i="5"/>
  <c r="E51" i="5"/>
  <c r="D48" i="5"/>
  <c r="E48" i="5"/>
  <c r="C48" i="5"/>
  <c r="F47" i="5"/>
  <c r="E47" i="5"/>
  <c r="F46" i="5"/>
  <c r="E46" i="5"/>
  <c r="D41" i="5"/>
  <c r="E41" i="5"/>
  <c r="F41" i="5"/>
  <c r="C41" i="5"/>
  <c r="F40" i="5"/>
  <c r="E40" i="5"/>
  <c r="F39" i="5"/>
  <c r="E39" i="5"/>
  <c r="F38" i="5"/>
  <c r="E38" i="5"/>
  <c r="D33" i="5"/>
  <c r="E33" i="5"/>
  <c r="F33" i="5"/>
  <c r="C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0" i="5"/>
  <c r="E20" i="5"/>
  <c r="F19" i="5"/>
  <c r="E19" i="5"/>
  <c r="F17" i="5"/>
  <c r="E17" i="5"/>
  <c r="D16" i="5"/>
  <c r="D18" i="5"/>
  <c r="C16" i="5"/>
  <c r="C18" i="5"/>
  <c r="F15" i="5"/>
  <c r="E15" i="5"/>
  <c r="F14" i="5"/>
  <c r="E14" i="5"/>
  <c r="F13" i="5"/>
  <c r="E13" i="5"/>
  <c r="F12" i="5"/>
  <c r="E12" i="5"/>
  <c r="D73" i="4"/>
  <c r="E73" i="4"/>
  <c r="C73" i="4"/>
  <c r="F72" i="4"/>
  <c r="E72" i="4"/>
  <c r="F71" i="4"/>
  <c r="E71" i="4"/>
  <c r="F70" i="4"/>
  <c r="E70" i="4"/>
  <c r="F67" i="4"/>
  <c r="E67" i="4"/>
  <c r="F64" i="4"/>
  <c r="E64" i="4"/>
  <c r="F63" i="4"/>
  <c r="E63" i="4"/>
  <c r="D61" i="4"/>
  <c r="D65" i="4"/>
  <c r="E65" i="4"/>
  <c r="C61" i="4"/>
  <c r="C65" i="4"/>
  <c r="F60" i="4"/>
  <c r="E60" i="4"/>
  <c r="F59" i="4"/>
  <c r="E59" i="4"/>
  <c r="D56" i="4"/>
  <c r="D75" i="4"/>
  <c r="E75" i="4"/>
  <c r="C56" i="4"/>
  <c r="C75" i="4"/>
  <c r="F55" i="4"/>
  <c r="E55" i="4"/>
  <c r="F54" i="4"/>
  <c r="E54" i="4"/>
  <c r="F53" i="4"/>
  <c r="E53" i="4"/>
  <c r="F52" i="4"/>
  <c r="E52" i="4"/>
  <c r="F51" i="4"/>
  <c r="E51" i="4"/>
  <c r="A51" i="4"/>
  <c r="A52" i="4"/>
  <c r="A53" i="4"/>
  <c r="A54" i="4"/>
  <c r="A55" i="4"/>
  <c r="E50" i="4"/>
  <c r="F50" i="4"/>
  <c r="A50" i="4"/>
  <c r="F49" i="4"/>
  <c r="E49" i="4"/>
  <c r="F40" i="4"/>
  <c r="E40" i="4"/>
  <c r="D38" i="4"/>
  <c r="D41" i="4"/>
  <c r="C38" i="4"/>
  <c r="C41" i="4"/>
  <c r="F37" i="4"/>
  <c r="E37" i="4"/>
  <c r="F36" i="4"/>
  <c r="E36" i="4"/>
  <c r="F33" i="4"/>
  <c r="E33" i="4"/>
  <c r="F32" i="4"/>
  <c r="E32" i="4"/>
  <c r="F31" i="4"/>
  <c r="E31" i="4"/>
  <c r="D29" i="4"/>
  <c r="E29" i="4"/>
  <c r="F29" i="4"/>
  <c r="C29" i="4"/>
  <c r="F28" i="4"/>
  <c r="E28" i="4"/>
  <c r="F27" i="4"/>
  <c r="E27" i="4"/>
  <c r="F26" i="4"/>
  <c r="E26" i="4"/>
  <c r="F25" i="4"/>
  <c r="E25" i="4"/>
  <c r="D22" i="4"/>
  <c r="D43" i="4"/>
  <c r="C22" i="4"/>
  <c r="C43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D108" i="22"/>
  <c r="D109" i="22"/>
  <c r="C109" i="22"/>
  <c r="C108" i="22"/>
  <c r="E109" i="22"/>
  <c r="E108" i="22"/>
  <c r="C103" i="22"/>
  <c r="D22" i="22"/>
  <c r="C23" i="22"/>
  <c r="E23" i="22"/>
  <c r="D33" i="22"/>
  <c r="C34" i="22"/>
  <c r="E34" i="22"/>
  <c r="D101" i="22"/>
  <c r="D103" i="22"/>
  <c r="C102" i="22"/>
  <c r="E102" i="22"/>
  <c r="E103" i="22"/>
  <c r="D111" i="22"/>
  <c r="C22" i="22"/>
  <c r="E22" i="22"/>
  <c r="D30" i="22"/>
  <c r="D36" i="22"/>
  <c r="D40" i="22"/>
  <c r="D46" i="22"/>
  <c r="F20" i="20"/>
  <c r="C41" i="20"/>
  <c r="E20" i="20"/>
  <c r="D41" i="20"/>
  <c r="E39" i="20"/>
  <c r="E40" i="20"/>
  <c r="F40" i="20"/>
  <c r="E19" i="20"/>
  <c r="F19" i="20"/>
  <c r="E43" i="20"/>
  <c r="C38" i="19"/>
  <c r="C127" i="19"/>
  <c r="C129" i="19"/>
  <c r="C133" i="19"/>
  <c r="E94" i="17"/>
  <c r="F94" i="17"/>
  <c r="E95" i="17"/>
  <c r="E100" i="17"/>
  <c r="F100" i="17"/>
  <c r="E110" i="17"/>
  <c r="E120" i="17"/>
  <c r="F120" i="17"/>
  <c r="C22" i="19"/>
  <c r="C127" i="18"/>
  <c r="C125" i="18"/>
  <c r="C123" i="18"/>
  <c r="C121" i="18"/>
  <c r="C114" i="18"/>
  <c r="C112" i="18"/>
  <c r="C110" i="18"/>
  <c r="C126" i="18"/>
  <c r="C124" i="18"/>
  <c r="C122" i="18"/>
  <c r="C115" i="18"/>
  <c r="C113" i="18"/>
  <c r="C111" i="18"/>
  <c r="C109" i="18"/>
  <c r="C44" i="18"/>
  <c r="E37" i="18"/>
  <c r="D55" i="18"/>
  <c r="E55" i="18"/>
  <c r="E54" i="18"/>
  <c r="D289" i="18"/>
  <c r="E289" i="18"/>
  <c r="D71" i="18"/>
  <c r="E71" i="18"/>
  <c r="D65" i="18"/>
  <c r="D294" i="18"/>
  <c r="E294" i="18"/>
  <c r="E60" i="18"/>
  <c r="E69" i="18"/>
  <c r="E85" i="17"/>
  <c r="F85" i="17"/>
  <c r="E129" i="17"/>
  <c r="E130" i="17"/>
  <c r="E294" i="17"/>
  <c r="F294" i="17"/>
  <c r="E295" i="17"/>
  <c r="E296" i="17"/>
  <c r="F296" i="17"/>
  <c r="E297" i="17"/>
  <c r="E298" i="17"/>
  <c r="E299" i="17"/>
  <c r="C283" i="18"/>
  <c r="C22" i="18"/>
  <c r="C284" i="18"/>
  <c r="E21" i="18"/>
  <c r="D33" i="18"/>
  <c r="E32" i="18"/>
  <c r="D43" i="18"/>
  <c r="D44" i="18"/>
  <c r="D77" i="18"/>
  <c r="D76" i="18"/>
  <c r="E76" i="18"/>
  <c r="E175" i="18"/>
  <c r="E157" i="18"/>
  <c r="E151" i="18"/>
  <c r="D163" i="18"/>
  <c r="E163" i="18"/>
  <c r="C168" i="18"/>
  <c r="C175" i="18"/>
  <c r="D261" i="18"/>
  <c r="E261" i="18"/>
  <c r="D189" i="18"/>
  <c r="E188" i="18"/>
  <c r="E195" i="18"/>
  <c r="D210" i="18"/>
  <c r="E205" i="18"/>
  <c r="D229" i="18"/>
  <c r="E229" i="18"/>
  <c r="C239" i="18"/>
  <c r="E215" i="18"/>
  <c r="E216" i="18"/>
  <c r="D240" i="18"/>
  <c r="E240" i="18"/>
  <c r="D222" i="18"/>
  <c r="D252" i="18"/>
  <c r="D254" i="18"/>
  <c r="E254" i="18"/>
  <c r="C303" i="18"/>
  <c r="C306" i="18"/>
  <c r="C310" i="18"/>
  <c r="D283" i="18"/>
  <c r="C294" i="18"/>
  <c r="E139" i="18"/>
  <c r="D144" i="18"/>
  <c r="C145" i="18"/>
  <c r="E156" i="18"/>
  <c r="C189" i="18"/>
  <c r="E260" i="18"/>
  <c r="C211" i="18"/>
  <c r="C235" i="18"/>
  <c r="C234" i="18"/>
  <c r="E239" i="18"/>
  <c r="C241" i="18"/>
  <c r="C252" i="18"/>
  <c r="C254" i="18"/>
  <c r="C253" i="18"/>
  <c r="D320" i="18"/>
  <c r="E320" i="18"/>
  <c r="E316" i="18"/>
  <c r="E219" i="18"/>
  <c r="E221" i="18"/>
  <c r="D242" i="18"/>
  <c r="E242" i="18"/>
  <c r="D244" i="18"/>
  <c r="E244" i="18"/>
  <c r="D253" i="18"/>
  <c r="E253" i="18"/>
  <c r="E265" i="18"/>
  <c r="D303" i="18"/>
  <c r="E314" i="18"/>
  <c r="D326" i="18"/>
  <c r="D217" i="18"/>
  <c r="C222" i="18"/>
  <c r="C246" i="18"/>
  <c r="D223" i="18"/>
  <c r="E231" i="18"/>
  <c r="E251" i="18"/>
  <c r="C32" i="17"/>
  <c r="C160" i="17"/>
  <c r="C90" i="17"/>
  <c r="C61" i="17"/>
  <c r="F68" i="17"/>
  <c r="F89" i="17"/>
  <c r="E102" i="17"/>
  <c r="F102" i="17"/>
  <c r="D103" i="17"/>
  <c r="E111" i="17"/>
  <c r="F111" i="17"/>
  <c r="D32" i="17"/>
  <c r="E31" i="17"/>
  <c r="F31" i="17"/>
  <c r="E37" i="17"/>
  <c r="D90" i="17"/>
  <c r="E90" i="17"/>
  <c r="E48" i="17"/>
  <c r="F48" i="17"/>
  <c r="D61" i="17"/>
  <c r="E60" i="17"/>
  <c r="F60" i="17"/>
  <c r="C103" i="17"/>
  <c r="C266" i="17"/>
  <c r="C21" i="17"/>
  <c r="E30" i="17"/>
  <c r="F30" i="17"/>
  <c r="E35" i="17"/>
  <c r="F35" i="17"/>
  <c r="C37" i="17"/>
  <c r="E47" i="17"/>
  <c r="F47" i="17"/>
  <c r="E59" i="17"/>
  <c r="F59" i="17"/>
  <c r="E66" i="17"/>
  <c r="F66" i="17"/>
  <c r="E76" i="17"/>
  <c r="F76" i="17"/>
  <c r="F95" i="17"/>
  <c r="F110" i="17"/>
  <c r="D192" i="17"/>
  <c r="D193" i="17"/>
  <c r="D282" i="17"/>
  <c r="D124" i="17"/>
  <c r="D125" i="17"/>
  <c r="F129" i="17"/>
  <c r="F130" i="17"/>
  <c r="C207" i="17"/>
  <c r="C138" i="17"/>
  <c r="F172" i="17"/>
  <c r="F227" i="17"/>
  <c r="F239" i="17"/>
  <c r="D21" i="17"/>
  <c r="E88" i="17"/>
  <c r="F88" i="17"/>
  <c r="E101" i="17"/>
  <c r="F101" i="17"/>
  <c r="E109" i="17"/>
  <c r="F109" i="17"/>
  <c r="C193" i="17"/>
  <c r="C192" i="17"/>
  <c r="E123" i="17"/>
  <c r="F123" i="17"/>
  <c r="C124" i="17"/>
  <c r="D137" i="17"/>
  <c r="D146" i="17"/>
  <c r="E146" i="17"/>
  <c r="F146" i="17"/>
  <c r="D159" i="17"/>
  <c r="E159" i="17"/>
  <c r="D172" i="17"/>
  <c r="E179" i="17"/>
  <c r="C287" i="17"/>
  <c r="C284" i="17"/>
  <c r="C279" i="17"/>
  <c r="E188" i="17"/>
  <c r="F188" i="17"/>
  <c r="E189" i="17"/>
  <c r="F189" i="17"/>
  <c r="C190" i="17"/>
  <c r="E191" i="17"/>
  <c r="F191" i="17"/>
  <c r="C290" i="17"/>
  <c r="C274" i="17"/>
  <c r="C199" i="17"/>
  <c r="C200" i="17"/>
  <c r="C285" i="17"/>
  <c r="C288" i="17"/>
  <c r="C269" i="17"/>
  <c r="C205" i="17"/>
  <c r="C206" i="17"/>
  <c r="C214" i="17"/>
  <c r="C304" i="17"/>
  <c r="C215" i="17"/>
  <c r="E226" i="17"/>
  <c r="F226" i="17"/>
  <c r="E237" i="17"/>
  <c r="F237" i="17"/>
  <c r="E250" i="17"/>
  <c r="F250" i="17"/>
  <c r="C254" i="17"/>
  <c r="C255" i="17"/>
  <c r="C261" i="17"/>
  <c r="C262" i="17"/>
  <c r="C264" i="17"/>
  <c r="C267" i="17"/>
  <c r="E277" i="17"/>
  <c r="F277" i="17"/>
  <c r="D279" i="17"/>
  <c r="E279" i="17"/>
  <c r="E278" i="17"/>
  <c r="F278" i="17"/>
  <c r="D190" i="17"/>
  <c r="E280" i="17"/>
  <c r="F280" i="17"/>
  <c r="D290" i="17"/>
  <c r="D274" i="17"/>
  <c r="E274" i="17"/>
  <c r="D199" i="17"/>
  <c r="D200" i="17"/>
  <c r="E200" i="17"/>
  <c r="D283" i="17"/>
  <c r="D287" i="17"/>
  <c r="D267" i="17"/>
  <c r="D285" i="17"/>
  <c r="D288" i="17"/>
  <c r="D269" i="17"/>
  <c r="E269" i="17"/>
  <c r="D205" i="17"/>
  <c r="D206" i="17"/>
  <c r="E206" i="17"/>
  <c r="D214" i="17"/>
  <c r="D215" i="17"/>
  <c r="D261" i="17"/>
  <c r="D262" i="17"/>
  <c r="D264" i="17"/>
  <c r="F295" i="17"/>
  <c r="F297" i="17"/>
  <c r="F298" i="17"/>
  <c r="F299" i="17"/>
  <c r="F21" i="16"/>
  <c r="F36" i="14"/>
  <c r="F38" i="14"/>
  <c r="F40" i="14"/>
  <c r="I31" i="14"/>
  <c r="I17" i="14"/>
  <c r="D31" i="14"/>
  <c r="F31" i="14"/>
  <c r="H31" i="14"/>
  <c r="C33" i="14"/>
  <c r="C36" i="14"/>
  <c r="C38" i="14"/>
  <c r="C40" i="14"/>
  <c r="E33" i="14"/>
  <c r="E36" i="14"/>
  <c r="E38" i="14"/>
  <c r="E40" i="14"/>
  <c r="G33" i="14"/>
  <c r="H17" i="14"/>
  <c r="E20" i="13"/>
  <c r="E21" i="13"/>
  <c r="C69" i="13"/>
  <c r="D21" i="13"/>
  <c r="C22" i="13"/>
  <c r="C20" i="13"/>
  <c r="C21" i="13"/>
  <c r="D15" i="13"/>
  <c r="C17" i="13"/>
  <c r="C28" i="13"/>
  <c r="C70" i="13"/>
  <c r="C72" i="13"/>
  <c r="E17" i="13"/>
  <c r="E28" i="13"/>
  <c r="E70" i="13"/>
  <c r="E72" i="13"/>
  <c r="E69" i="13"/>
  <c r="D48" i="13"/>
  <c r="D42" i="13"/>
  <c r="F17" i="12"/>
  <c r="C20" i="12"/>
  <c r="D20" i="12"/>
  <c r="E17" i="12"/>
  <c r="E15" i="12"/>
  <c r="F15" i="12"/>
  <c r="E43" i="11"/>
  <c r="F43" i="11"/>
  <c r="E41" i="11"/>
  <c r="F75" i="11"/>
  <c r="F65" i="11"/>
  <c r="F73" i="11"/>
  <c r="F41" i="11"/>
  <c r="E22" i="11"/>
  <c r="F22" i="11"/>
  <c r="E38" i="11"/>
  <c r="F38" i="11"/>
  <c r="E56" i="11"/>
  <c r="F56" i="11"/>
  <c r="E61" i="11"/>
  <c r="F61" i="11"/>
  <c r="E121" i="10"/>
  <c r="E112" i="10"/>
  <c r="E113" i="10"/>
  <c r="F207" i="9"/>
  <c r="F208" i="9"/>
  <c r="E198" i="9"/>
  <c r="F198" i="9"/>
  <c r="E199" i="9"/>
  <c r="F199" i="9"/>
  <c r="C21" i="8"/>
  <c r="E21" i="8"/>
  <c r="E140" i="8"/>
  <c r="E138" i="8"/>
  <c r="E136" i="8"/>
  <c r="E139" i="8"/>
  <c r="E137" i="8"/>
  <c r="E135" i="8"/>
  <c r="D139" i="8"/>
  <c r="D137" i="8"/>
  <c r="D135" i="8"/>
  <c r="D140" i="8"/>
  <c r="D138" i="8"/>
  <c r="D136" i="8"/>
  <c r="C157" i="8"/>
  <c r="C155" i="8"/>
  <c r="C153" i="8"/>
  <c r="C156" i="8"/>
  <c r="C154" i="8"/>
  <c r="C152" i="8"/>
  <c r="E157" i="8"/>
  <c r="E155" i="8"/>
  <c r="E153" i="8"/>
  <c r="E156" i="8"/>
  <c r="E154" i="8"/>
  <c r="E152" i="8"/>
  <c r="D21" i="8"/>
  <c r="C140" i="8"/>
  <c r="C138" i="8"/>
  <c r="C136" i="8"/>
  <c r="C139" i="8"/>
  <c r="C137" i="8"/>
  <c r="C135" i="8"/>
  <c r="D156" i="8"/>
  <c r="D154" i="8"/>
  <c r="D152" i="8"/>
  <c r="D157" i="8"/>
  <c r="D155" i="8"/>
  <c r="D153" i="8"/>
  <c r="D15" i="8"/>
  <c r="C43" i="8"/>
  <c r="E43" i="8"/>
  <c r="D49" i="8"/>
  <c r="C53" i="8"/>
  <c r="E53" i="8"/>
  <c r="D57" i="8"/>
  <c r="D62" i="8"/>
  <c r="D77" i="8"/>
  <c r="D71" i="8"/>
  <c r="C15" i="8"/>
  <c r="E15" i="8"/>
  <c r="D43" i="8"/>
  <c r="C49" i="8"/>
  <c r="E49" i="8"/>
  <c r="C77" i="8"/>
  <c r="C71" i="8"/>
  <c r="E77" i="8"/>
  <c r="E71" i="8"/>
  <c r="F95" i="7"/>
  <c r="F188" i="7"/>
  <c r="E90" i="7"/>
  <c r="F90" i="7"/>
  <c r="E183" i="7"/>
  <c r="F183" i="7"/>
  <c r="F52" i="6"/>
  <c r="E95" i="6"/>
  <c r="F179" i="6"/>
  <c r="F95" i="6"/>
  <c r="E41" i="6"/>
  <c r="F41" i="6"/>
  <c r="E84" i="6"/>
  <c r="F84" i="6"/>
  <c r="D21" i="5"/>
  <c r="E18" i="5"/>
  <c r="F18" i="5"/>
  <c r="C21" i="5"/>
  <c r="F48" i="5"/>
  <c r="E16" i="5"/>
  <c r="F16" i="5"/>
  <c r="E43" i="4"/>
  <c r="F43" i="4"/>
  <c r="E41" i="4"/>
  <c r="F75" i="4"/>
  <c r="F65" i="4"/>
  <c r="F73" i="4"/>
  <c r="F41" i="4"/>
  <c r="E22" i="4"/>
  <c r="F22" i="4"/>
  <c r="E38" i="4"/>
  <c r="F38" i="4"/>
  <c r="E56" i="4"/>
  <c r="F56" i="4"/>
  <c r="E61" i="4"/>
  <c r="F61" i="4"/>
  <c r="E53" i="22"/>
  <c r="E45" i="22"/>
  <c r="E39" i="22"/>
  <c r="E35" i="22"/>
  <c r="E29" i="22"/>
  <c r="E110" i="22"/>
  <c r="C111" i="22"/>
  <c r="C54" i="22"/>
  <c r="C46" i="22"/>
  <c r="C40" i="22"/>
  <c r="C36" i="22"/>
  <c r="C30" i="22"/>
  <c r="D56" i="22"/>
  <c r="D48" i="22"/>
  <c r="D38" i="22"/>
  <c r="D113" i="22"/>
  <c r="C53" i="22"/>
  <c r="C45" i="22"/>
  <c r="C39" i="22"/>
  <c r="C35" i="22"/>
  <c r="C29" i="22"/>
  <c r="C110" i="22"/>
  <c r="E111" i="22"/>
  <c r="E54" i="22"/>
  <c r="E46" i="22"/>
  <c r="E40" i="22"/>
  <c r="E36" i="22"/>
  <c r="E30" i="22"/>
  <c r="D110" i="22"/>
  <c r="D53" i="22"/>
  <c r="D45" i="22"/>
  <c r="D39" i="22"/>
  <c r="D35" i="22"/>
  <c r="D29" i="22"/>
  <c r="F43" i="20"/>
  <c r="E46" i="20"/>
  <c r="F46" i="20"/>
  <c r="E41" i="20"/>
  <c r="F39" i="20"/>
  <c r="F41" i="20"/>
  <c r="D258" i="18"/>
  <c r="D101" i="18"/>
  <c r="D99" i="18"/>
  <c r="D97" i="18"/>
  <c r="D95" i="18"/>
  <c r="D88" i="18"/>
  <c r="D86" i="18"/>
  <c r="D84" i="18"/>
  <c r="E44" i="18"/>
  <c r="D100" i="18"/>
  <c r="D98" i="18"/>
  <c r="D96" i="18"/>
  <c r="D89" i="18"/>
  <c r="D87" i="18"/>
  <c r="D85" i="18"/>
  <c r="D83" i="18"/>
  <c r="E303" i="18"/>
  <c r="D306" i="18"/>
  <c r="D241" i="18"/>
  <c r="E241" i="18"/>
  <c r="E217" i="18"/>
  <c r="C169" i="18"/>
  <c r="C181" i="18"/>
  <c r="E283" i="18"/>
  <c r="E222" i="18"/>
  <c r="D246" i="18"/>
  <c r="E246" i="18"/>
  <c r="C223" i="18"/>
  <c r="C247" i="18"/>
  <c r="D234" i="18"/>
  <c r="E234" i="18"/>
  <c r="D211" i="18"/>
  <c r="E210" i="18"/>
  <c r="E189" i="18"/>
  <c r="E22" i="18"/>
  <c r="C128" i="18"/>
  <c r="C129" i="18"/>
  <c r="E326" i="18"/>
  <c r="D330" i="18"/>
  <c r="E330" i="18"/>
  <c r="D168" i="18"/>
  <c r="E168" i="18"/>
  <c r="D180" i="18"/>
  <c r="E180" i="18"/>
  <c r="D145" i="18"/>
  <c r="E144" i="18"/>
  <c r="E252" i="18"/>
  <c r="D126" i="18"/>
  <c r="E126" i="18"/>
  <c r="D124" i="18"/>
  <c r="E124" i="18"/>
  <c r="D122" i="18"/>
  <c r="D115" i="18"/>
  <c r="E115" i="18"/>
  <c r="D113" i="18"/>
  <c r="E113" i="18"/>
  <c r="D111" i="18"/>
  <c r="E111" i="18"/>
  <c r="D109" i="18"/>
  <c r="D127" i="18"/>
  <c r="E127" i="18"/>
  <c r="D125" i="18"/>
  <c r="E125" i="18"/>
  <c r="D123" i="18"/>
  <c r="E123" i="18"/>
  <c r="D121" i="18"/>
  <c r="D114" i="18"/>
  <c r="E114" i="18"/>
  <c r="D112" i="18"/>
  <c r="E112" i="18"/>
  <c r="D110" i="18"/>
  <c r="E77" i="18"/>
  <c r="D259" i="18"/>
  <c r="E43" i="18"/>
  <c r="E33" i="18"/>
  <c r="D66" i="18"/>
  <c r="E66" i="18"/>
  <c r="E65" i="18"/>
  <c r="C258" i="18"/>
  <c r="C100" i="18"/>
  <c r="C98" i="18"/>
  <c r="C96" i="18"/>
  <c r="C89" i="18"/>
  <c r="C87" i="18"/>
  <c r="C85" i="18"/>
  <c r="C83" i="18"/>
  <c r="C101" i="18"/>
  <c r="C99" i="18"/>
  <c r="C97" i="18"/>
  <c r="C95" i="18"/>
  <c r="C88" i="18"/>
  <c r="C86" i="18"/>
  <c r="C84" i="18"/>
  <c r="C90" i="18"/>
  <c r="D284" i="18"/>
  <c r="E284" i="18"/>
  <c r="C116" i="18"/>
  <c r="C117" i="18"/>
  <c r="D281" i="17"/>
  <c r="D300" i="17"/>
  <c r="E264" i="17"/>
  <c r="F264" i="17"/>
  <c r="D255" i="17"/>
  <c r="E255" i="17"/>
  <c r="F255" i="17"/>
  <c r="E215" i="17"/>
  <c r="F215" i="17"/>
  <c r="D272" i="17"/>
  <c r="E262" i="17"/>
  <c r="D254" i="17"/>
  <c r="D216" i="17"/>
  <c r="E214" i="17"/>
  <c r="E205" i="17"/>
  <c r="F205" i="17"/>
  <c r="E285" i="17"/>
  <c r="F285" i="17"/>
  <c r="E283" i="17"/>
  <c r="F283" i="17"/>
  <c r="D286" i="17"/>
  <c r="E199" i="17"/>
  <c r="F199" i="17"/>
  <c r="E290" i="17"/>
  <c r="E190" i="17"/>
  <c r="F190" i="17"/>
  <c r="D284" i="17"/>
  <c r="E284" i="17"/>
  <c r="F284" i="17"/>
  <c r="C300" i="17"/>
  <c r="C265" i="17"/>
  <c r="C271" i="17"/>
  <c r="C268" i="17"/>
  <c r="C263" i="17"/>
  <c r="F206" i="17"/>
  <c r="F269" i="17"/>
  <c r="F200" i="17"/>
  <c r="F274" i="17"/>
  <c r="D207" i="17"/>
  <c r="E137" i="17"/>
  <c r="F137" i="17"/>
  <c r="D138" i="17"/>
  <c r="E138" i="17"/>
  <c r="F138" i="17"/>
  <c r="C194" i="17"/>
  <c r="C196" i="17"/>
  <c r="D161" i="17"/>
  <c r="D49" i="17"/>
  <c r="D126" i="17"/>
  <c r="D91" i="17"/>
  <c r="E21" i="17"/>
  <c r="F21" i="17"/>
  <c r="C208" i="17"/>
  <c r="E192" i="17"/>
  <c r="F192" i="17"/>
  <c r="F37" i="17"/>
  <c r="C161" i="17"/>
  <c r="C126" i="17"/>
  <c r="C91" i="17"/>
  <c r="C49" i="17"/>
  <c r="C282" i="17"/>
  <c r="F90" i="17"/>
  <c r="C210" i="17"/>
  <c r="C175" i="17"/>
  <c r="C140" i="17"/>
  <c r="C105" i="17"/>
  <c r="C62" i="17"/>
  <c r="D271" i="17"/>
  <c r="D268" i="17"/>
  <c r="E268" i="17"/>
  <c r="D263" i="17"/>
  <c r="E263" i="17"/>
  <c r="E261" i="17"/>
  <c r="F261" i="17"/>
  <c r="D270" i="17"/>
  <c r="E267" i="17"/>
  <c r="D194" i="17"/>
  <c r="D196" i="17"/>
  <c r="E193" i="17"/>
  <c r="F193" i="17"/>
  <c r="E288" i="17"/>
  <c r="F288" i="17"/>
  <c r="E287" i="17"/>
  <c r="F287" i="17"/>
  <c r="D291" i="17"/>
  <c r="D289" i="17"/>
  <c r="C270" i="17"/>
  <c r="F267" i="17"/>
  <c r="C272" i="17"/>
  <c r="F262" i="17"/>
  <c r="F214" i="17"/>
  <c r="C216" i="17"/>
  <c r="C286" i="17"/>
  <c r="F290" i="17"/>
  <c r="F279" i="17"/>
  <c r="C291" i="17"/>
  <c r="C289" i="17"/>
  <c r="E172" i="17"/>
  <c r="D173" i="17"/>
  <c r="E173" i="17"/>
  <c r="D266" i="17"/>
  <c r="E266" i="17"/>
  <c r="F266" i="17"/>
  <c r="E124" i="17"/>
  <c r="F124" i="17"/>
  <c r="D139" i="17"/>
  <c r="D104" i="17"/>
  <c r="E104" i="17"/>
  <c r="E61" i="17"/>
  <c r="F61" i="17"/>
  <c r="D160" i="17"/>
  <c r="E160" i="17"/>
  <c r="F160" i="17"/>
  <c r="D62" i="17"/>
  <c r="D105" i="17"/>
  <c r="E32" i="17"/>
  <c r="F32" i="17"/>
  <c r="E103" i="17"/>
  <c r="F103" i="17"/>
  <c r="C209" i="17"/>
  <c r="C174" i="17"/>
  <c r="C139" i="17"/>
  <c r="C104" i="17"/>
  <c r="C125" i="17"/>
  <c r="G36" i="14"/>
  <c r="G38" i="14"/>
  <c r="G40" i="14"/>
  <c r="I33" i="14"/>
  <c r="I36" i="14"/>
  <c r="I38" i="14"/>
  <c r="I40" i="14"/>
  <c r="H33" i="14"/>
  <c r="H36" i="14"/>
  <c r="H38" i="14"/>
  <c r="H40" i="14"/>
  <c r="D24" i="13"/>
  <c r="D20" i="13"/>
  <c r="D17" i="13"/>
  <c r="D28" i="13"/>
  <c r="E22" i="13"/>
  <c r="D34" i="12"/>
  <c r="E20" i="12"/>
  <c r="F20" i="12"/>
  <c r="C34" i="12"/>
  <c r="C24" i="8"/>
  <c r="C20" i="8"/>
  <c r="C17" i="8"/>
  <c r="D24" i="8"/>
  <c r="D20" i="8"/>
  <c r="D17" i="8"/>
  <c r="E24" i="8"/>
  <c r="E20" i="8"/>
  <c r="E17" i="8"/>
  <c r="C141" i="8"/>
  <c r="E158" i="8"/>
  <c r="C158" i="8"/>
  <c r="E141" i="8"/>
  <c r="D158" i="8"/>
  <c r="D141" i="8"/>
  <c r="D35" i="5"/>
  <c r="E21" i="5"/>
  <c r="F21" i="5"/>
  <c r="C35" i="5"/>
  <c r="D112" i="22"/>
  <c r="D55" i="22"/>
  <c r="D47" i="22"/>
  <c r="D37" i="22"/>
  <c r="E113" i="22"/>
  <c r="E56" i="22"/>
  <c r="E48" i="22"/>
  <c r="E38" i="22"/>
  <c r="C113" i="22"/>
  <c r="C56" i="22"/>
  <c r="C48" i="22"/>
  <c r="C38" i="22"/>
  <c r="C55" i="22"/>
  <c r="C47" i="22"/>
  <c r="C37" i="22"/>
  <c r="C112" i="22"/>
  <c r="E55" i="22"/>
  <c r="E47" i="22"/>
  <c r="E37" i="22"/>
  <c r="E112" i="22"/>
  <c r="D175" i="17"/>
  <c r="E175" i="17"/>
  <c r="F175" i="17"/>
  <c r="D174" i="17"/>
  <c r="E174" i="17"/>
  <c r="C131" i="18"/>
  <c r="D140" i="17"/>
  <c r="C91" i="18"/>
  <c r="C102" i="18"/>
  <c r="C103" i="18"/>
  <c r="E121" i="18"/>
  <c r="D129" i="18"/>
  <c r="E129" i="18"/>
  <c r="E109" i="18"/>
  <c r="D128" i="18"/>
  <c r="E128" i="18"/>
  <c r="E122" i="18"/>
  <c r="E211" i="18"/>
  <c r="D235" i="18"/>
  <c r="E235" i="18"/>
  <c r="E223" i="18"/>
  <c r="E306" i="18"/>
  <c r="D310" i="18"/>
  <c r="E310" i="18"/>
  <c r="E83" i="18"/>
  <c r="E87" i="18"/>
  <c r="E96" i="18"/>
  <c r="D102" i="18"/>
  <c r="E102" i="18"/>
  <c r="E100" i="18"/>
  <c r="D90" i="18"/>
  <c r="E90" i="18"/>
  <c r="E84" i="18"/>
  <c r="E88" i="18"/>
  <c r="E97" i="18"/>
  <c r="E101" i="18"/>
  <c r="C264" i="18"/>
  <c r="C266" i="18"/>
  <c r="C267" i="18"/>
  <c r="D295" i="18"/>
  <c r="E295" i="18"/>
  <c r="D263" i="18"/>
  <c r="E263" i="18"/>
  <c r="E259" i="18"/>
  <c r="E110" i="18"/>
  <c r="D116" i="18"/>
  <c r="E116" i="18"/>
  <c r="D181" i="18"/>
  <c r="E181" i="18"/>
  <c r="E145" i="18"/>
  <c r="D169" i="18"/>
  <c r="E169" i="18"/>
  <c r="D247" i="18"/>
  <c r="E247" i="18"/>
  <c r="E85" i="18"/>
  <c r="E89" i="18"/>
  <c r="E98" i="18"/>
  <c r="E86" i="18"/>
  <c r="D103" i="18"/>
  <c r="E95" i="18"/>
  <c r="E99" i="18"/>
  <c r="E258" i="18"/>
  <c r="D264" i="18"/>
  <c r="D197" i="17"/>
  <c r="E196" i="17"/>
  <c r="F196" i="17"/>
  <c r="F104" i="17"/>
  <c r="F174" i="17"/>
  <c r="E105" i="17"/>
  <c r="F105" i="17"/>
  <c r="D106" i="17"/>
  <c r="E140" i="17"/>
  <c r="F140" i="17"/>
  <c r="D141" i="17"/>
  <c r="E139" i="17"/>
  <c r="F139" i="17"/>
  <c r="C305" i="17"/>
  <c r="E289" i="17"/>
  <c r="F289" i="17"/>
  <c r="C63" i="17"/>
  <c r="C106" i="17"/>
  <c r="C176" i="17"/>
  <c r="F176" i="17"/>
  <c r="C281" i="17"/>
  <c r="E281" i="17"/>
  <c r="C127" i="17"/>
  <c r="E91" i="17"/>
  <c r="D92" i="17"/>
  <c r="D50" i="17"/>
  <c r="E49" i="17"/>
  <c r="F49" i="17"/>
  <c r="F263" i="17"/>
  <c r="E216" i="17"/>
  <c r="F216" i="17"/>
  <c r="E300" i="17"/>
  <c r="F300" i="17"/>
  <c r="E125" i="17"/>
  <c r="F125" i="17"/>
  <c r="D63" i="17"/>
  <c r="E62" i="17"/>
  <c r="F62" i="17"/>
  <c r="E291" i="17"/>
  <c r="F291" i="17"/>
  <c r="D305" i="17"/>
  <c r="E194" i="17"/>
  <c r="D195" i="17"/>
  <c r="E270" i="17"/>
  <c r="F270" i="17"/>
  <c r="E271" i="17"/>
  <c r="D304" i="17"/>
  <c r="D273" i="17"/>
  <c r="C141" i="17"/>
  <c r="C50" i="17"/>
  <c r="C92" i="17"/>
  <c r="F91" i="17"/>
  <c r="C162" i="17"/>
  <c r="E126" i="17"/>
  <c r="F126" i="17"/>
  <c r="D127" i="17"/>
  <c r="E161" i="17"/>
  <c r="F161" i="17"/>
  <c r="D162" i="17"/>
  <c r="F194" i="17"/>
  <c r="C195" i="17"/>
  <c r="D208" i="17"/>
  <c r="E207" i="17"/>
  <c r="F207" i="17"/>
  <c r="F268" i="17"/>
  <c r="C273" i="17"/>
  <c r="F271" i="17"/>
  <c r="E286" i="17"/>
  <c r="F286" i="17"/>
  <c r="E254" i="17"/>
  <c r="F254" i="17"/>
  <c r="E272" i="17"/>
  <c r="F272" i="17"/>
  <c r="D265" i="17"/>
  <c r="E265" i="17"/>
  <c r="F265" i="17"/>
  <c r="E282" i="17"/>
  <c r="F282" i="17"/>
  <c r="D70" i="13"/>
  <c r="D72" i="13"/>
  <c r="D69" i="13"/>
  <c r="D22" i="13"/>
  <c r="D42" i="12"/>
  <c r="E34" i="12"/>
  <c r="F34" i="12"/>
  <c r="C42" i="12"/>
  <c r="E112" i="8"/>
  <c r="E111" i="8"/>
  <c r="E28" i="8"/>
  <c r="D28" i="8"/>
  <c r="D112" i="8"/>
  <c r="D111" i="8"/>
  <c r="C112" i="8"/>
  <c r="C111" i="8"/>
  <c r="C28" i="8"/>
  <c r="D43" i="5"/>
  <c r="E35" i="5"/>
  <c r="F35" i="5"/>
  <c r="C43" i="5"/>
  <c r="D176" i="17"/>
  <c r="D323" i="17"/>
  <c r="E323" i="17"/>
  <c r="E264" i="18"/>
  <c r="D266" i="18"/>
  <c r="D91" i="18"/>
  <c r="D117" i="18"/>
  <c r="C105" i="18"/>
  <c r="E103" i="18"/>
  <c r="C269" i="18"/>
  <c r="C268" i="18"/>
  <c r="D183" i="17"/>
  <c r="E162" i="17"/>
  <c r="D148" i="17"/>
  <c r="E127" i="17"/>
  <c r="F127" i="17"/>
  <c r="C323" i="17"/>
  <c r="F323" i="17"/>
  <c r="C183" i="17"/>
  <c r="F183" i="17"/>
  <c r="F162" i="17"/>
  <c r="C324" i="17"/>
  <c r="C113" i="17"/>
  <c r="E273" i="17"/>
  <c r="F273" i="17"/>
  <c r="E195" i="17"/>
  <c r="F195" i="17"/>
  <c r="D309" i="17"/>
  <c r="D310" i="17"/>
  <c r="E305" i="17"/>
  <c r="F305" i="17"/>
  <c r="E63" i="17"/>
  <c r="F63" i="17"/>
  <c r="D70" i="17"/>
  <c r="E50" i="17"/>
  <c r="F50" i="17"/>
  <c r="C197" i="17"/>
  <c r="C148" i="17"/>
  <c r="C309" i="17"/>
  <c r="D322" i="17"/>
  <c r="E322" i="17"/>
  <c r="E141" i="17"/>
  <c r="F141" i="17"/>
  <c r="E106" i="17"/>
  <c r="F106" i="17"/>
  <c r="E176" i="17"/>
  <c r="E208" i="17"/>
  <c r="F208" i="17"/>
  <c r="D209" i="17"/>
  <c r="E209" i="17"/>
  <c r="F209" i="17"/>
  <c r="D210" i="17"/>
  <c r="C70" i="17"/>
  <c r="C322" i="17"/>
  <c r="C211" i="17"/>
  <c r="E304" i="17"/>
  <c r="F304" i="17"/>
  <c r="D324" i="17"/>
  <c r="E92" i="17"/>
  <c r="F92" i="17"/>
  <c r="D113" i="17"/>
  <c r="E113" i="17"/>
  <c r="F281" i="17"/>
  <c r="E197" i="17"/>
  <c r="D49" i="12"/>
  <c r="E49" i="12"/>
  <c r="E42" i="12"/>
  <c r="F42" i="12"/>
  <c r="C49" i="12"/>
  <c r="D99" i="8"/>
  <c r="D101" i="8"/>
  <c r="D98" i="8"/>
  <c r="D22" i="8"/>
  <c r="C99" i="8"/>
  <c r="C101" i="8"/>
  <c r="C98" i="8"/>
  <c r="C22" i="8"/>
  <c r="E99" i="8"/>
  <c r="E101" i="8"/>
  <c r="E98" i="8"/>
  <c r="E22" i="8"/>
  <c r="D50" i="5"/>
  <c r="E50" i="5"/>
  <c r="E43" i="5"/>
  <c r="F43" i="5"/>
  <c r="C50" i="5"/>
  <c r="C271" i="18"/>
  <c r="D131" i="18"/>
  <c r="E131" i="18"/>
  <c r="E117" i="18"/>
  <c r="E266" i="18"/>
  <c r="D267" i="18"/>
  <c r="E91" i="18"/>
  <c r="D105" i="18"/>
  <c r="E105" i="18"/>
  <c r="D211" i="17"/>
  <c r="E211" i="17"/>
  <c r="F211" i="17"/>
  <c r="E210" i="17"/>
  <c r="F210" i="17"/>
  <c r="D325" i="17"/>
  <c r="E324" i="17"/>
  <c r="D312" i="17"/>
  <c r="E310" i="17"/>
  <c r="F322" i="17"/>
  <c r="E309" i="17"/>
  <c r="F113" i="17"/>
  <c r="E148" i="17"/>
  <c r="F148" i="17"/>
  <c r="E183" i="17"/>
  <c r="F309" i="17"/>
  <c r="C310" i="17"/>
  <c r="F197" i="17"/>
  <c r="E70" i="17"/>
  <c r="F70" i="17"/>
  <c r="F324" i="17"/>
  <c r="C325" i="17"/>
  <c r="F49" i="12"/>
  <c r="F50" i="5"/>
  <c r="D269" i="18"/>
  <c r="E269" i="18"/>
  <c r="E267" i="18"/>
  <c r="D268" i="18"/>
  <c r="F310" i="17"/>
  <c r="C312" i="17"/>
  <c r="E312" i="17"/>
  <c r="D313" i="17"/>
  <c r="E325" i="17"/>
  <c r="F325" i="17"/>
  <c r="D271" i="18"/>
  <c r="E271" i="18"/>
  <c r="E268" i="18"/>
  <c r="D315" i="17"/>
  <c r="D314" i="17"/>
  <c r="D251" i="17"/>
  <c r="D256" i="17"/>
  <c r="F312" i="17"/>
  <c r="C313" i="17"/>
  <c r="D318" i="17"/>
  <c r="C314" i="17"/>
  <c r="C251" i="17"/>
  <c r="C256" i="17"/>
  <c r="C315" i="17"/>
  <c r="D257" i="17"/>
  <c r="E256" i="17"/>
  <c r="E313" i="17"/>
  <c r="F313" i="17"/>
  <c r="E315" i="17"/>
  <c r="F315" i="17"/>
  <c r="E318" i="17"/>
  <c r="F256" i="17"/>
  <c r="C257" i="17"/>
  <c r="C318" i="17"/>
  <c r="E314" i="17"/>
  <c r="F314" i="17"/>
  <c r="E251" i="17"/>
  <c r="F251" i="17"/>
  <c r="F318" i="17"/>
  <c r="E257" i="17"/>
  <c r="F257" i="17"/>
</calcChain>
</file>

<file path=xl/sharedStrings.xml><?xml version="1.0" encoding="utf-8"?>
<sst xmlns="http://schemas.openxmlformats.org/spreadsheetml/2006/main" count="2333" uniqueCount="1007">
  <si>
    <t>GRIFFIN HOSPITAL</t>
  </si>
  <si>
    <t>TWELVE MONTHS ACTUAL FILING</t>
  </si>
  <si>
    <t>FISCAL YEAR 2014</t>
  </si>
  <si>
    <t>REPORT 100 - HOSPITAL BALANCE SHEET INFORMATION</t>
  </si>
  <si>
    <t>FY 2013</t>
  </si>
  <si>
    <t>FY 2014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</si>
  <si>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</si>
  <si>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</si>
  <si>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</si>
  <si>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</si>
  <si>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</si>
  <si>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</si>
  <si>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</si>
  <si>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</si>
  <si>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</si>
  <si>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</si>
  <si>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</si>
  <si>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</si>
  <si>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</si>
  <si>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</si>
  <si>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</si>
  <si>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</si>
  <si>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</si>
  <si>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</si>
  <si>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</si>
  <si>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</si>
  <si>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</si>
  <si>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</si>
  <si>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</si>
  <si>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</si>
  <si>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</si>
  <si>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</si>
  <si>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</si>
  <si>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</si>
  <si>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</si>
  <si>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</si>
  <si>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</si>
  <si>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</si>
  <si>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</si>
  <si>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</si>
  <si>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</si>
  <si>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</si>
  <si>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</si>
  <si>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</si>
  <si>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</si>
  <si>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</si>
  <si>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</si>
  <si>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</si>
  <si>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</si>
  <si>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</si>
  <si>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</si>
  <si>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</si>
  <si>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</si>
  <si>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</si>
  <si>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</si>
  <si>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</si>
  <si>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</si>
  <si>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</si>
  <si>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</si>
  <si>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</si>
  <si>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</si>
  <si>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</si>
  <si>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</si>
  <si>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</si>
  <si>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</si>
  <si>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</si>
  <si>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</si>
  <si>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</si>
  <si>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</si>
  <si>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</si>
  <si>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</si>
  <si>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</si>
  <si>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</si>
  <si>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</si>
  <si>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</si>
  <si>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</si>
  <si>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</si>
  <si>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</si>
  <si>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</si>
  <si>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</si>
  <si>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</si>
  <si>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</si>
  <si>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</si>
  <si>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</si>
  <si>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</si>
  <si>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</si>
  <si>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</si>
  <si>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</si>
  <si>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</si>
  <si>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</si>
  <si>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</si>
  <si>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</si>
  <si>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</si>
  <si>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</si>
  <si>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</si>
  <si>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</si>
  <si>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</si>
  <si>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</si>
  <si>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</si>
  <si>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</si>
  <si>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</si>
  <si>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</si>
  <si>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</si>
  <si>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</si>
  <si>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</si>
  <si>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</si>
  <si>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</si>
  <si>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2013                ACTUAL</t>
  </si>
  <si>
    <t>FY 2014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</si>
  <si>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</si>
  <si>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</si>
  <si>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</si>
  <si>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</si>
  <si>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</si>
  <si>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</si>
  <si>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</si>
  <si>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</si>
  <si>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</si>
  <si>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</si>
  <si>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</si>
  <si>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</si>
  <si>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</si>
  <si>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</si>
  <si>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</si>
  <si>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</si>
  <si>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</si>
  <si>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</si>
  <si>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</si>
  <si>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</si>
  <si>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</si>
  <si>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</si>
  <si>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</si>
  <si>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</si>
  <si>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</si>
  <si>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</si>
  <si>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</si>
  <si>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</si>
  <si>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</si>
  <si>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</si>
  <si>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</si>
  <si>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</si>
  <si>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</si>
  <si>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</si>
  <si>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</si>
  <si>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</si>
  <si>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</si>
  <si>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</si>
  <si>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</si>
  <si>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</si>
  <si>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</si>
  <si>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</si>
  <si>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</si>
  <si>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</si>
  <si>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</si>
  <si>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</si>
  <si>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</si>
  <si>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</si>
  <si>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</si>
  <si>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</si>
  <si>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</si>
  <si>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</si>
  <si>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</si>
  <si>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</si>
  <si>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</si>
  <si>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</si>
  <si>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</si>
  <si>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</si>
  <si>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</si>
  <si>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</si>
  <si>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</si>
  <si>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</si>
  <si>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</si>
  <si>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</si>
  <si>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</si>
  <si>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</si>
  <si>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</si>
  <si>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</si>
  <si>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</si>
  <si>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</si>
  <si>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</si>
  <si>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</si>
  <si>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</si>
  <si>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</si>
  <si>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</si>
  <si>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</si>
  <si>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</si>
  <si>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</si>
  <si>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</si>
  <si>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</si>
  <si>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</si>
  <si>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</si>
  <si>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</si>
  <si>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</si>
  <si>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</si>
  <si>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</si>
  <si>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</si>
  <si>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</si>
  <si>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</si>
  <si>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</si>
  <si>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</si>
  <si>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</si>
  <si>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</si>
  <si>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</si>
  <si>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</si>
  <si>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</si>
  <si>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</si>
  <si>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</si>
  <si>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</si>
  <si>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</si>
  <si>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</si>
  <si>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</si>
  <si>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</si>
  <si>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</si>
  <si>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</si>
  <si>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</si>
  <si>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</si>
  <si>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</si>
  <si>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</si>
  <si>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</si>
  <si>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</si>
  <si>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</si>
  <si>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</si>
  <si>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</si>
  <si>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</si>
  <si>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</si>
  <si>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</si>
  <si>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</si>
  <si>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</si>
  <si>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</si>
  <si>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</si>
  <si>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</si>
  <si>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</si>
  <si>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</si>
  <si>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</si>
  <si>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</si>
  <si>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</si>
  <si>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</si>
  <si>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</si>
  <si>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</si>
  <si>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</si>
  <si>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</si>
  <si>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</si>
  <si>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</si>
  <si>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</si>
  <si>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</si>
  <si>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</si>
  <si>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</si>
  <si>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</si>
  <si>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</si>
  <si>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</si>
  <si>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</si>
  <si>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</si>
  <si>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</si>
  <si>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</si>
  <si>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</si>
  <si>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</si>
  <si>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</si>
  <si>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</si>
  <si>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</si>
  <si>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</si>
  <si>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</si>
  <si>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</si>
  <si>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</si>
  <si>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</si>
  <si>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</si>
  <si>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</si>
  <si>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</si>
  <si>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</si>
  <si>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</si>
  <si>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</si>
  <si>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</si>
  <si>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</si>
  <si>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</si>
  <si>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</si>
  <si>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</si>
  <si>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</si>
  <si>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</si>
  <si>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</si>
  <si>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</si>
  <si>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</si>
  <si>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</si>
  <si>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</si>
  <si>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</si>
  <si>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</si>
  <si>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</si>
  <si>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</si>
  <si>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</si>
  <si>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</si>
  <si>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</si>
  <si>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</si>
  <si>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</si>
  <si>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</si>
  <si>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</si>
  <si>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</si>
  <si>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</si>
  <si>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</si>
  <si>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</si>
  <si>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</si>
  <si>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</si>
  <si>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</si>
  <si>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</si>
  <si>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</si>
  <si>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</si>
  <si>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</si>
  <si>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</si>
  <si>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</si>
  <si>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</si>
  <si>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</si>
  <si>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</si>
  <si>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</si>
  <si>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</si>
  <si>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</si>
  <si>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</si>
  <si>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</si>
  <si>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2014</t>
  </si>
  <si>
    <t>REPORT 185 - HOSPITAL FINANCIAL AND STATISTICAL DATA ANALYSIS</t>
  </si>
  <si>
    <t xml:space="preserve">      FY 2012</t>
  </si>
  <si>
    <t xml:space="preserve">      FY 2013</t>
  </si>
  <si>
    <t xml:space="preserve">      FY 2014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</si>
  <si>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</si>
  <si>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</si>
  <si>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</si>
  <si>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</si>
  <si>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</si>
  <si>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</si>
  <si>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</si>
  <si>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</si>
  <si>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</si>
  <si>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</si>
  <si>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</si>
  <si>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</si>
  <si>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</si>
  <si>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</si>
  <si>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</si>
  <si>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</si>
  <si>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</si>
  <si>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</si>
  <si>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</si>
  <si>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</si>
  <si>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</si>
  <si>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</si>
  <si>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</si>
  <si>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</si>
  <si>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</si>
  <si>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</si>
  <si>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</si>
  <si>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</si>
  <si>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</si>
  <si>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</si>
  <si>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</si>
  <si>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</si>
  <si>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</si>
  <si>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</si>
  <si>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</si>
  <si>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</si>
  <si>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</si>
  <si>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</si>
  <si>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</si>
  <si>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</si>
  <si>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</si>
  <si>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</si>
  <si>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</si>
  <si>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</si>
  <si>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</si>
  <si>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</si>
  <si>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</si>
  <si>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</si>
  <si>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</si>
  <si>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</si>
  <si>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</si>
  <si>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</si>
  <si>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</si>
  <si>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</si>
  <si>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</si>
  <si>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</si>
  <si>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</si>
  <si>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</si>
  <si>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</si>
  <si>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</si>
  <si>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</si>
  <si>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</si>
  <si>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</si>
  <si>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</si>
  <si>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</si>
  <si>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</si>
  <si>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</si>
  <si>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</si>
  <si>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</si>
  <si>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</si>
  <si>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</si>
  <si>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</si>
  <si>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</si>
  <si>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</si>
  <si>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</si>
  <si>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</si>
  <si>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</si>
  <si>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</si>
  <si>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</si>
  <si>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</si>
  <si>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</si>
  <si>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</si>
  <si>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</si>
  <si>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</si>
  <si>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</si>
  <si>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</si>
  <si>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</si>
  <si>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</si>
  <si>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</si>
  <si>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</si>
  <si>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</si>
  <si>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</si>
  <si>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</si>
  <si>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</si>
  <si>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</si>
  <si>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</si>
  <si>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</si>
  <si>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</si>
  <si>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</si>
  <si>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</si>
  <si>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</si>
  <si>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</si>
  <si>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</si>
  <si>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</si>
  <si>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</si>
  <si>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</si>
  <si>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</si>
  <si>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</si>
  <si>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</si>
  <si>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</si>
  <si>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</si>
  <si>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</si>
  <si>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</si>
  <si>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</si>
  <si>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</si>
  <si>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</si>
  <si>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</si>
  <si>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2013 ACTUAL</t>
  </si>
  <si>
    <t>FY 2014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</si>
  <si>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</si>
  <si>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</si>
  <si>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</si>
  <si>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</si>
  <si>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</si>
  <si>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</si>
  <si>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</si>
  <si>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</si>
  <si>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</si>
  <si>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</si>
  <si>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</si>
  <si>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</si>
  <si>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</si>
  <si>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</si>
  <si>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</si>
  <si>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</si>
  <si>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</si>
  <si>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</si>
  <si>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</si>
  <si>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</si>
  <si>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</si>
  <si>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</si>
  <si>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</si>
  <si>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</si>
  <si>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</si>
  <si>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</si>
  <si>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</si>
  <si>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</si>
  <si>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</si>
  <si>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</si>
  <si>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</si>
  <si>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</si>
  <si>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</si>
  <si>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</si>
  <si>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</si>
  <si>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</si>
  <si>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2013 ACTUAL     </t>
  </si>
  <si>
    <t xml:space="preserve">      FY 2014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</si>
  <si>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</si>
  <si>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</si>
  <si>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</si>
  <si>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</si>
  <si>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</si>
  <si>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</si>
  <si>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</si>
  <si>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</si>
  <si>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</si>
  <si>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</si>
  <si>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</si>
  <si>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</si>
  <si>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</si>
  <si>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</si>
  <si>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</si>
  <si>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</si>
  <si>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</si>
  <si>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</si>
  <si>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</si>
  <si>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</si>
  <si>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</si>
  <si>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</si>
  <si>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</si>
  <si>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</si>
  <si>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GRIFFIN HEALTH SERVICES CORPORATION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</si>
  <si>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</si>
  <si>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</si>
  <si>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</si>
  <si>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</si>
  <si>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2012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</si>
  <si>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</si>
  <si>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</si>
  <si>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</si>
  <si>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</si>
  <si>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</si>
  <si>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</si>
  <si>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</si>
  <si>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</si>
  <si>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</si>
  <si>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</si>
  <si>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</si>
  <si>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</si>
  <si>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</si>
  <si>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</si>
  <si>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</si>
  <si>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</si>
  <si>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</si>
  <si>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</si>
  <si>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</si>
  <si>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</si>
  <si>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</si>
  <si>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</si>
  <si>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</si>
  <si>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</si>
  <si>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</si>
  <si>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</si>
  <si>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</si>
  <si>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</si>
  <si>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</si>
  <si>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</si>
  <si>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</si>
  <si>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</si>
  <si>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</si>
  <si>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</si>
  <si>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</si>
  <si>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</si>
  <si>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</si>
  <si>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</si>
  <si>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</si>
  <si>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</si>
  <si>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</si>
  <si>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</si>
  <si>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</si>
  <si>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</si>
  <si>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</si>
  <si>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</si>
  <si>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</si>
  <si>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</si>
  <si>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</si>
  <si>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</si>
  <si>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</si>
  <si>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</si>
  <si>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</si>
  <si>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</si>
  <si>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</si>
  <si>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</si>
  <si>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</si>
  <si>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</si>
  <si>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</si>
  <si>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</si>
  <si>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</si>
  <si>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</si>
  <si>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</si>
  <si>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</si>
  <si>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</si>
  <si>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</si>
  <si>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</si>
  <si>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</si>
  <si>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</si>
  <si>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</si>
  <si>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</si>
  <si>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</si>
  <si>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</si>
  <si>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</si>
  <si>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</si>
  <si>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</si>
  <si>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</si>
  <si>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</si>
  <si>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</si>
  <si>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</si>
  <si>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</si>
  <si>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</si>
  <si>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</si>
  <si>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</si>
  <si>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</si>
  <si>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</si>
  <si>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</si>
  <si>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</si>
  <si>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</si>
  <si>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</si>
  <si>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</si>
  <si>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</si>
  <si>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</si>
  <si>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</si>
  <si>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</si>
  <si>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</si>
  <si>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</si>
  <si>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</si>
  <si>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</si>
  <si>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</si>
  <si>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</si>
  <si>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</si>
  <si>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</si>
  <si>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</si>
  <si>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</si>
  <si>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</si>
  <si>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</si>
  <si>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</si>
  <si>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</si>
  <si>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</si>
  <si>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</si>
  <si>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</si>
  <si>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</si>
  <si>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</si>
  <si>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</si>
  <si>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</si>
  <si>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</si>
  <si>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</si>
  <si>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</si>
  <si>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</si>
  <si>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</si>
  <si>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</si>
  <si>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</si>
  <si>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</si>
  <si>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</si>
  <si>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</si>
  <si>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</si>
  <si>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</si>
  <si>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</si>
  <si>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</si>
  <si>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</si>
  <si>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</si>
  <si>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</si>
  <si>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</si>
  <si>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</si>
  <si>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</si>
  <si>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</si>
  <si>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</si>
  <si>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</si>
  <si>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</si>
  <si>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</si>
  <si>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</si>
  <si>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</si>
  <si>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</si>
  <si>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</si>
  <si>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</si>
  <si>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</si>
  <si>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</si>
  <si>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</si>
  <si>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</si>
  <si>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</si>
  <si>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</si>
  <si>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</si>
  <si>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</si>
  <si>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</si>
  <si>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</si>
  <si>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</si>
  <si>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</si>
  <si>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</si>
  <si>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</si>
  <si>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</si>
  <si>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</si>
  <si>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</si>
  <si>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</si>
  <si>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</si>
  <si>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</si>
  <si>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</si>
  <si>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</si>
  <si>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</si>
  <si>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</si>
  <si>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</si>
  <si>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</si>
  <si>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</si>
  <si>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</si>
  <si>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</si>
  <si>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</si>
  <si>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</si>
  <si>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</si>
  <si>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</si>
  <si>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</si>
  <si>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</si>
  <si>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</si>
  <si>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</si>
  <si>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</si>
  <si>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</si>
  <si>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</si>
  <si>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</si>
  <si>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</si>
  <si>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</si>
  <si>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</si>
  <si>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</si>
  <si>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</si>
  <si>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</si>
  <si>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</si>
  <si>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</si>
  <si>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</si>
  <si>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</si>
  <si>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</si>
  <si>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</si>
  <si>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</si>
  <si>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</si>
  <si>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</si>
  <si>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</si>
  <si>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</si>
  <si>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</si>
  <si>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</si>
  <si>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</si>
  <si>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</si>
  <si>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</si>
  <si>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</si>
  <si>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</si>
  <si>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</si>
  <si>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</si>
  <si>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</si>
  <si>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</si>
  <si>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</si>
  <si>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</si>
  <si>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</si>
  <si>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</si>
  <si>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</si>
  <si>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</si>
  <si>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</si>
  <si>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</si>
  <si>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</si>
  <si>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</si>
  <si>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</si>
  <si>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</si>
  <si>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</si>
  <si>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</si>
  <si>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</si>
  <si>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</si>
  <si>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</si>
  <si>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</si>
  <si>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</si>
  <si>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</si>
  <si>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</si>
  <si>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</si>
  <si>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</si>
  <si>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</si>
  <si>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</si>
  <si>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</si>
  <si>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</si>
  <si>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</si>
  <si>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</si>
  <si>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</si>
  <si>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</si>
  <si>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</si>
  <si>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</si>
  <si>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</si>
  <si>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</si>
  <si>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</si>
  <si>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</si>
  <si>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</si>
  <si>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</si>
  <si>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</si>
  <si>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</si>
  <si>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</si>
  <si>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</si>
  <si>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</si>
  <si>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</si>
  <si>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</si>
  <si>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</si>
  <si>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2014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</si>
  <si>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</si>
  <si>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</si>
  <si>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2013</t>
    </r>
  </si>
  <si>
    <r>
      <t xml:space="preserve">ACTUAL            </t>
    </r>
    <r>
      <rPr>
        <b/>
        <u/>
        <sz val="12"/>
        <rFont val="Arial"/>
        <family val="2"/>
      </rPr>
      <t>FY 2014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</si>
  <si>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</si>
  <si>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</si>
  <si>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</si>
  <si>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</si>
  <si>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</si>
  <si>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</si>
  <si>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</si>
  <si>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</si>
  <si>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</si>
  <si>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</si>
  <si>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</si>
  <si>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</si>
  <si>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</si>
  <si>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</si>
  <si>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</si>
  <si>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</si>
  <si>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</si>
  <si>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</si>
  <si>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</si>
  <si>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</si>
  <si>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</si>
  <si>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</si>
  <si>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</si>
  <si>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</si>
  <si>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</si>
  <si>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</si>
  <si>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</si>
  <si>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</si>
  <si>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</si>
  <si>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</si>
  <si>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</si>
  <si>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</si>
  <si>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</si>
  <si>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</si>
  <si>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</si>
  <si>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</si>
  <si>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</si>
  <si>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</si>
  <si>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</si>
  <si>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</si>
  <si>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</si>
  <si>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</si>
  <si>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</si>
  <si>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</si>
  <si>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</si>
  <si>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</si>
  <si>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</si>
  <si>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</si>
  <si>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</si>
  <si>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</si>
  <si>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</si>
  <si>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</si>
  <si>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</si>
  <si>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</si>
  <si>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</si>
  <si>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</si>
  <si>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</si>
  <si>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</si>
  <si>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</si>
  <si>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</si>
  <si>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</si>
  <si>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</si>
  <si>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</si>
  <si>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</si>
  <si>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</si>
  <si>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</si>
  <si>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</si>
  <si>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</si>
  <si>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</si>
  <si>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</si>
  <si>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</si>
  <si>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</si>
  <si>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</si>
  <si>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</si>
  <si>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</si>
  <si>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</si>
  <si>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</si>
  <si>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</si>
  <si>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</si>
  <si>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</si>
  <si>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</si>
  <si>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</si>
  <si>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</si>
  <si>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</si>
  <si>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</si>
  <si>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</si>
  <si>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</si>
  <si>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</si>
  <si>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</si>
  <si>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</si>
  <si>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</si>
  <si>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</si>
  <si>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</si>
  <si>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</si>
  <si>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</si>
  <si>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</si>
  <si>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</si>
  <si>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2014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</si>
  <si>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</si>
  <si>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</si>
  <si>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</si>
  <si>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</si>
  <si>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</si>
  <si>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</si>
  <si>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</si>
  <si>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</si>
  <si>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</si>
  <si>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</si>
  <si>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</si>
  <si>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</si>
  <si>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</si>
  <si>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</si>
  <si>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</si>
  <si>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</si>
  <si>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</si>
  <si>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</si>
  <si>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</si>
  <si>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</si>
  <si>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</si>
  <si>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</si>
  <si>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</si>
  <si>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</si>
  <si>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</si>
  <si>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</si>
  <si>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</si>
  <si>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</si>
  <si>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</si>
  <si>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</si>
  <si>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</si>
  <si>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</si>
  <si>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</si>
  <si>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</si>
  <si>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</si>
  <si>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</si>
  <si>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</si>
  <si>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</si>
  <si>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</si>
  <si>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</si>
  <si>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</si>
  <si>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</si>
  <si>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</si>
  <si>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</si>
  <si>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</si>
  <si>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</si>
  <si>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</si>
  <si>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</si>
  <si>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</si>
  <si>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</si>
  <si>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</si>
  <si>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</si>
  <si>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</si>
  <si>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</si>
  <si>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</si>
  <si>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2012</t>
    </r>
  </si>
  <si>
    <r>
      <t xml:space="preserve">ACTUAL          </t>
    </r>
    <r>
      <rPr>
        <b/>
        <u/>
        <sz val="14"/>
        <rFont val="Arial"/>
        <family val="2"/>
      </rPr>
      <t>FY 2013</t>
    </r>
  </si>
  <si>
    <r>
      <t xml:space="preserve">ACTUAL          </t>
    </r>
    <r>
      <rPr>
        <b/>
        <u/>
        <sz val="14"/>
        <rFont val="Arial"/>
        <family val="2"/>
      </rPr>
      <t>FY 2014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</si>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</sst>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5178405</v>
      </c>
      <c r="D13" s="22">
        <v>7492599</v>
      </c>
      <c r="E13" s="22">
        <f t="shared" ref="E13:E22" si="0">D13-C13</f>
        <v>2314194</v>
      </c>
      <c r="F13" s="23">
        <f t="shared" ref="F13:F22" si="1">IF(C13=0,0,E13/C13)</f>
        <v>0.44689320360226747</v>
      </c>
    </row>
    <row r="14" spans="1:8" ht="24" customHeight="1" x14ac:dyDescent="0.2">
      <c r="A14" s="20">
        <v>2</v>
      </c>
      <c r="B14" s="21" t="s">
        <v>17</v>
      </c>
      <c r="C14" s="22">
        <v>9040563</v>
      </c>
      <c r="D14" s="22">
        <v>8062643</v>
      </c>
      <c r="E14" s="22">
        <f t="shared" si="0"/>
        <v>-977920</v>
      </c>
      <c r="F14" s="23">
        <f t="shared" si="1"/>
        <v>-0.10817025444101214</v>
      </c>
    </row>
    <row r="15" spans="1:8" ht="24" customHeight="1" x14ac:dyDescent="0.2">
      <c r="A15" s="20">
        <v>3</v>
      </c>
      <c r="B15" s="21" t="s">
        <v>18</v>
      </c>
      <c r="C15" s="22">
        <v>14419423</v>
      </c>
      <c r="D15" s="22">
        <v>12651193</v>
      </c>
      <c r="E15" s="22">
        <f t="shared" si="0"/>
        <v>-1768230</v>
      </c>
      <c r="F15" s="23">
        <f t="shared" si="1"/>
        <v>-0.12262834650179831</v>
      </c>
    </row>
    <row r="16" spans="1:8" ht="24" customHeight="1" x14ac:dyDescent="0.2">
      <c r="A16" s="20">
        <v>4</v>
      </c>
      <c r="B16" s="21" t="s">
        <v>19</v>
      </c>
      <c r="C16" s="22">
        <v>710605</v>
      </c>
      <c r="D16" s="22">
        <v>718522</v>
      </c>
      <c r="E16" s="22">
        <f t="shared" si="0"/>
        <v>7917</v>
      </c>
      <c r="F16" s="23">
        <f t="shared" si="1"/>
        <v>1.1141210658523372E-2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804168</v>
      </c>
      <c r="D19" s="22">
        <v>940022</v>
      </c>
      <c r="E19" s="22">
        <f t="shared" si="0"/>
        <v>135854</v>
      </c>
      <c r="F19" s="23">
        <f t="shared" si="1"/>
        <v>0.16893733647695505</v>
      </c>
    </row>
    <row r="20" spans="1:11" ht="24" customHeight="1" x14ac:dyDescent="0.2">
      <c r="A20" s="20">
        <v>8</v>
      </c>
      <c r="B20" s="21" t="s">
        <v>23</v>
      </c>
      <c r="C20" s="22">
        <v>2669266</v>
      </c>
      <c r="D20" s="22">
        <v>2653217</v>
      </c>
      <c r="E20" s="22">
        <f t="shared" si="0"/>
        <v>-16049</v>
      </c>
      <c r="F20" s="23">
        <f t="shared" si="1"/>
        <v>-6.0125143016844327E-3</v>
      </c>
    </row>
    <row r="21" spans="1:11" ht="24" customHeight="1" x14ac:dyDescent="0.2">
      <c r="A21" s="20">
        <v>9</v>
      </c>
      <c r="B21" s="21" t="s">
        <v>24</v>
      </c>
      <c r="C21" s="22">
        <v>1817160</v>
      </c>
      <c r="D21" s="22">
        <v>1480336</v>
      </c>
      <c r="E21" s="22">
        <f t="shared" si="0"/>
        <v>-336824</v>
      </c>
      <c r="F21" s="23">
        <f t="shared" si="1"/>
        <v>-0.18535737084241344</v>
      </c>
    </row>
    <row r="22" spans="1:11" ht="24" customHeight="1" x14ac:dyDescent="0.25">
      <c r="A22" s="24"/>
      <c r="B22" s="25" t="s">
        <v>25</v>
      </c>
      <c r="C22" s="26">
        <f>SUM(C13:C21)</f>
        <v>34639590</v>
      </c>
      <c r="D22" s="26">
        <f>SUM(D13:D21)</f>
        <v>33998532</v>
      </c>
      <c r="E22" s="26">
        <f t="shared" si="0"/>
        <v>-641058</v>
      </c>
      <c r="F22" s="27">
        <f t="shared" si="1"/>
        <v>-1.8506512346133427E-2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3670942</v>
      </c>
      <c r="D25" s="22">
        <v>3760171</v>
      </c>
      <c r="E25" s="22">
        <f>D25-C25</f>
        <v>89229</v>
      </c>
      <c r="F25" s="23">
        <f>IF(C25=0,0,E25/C25)</f>
        <v>2.4306840042692041E-2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43179</v>
      </c>
      <c r="D26" s="22">
        <v>30866</v>
      </c>
      <c r="E26" s="22">
        <f>D26-C26</f>
        <v>-12313</v>
      </c>
      <c r="F26" s="23">
        <f>IF(C26=0,0,E26/C26)</f>
        <v>-0.28516176845225688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4289166</v>
      </c>
      <c r="D28" s="22">
        <v>4289408</v>
      </c>
      <c r="E28" s="22">
        <f>D28-C28</f>
        <v>242</v>
      </c>
      <c r="F28" s="23">
        <f>IF(C28=0,0,E28/C28)</f>
        <v>5.6421225012041965E-5</v>
      </c>
    </row>
    <row r="29" spans="1:11" ht="24" customHeight="1" x14ac:dyDescent="0.25">
      <c r="A29" s="24"/>
      <c r="B29" s="25" t="s">
        <v>32</v>
      </c>
      <c r="C29" s="26">
        <f>SUM(C25:C28)</f>
        <v>8003287</v>
      </c>
      <c r="D29" s="26">
        <f>SUM(D25:D28)</f>
        <v>8080445</v>
      </c>
      <c r="E29" s="26">
        <f>D29-C29</f>
        <v>77158</v>
      </c>
      <c r="F29" s="27">
        <f>IF(C29=0,0,E29/C29)</f>
        <v>9.6407888408850013E-3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0</v>
      </c>
      <c r="D31" s="22">
        <v>0</v>
      </c>
      <c r="E31" s="22">
        <f>D31-C31</f>
        <v>0</v>
      </c>
      <c r="F31" s="23">
        <f>IF(C31=0,0,E31/C31)</f>
        <v>0</v>
      </c>
    </row>
    <row r="32" spans="1:11" ht="24" customHeight="1" x14ac:dyDescent="0.2">
      <c r="A32" s="20">
        <v>6</v>
      </c>
      <c r="B32" s="21" t="s">
        <v>34</v>
      </c>
      <c r="C32" s="22">
        <v>1186601</v>
      </c>
      <c r="D32" s="22">
        <v>1274463</v>
      </c>
      <c r="E32" s="22">
        <f>D32-C32</f>
        <v>87862</v>
      </c>
      <c r="F32" s="23">
        <f>IF(C32=0,0,E32/C32)</f>
        <v>7.4045108675957635E-2</v>
      </c>
    </row>
    <row r="33" spans="1:8" ht="24" customHeight="1" x14ac:dyDescent="0.2">
      <c r="A33" s="20">
        <v>7</v>
      </c>
      <c r="B33" s="21" t="s">
        <v>35</v>
      </c>
      <c r="C33" s="22">
        <v>20416572</v>
      </c>
      <c r="D33" s="22">
        <v>22603885</v>
      </c>
      <c r="E33" s="22">
        <f>D33-C33</f>
        <v>2187313</v>
      </c>
      <c r="F33" s="23">
        <f>IF(C33=0,0,E33/C33)</f>
        <v>0.10713419471202119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149886171</v>
      </c>
      <c r="D36" s="22">
        <v>151939900</v>
      </c>
      <c r="E36" s="22">
        <f>D36-C36</f>
        <v>2053729</v>
      </c>
      <c r="F36" s="23">
        <f>IF(C36=0,0,E36/C36)</f>
        <v>1.3701924509099642E-2</v>
      </c>
    </row>
    <row r="37" spans="1:8" ht="24" customHeight="1" x14ac:dyDescent="0.2">
      <c r="A37" s="20">
        <v>2</v>
      </c>
      <c r="B37" s="21" t="s">
        <v>39</v>
      </c>
      <c r="C37" s="22">
        <v>94328204</v>
      </c>
      <c r="D37" s="22">
        <v>98968474</v>
      </c>
      <c r="E37" s="22">
        <f>D37-C37</f>
        <v>4640270</v>
      </c>
      <c r="F37" s="23">
        <f>IF(C37=0,0,E37/C37)</f>
        <v>4.9192816180407717E-2</v>
      </c>
    </row>
    <row r="38" spans="1:8" ht="24" customHeight="1" x14ac:dyDescent="0.25">
      <c r="A38" s="24"/>
      <c r="B38" s="25" t="s">
        <v>40</v>
      </c>
      <c r="C38" s="26">
        <f>C36-C37</f>
        <v>55557967</v>
      </c>
      <c r="D38" s="26">
        <f>D36-D37</f>
        <v>52971426</v>
      </c>
      <c r="E38" s="26">
        <f>D38-C38</f>
        <v>-2586541</v>
      </c>
      <c r="F38" s="27">
        <f>IF(C38=0,0,E38/C38)</f>
        <v>-4.6555717202539107E-2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52906</v>
      </c>
      <c r="D40" s="22">
        <v>166316</v>
      </c>
      <c r="E40" s="22">
        <f>D40-C40</f>
        <v>113410</v>
      </c>
      <c r="F40" s="23">
        <f>IF(C40=0,0,E40/C40)</f>
        <v>2.143613200771179</v>
      </c>
    </row>
    <row r="41" spans="1:8" ht="24" customHeight="1" x14ac:dyDescent="0.25">
      <c r="A41" s="24"/>
      <c r="B41" s="25" t="s">
        <v>42</v>
      </c>
      <c r="C41" s="26">
        <f>+C38+C40</f>
        <v>55610873</v>
      </c>
      <c r="D41" s="26">
        <f>+D38+D40</f>
        <v>53137742</v>
      </c>
      <c r="E41" s="26">
        <f>D41-C41</f>
        <v>-2473131</v>
      </c>
      <c r="F41" s="27">
        <f>IF(C41=0,0,E41/C41)</f>
        <v>-4.4472076530789224E-2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119856923</v>
      </c>
      <c r="D43" s="26">
        <f>D22+D29+D31+D32+D33+D41</f>
        <v>119095067</v>
      </c>
      <c r="E43" s="26">
        <f>D43-C43</f>
        <v>-761856</v>
      </c>
      <c r="F43" s="27">
        <f>IF(C43=0,0,E43/C43)</f>
        <v>-6.3563787633693887E-3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23929263</v>
      </c>
      <c r="D49" s="22">
        <v>22130479</v>
      </c>
      <c r="E49" s="22">
        <f t="shared" ref="E49:E56" si="2">D49-C49</f>
        <v>-1798784</v>
      </c>
      <c r="F49" s="23">
        <f t="shared" ref="F49:F56" si="3">IF(C49=0,0,E49/C49)</f>
        <v>-7.5170890135646887E-2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2028283</v>
      </c>
      <c r="D50" s="22">
        <v>2269114</v>
      </c>
      <c r="E50" s="22">
        <f t="shared" si="2"/>
        <v>240831</v>
      </c>
      <c r="F50" s="23">
        <f t="shared" si="3"/>
        <v>0.11873638935000688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5679417</v>
      </c>
      <c r="D53" s="22">
        <v>6170364</v>
      </c>
      <c r="E53" s="22">
        <f t="shared" si="2"/>
        <v>490947</v>
      </c>
      <c r="F53" s="23">
        <f t="shared" si="3"/>
        <v>8.6443203589382497E-2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900237</v>
      </c>
      <c r="D55" s="22">
        <v>782117</v>
      </c>
      <c r="E55" s="22">
        <f t="shared" si="2"/>
        <v>-118120</v>
      </c>
      <c r="F55" s="23">
        <f t="shared" si="3"/>
        <v>-0.1312098925060845</v>
      </c>
    </row>
    <row r="56" spans="1:6" ht="24" customHeight="1" x14ac:dyDescent="0.25">
      <c r="A56" s="24"/>
      <c r="B56" s="25" t="s">
        <v>54</v>
      </c>
      <c r="C56" s="26">
        <f>SUM(C49:C55)</f>
        <v>32537200</v>
      </c>
      <c r="D56" s="26">
        <f>SUM(D49:D55)</f>
        <v>31352074</v>
      </c>
      <c r="E56" s="26">
        <f t="shared" si="2"/>
        <v>-1185126</v>
      </c>
      <c r="F56" s="27">
        <f t="shared" si="3"/>
        <v>-3.6423724229497315E-2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43898212</v>
      </c>
      <c r="D59" s="22">
        <v>42390534</v>
      </c>
      <c r="E59" s="22">
        <f>D59-C59</f>
        <v>-1507678</v>
      </c>
      <c r="F59" s="23">
        <f>IF(C59=0,0,E59/C59)</f>
        <v>-3.434486124400693E-2</v>
      </c>
    </row>
    <row r="60" spans="1:6" ht="24" customHeight="1" x14ac:dyDescent="0.2">
      <c r="A60" s="20">
        <v>2</v>
      </c>
      <c r="B60" s="21" t="s">
        <v>57</v>
      </c>
      <c r="C60" s="22">
        <v>0</v>
      </c>
      <c r="D60" s="22">
        <v>0</v>
      </c>
      <c r="E60" s="22">
        <f>D60-C60</f>
        <v>0</v>
      </c>
      <c r="F60" s="23">
        <f>IF(C60=0,0,E60/C60)</f>
        <v>0</v>
      </c>
    </row>
    <row r="61" spans="1:6" ht="24" customHeight="1" x14ac:dyDescent="0.25">
      <c r="A61" s="24"/>
      <c r="B61" s="25" t="s">
        <v>58</v>
      </c>
      <c r="C61" s="26">
        <f>SUM(C59:C60)</f>
        <v>43898212</v>
      </c>
      <c r="D61" s="26">
        <f>SUM(D59:D60)</f>
        <v>42390534</v>
      </c>
      <c r="E61" s="26">
        <f>D61-C61</f>
        <v>-1507678</v>
      </c>
      <c r="F61" s="27">
        <f>IF(C61=0,0,E61/C61)</f>
        <v>-3.434486124400693E-2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30640516</v>
      </c>
      <c r="D63" s="22">
        <v>35030914</v>
      </c>
      <c r="E63" s="22">
        <f>D63-C63</f>
        <v>4390398</v>
      </c>
      <c r="F63" s="23">
        <f>IF(C63=0,0,E63/C63)</f>
        <v>0.14328733889468442</v>
      </c>
    </row>
    <row r="64" spans="1:6" ht="24" customHeight="1" x14ac:dyDescent="0.2">
      <c r="A64" s="20">
        <v>4</v>
      </c>
      <c r="B64" s="21" t="s">
        <v>60</v>
      </c>
      <c r="C64" s="22">
        <v>26488170</v>
      </c>
      <c r="D64" s="22">
        <v>26988104</v>
      </c>
      <c r="E64" s="22">
        <f>D64-C64</f>
        <v>499934</v>
      </c>
      <c r="F64" s="23">
        <f>IF(C64=0,0,E64/C64)</f>
        <v>1.8873859538050382E-2</v>
      </c>
    </row>
    <row r="65" spans="1:6" ht="24" customHeight="1" x14ac:dyDescent="0.25">
      <c r="A65" s="24"/>
      <c r="B65" s="25" t="s">
        <v>61</v>
      </c>
      <c r="C65" s="26">
        <f>SUM(C61:C64)</f>
        <v>101026898</v>
      </c>
      <c r="D65" s="26">
        <f>SUM(D61:D64)</f>
        <v>104409552</v>
      </c>
      <c r="E65" s="26">
        <f>D65-C65</f>
        <v>3382654</v>
      </c>
      <c r="F65" s="27">
        <f>IF(C65=0,0,E65/C65)</f>
        <v>3.3482706753997338E-2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-22179759</v>
      </c>
      <c r="D70" s="22">
        <v>-26106535</v>
      </c>
      <c r="E70" s="22">
        <f>D70-C70</f>
        <v>-3926776</v>
      </c>
      <c r="F70" s="23">
        <f>IF(C70=0,0,E70/C70)</f>
        <v>0.17704322215584037</v>
      </c>
    </row>
    <row r="71" spans="1:6" ht="24" customHeight="1" x14ac:dyDescent="0.2">
      <c r="A71" s="20">
        <v>2</v>
      </c>
      <c r="B71" s="21" t="s">
        <v>65</v>
      </c>
      <c r="C71" s="22">
        <v>2641381</v>
      </c>
      <c r="D71" s="22">
        <v>3519544</v>
      </c>
      <c r="E71" s="22">
        <f>D71-C71</f>
        <v>878163</v>
      </c>
      <c r="F71" s="23">
        <f>IF(C71=0,0,E71/C71)</f>
        <v>0.33246358628308448</v>
      </c>
    </row>
    <row r="72" spans="1:6" ht="24" customHeight="1" x14ac:dyDescent="0.2">
      <c r="A72" s="20">
        <v>3</v>
      </c>
      <c r="B72" s="21" t="s">
        <v>66</v>
      </c>
      <c r="C72" s="22">
        <v>5831203</v>
      </c>
      <c r="D72" s="22">
        <v>5920432</v>
      </c>
      <c r="E72" s="22">
        <f>D72-C72</f>
        <v>89229</v>
      </c>
      <c r="F72" s="23">
        <f>IF(C72=0,0,E72/C72)</f>
        <v>1.5301988286122092E-2</v>
      </c>
    </row>
    <row r="73" spans="1:6" ht="24" customHeight="1" x14ac:dyDescent="0.25">
      <c r="A73" s="20"/>
      <c r="B73" s="25" t="s">
        <v>67</v>
      </c>
      <c r="C73" s="26">
        <f>SUM(C70:C72)</f>
        <v>-13707175</v>
      </c>
      <c r="D73" s="26">
        <f>SUM(D70:D72)</f>
        <v>-16666559</v>
      </c>
      <c r="E73" s="26">
        <f>D73-C73</f>
        <v>-2959384</v>
      </c>
      <c r="F73" s="27">
        <f>IF(C73=0,0,E73/C73)</f>
        <v>0.21590035875371841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119856923</v>
      </c>
      <c r="D75" s="26">
        <f>D56+D65+D67+D73</f>
        <v>119095067</v>
      </c>
      <c r="E75" s="26">
        <f>D75-C75</f>
        <v>-761856</v>
      </c>
      <c r="F75" s="27">
        <f>IF(C75=0,0,E75/C75)</f>
        <v>-6.3563787633693887E-3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FILING&amp;RGRIFFIN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123980407</v>
      </c>
      <c r="D11" s="76">
        <v>129011298</v>
      </c>
      <c r="E11" s="76">
        <v>140783254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23428706</v>
      </c>
      <c r="D12" s="185">
        <v>15858922</v>
      </c>
      <c r="E12" s="185">
        <v>12793304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147409113</v>
      </c>
      <c r="D13" s="76">
        <f>+D11+D12</f>
        <v>144870220</v>
      </c>
      <c r="E13" s="76">
        <f>+E11+E12</f>
        <v>153576558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154797623</v>
      </c>
      <c r="D14" s="185">
        <v>149355129</v>
      </c>
      <c r="E14" s="185">
        <v>151471877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-7388510</v>
      </c>
      <c r="D15" s="76">
        <f>+D13-D14</f>
        <v>-4484909</v>
      </c>
      <c r="E15" s="76">
        <f>+E13-E14</f>
        <v>2104681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1020932</v>
      </c>
      <c r="D16" s="185">
        <v>5640008</v>
      </c>
      <c r="E16" s="185">
        <v>2503583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-6367578</v>
      </c>
      <c r="D17" s="76">
        <f>D15+D16</f>
        <v>1155099</v>
      </c>
      <c r="E17" s="76">
        <f>E15+E16</f>
        <v>4608264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-4.9777725257713151E-2</v>
      </c>
      <c r="D20" s="189">
        <f>IF(+D27=0,0,+D24/+D27)</f>
        <v>-2.9798034722264857E-2</v>
      </c>
      <c r="E20" s="189">
        <f>IF(+E27=0,0,+E24/+E27)</f>
        <v>1.3484617495316075E-2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6.878203129292321E-3</v>
      </c>
      <c r="D21" s="189">
        <f>IF(+D27=0,0,+D26/+D27)</f>
        <v>3.7472589570457633E-2</v>
      </c>
      <c r="E21" s="189">
        <f>IF(+E27=0,0,+E26/+E27)</f>
        <v>1.6040368646258463E-2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-4.2899522128420832E-2</v>
      </c>
      <c r="D22" s="189">
        <f>IF(+D27=0,0,+D28/+D27)</f>
        <v>7.6745548481927757E-3</v>
      </c>
      <c r="E22" s="189">
        <f>IF(+E27=0,0,+E28/+E27)</f>
        <v>2.952498614157454E-2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-7388510</v>
      </c>
      <c r="D24" s="76">
        <f>+D15</f>
        <v>-4484909</v>
      </c>
      <c r="E24" s="76">
        <f>+E15</f>
        <v>2104681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147409113</v>
      </c>
      <c r="D25" s="76">
        <f>+D13</f>
        <v>144870220</v>
      </c>
      <c r="E25" s="76">
        <f>+E13</f>
        <v>153576558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1020932</v>
      </c>
      <c r="D26" s="76">
        <f>+D16</f>
        <v>5640008</v>
      </c>
      <c r="E26" s="76">
        <f>+E16</f>
        <v>2503583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148430045</v>
      </c>
      <c r="D27" s="76">
        <f>SUM(D25:D26)</f>
        <v>150510228</v>
      </c>
      <c r="E27" s="76">
        <f>SUM(E25:E26)</f>
        <v>156080141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-6367578</v>
      </c>
      <c r="D28" s="76">
        <f>+D17</f>
        <v>1155099</v>
      </c>
      <c r="E28" s="76">
        <f>+E17</f>
        <v>4608264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-38333914</v>
      </c>
      <c r="D31" s="76">
        <v>-20374016</v>
      </c>
      <c r="E31" s="76">
        <v>-20969896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-30268735</v>
      </c>
      <c r="D32" s="76">
        <v>-11868935</v>
      </c>
      <c r="E32" s="76">
        <v>-11497423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5565849</v>
      </c>
      <c r="D33" s="76">
        <f>+D32-C32</f>
        <v>18399800</v>
      </c>
      <c r="E33" s="76">
        <f>+E32-D32</f>
        <v>371512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0.84460000000000002</v>
      </c>
      <c r="D34" s="193">
        <f>IF(C32=0,0,+D33/C32)</f>
        <v>-0.60788136669735293</v>
      </c>
      <c r="E34" s="193">
        <f>IF(D32=0,0,+E33/D32)</f>
        <v>-3.1301207732623022E-2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1.8918119716221073</v>
      </c>
      <c r="D38" s="338">
        <f>IF(+D40=0,0,+D39/+D40)</f>
        <v>1.8058385912374373</v>
      </c>
      <c r="E38" s="338">
        <f>IF(+E40=0,0,+E39/+E40)</f>
        <v>1.8866284729137379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79019081</v>
      </c>
      <c r="D39" s="341">
        <v>67007519</v>
      </c>
      <c r="E39" s="341">
        <v>67467385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41768993</v>
      </c>
      <c r="D40" s="341">
        <v>37106040</v>
      </c>
      <c r="E40" s="341">
        <v>35760822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130.95772648815657</v>
      </c>
      <c r="D42" s="343">
        <f>IF((D48/365)=0,0,+D45/(D48/365))</f>
        <v>111.06697718077835</v>
      </c>
      <c r="E42" s="343">
        <f>IF((E48/365)=0,0,+E45/(E48/365))</f>
        <v>113.68637789094979</v>
      </c>
    </row>
    <row r="43" spans="1:14" ht="24" customHeight="1" x14ac:dyDescent="0.2">
      <c r="A43" s="339">
        <v>5</v>
      </c>
      <c r="B43" s="344" t="s">
        <v>16</v>
      </c>
      <c r="C43" s="345">
        <v>10631688</v>
      </c>
      <c r="D43" s="345">
        <v>10022977</v>
      </c>
      <c r="E43" s="345">
        <v>13616313</v>
      </c>
    </row>
    <row r="44" spans="1:14" ht="24" customHeight="1" x14ac:dyDescent="0.2">
      <c r="A44" s="339">
        <v>6</v>
      </c>
      <c r="B44" s="346" t="s">
        <v>17</v>
      </c>
      <c r="C44" s="345">
        <v>42693844</v>
      </c>
      <c r="D44" s="345">
        <v>33424704</v>
      </c>
      <c r="E44" s="345">
        <v>31664235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53325532</v>
      </c>
      <c r="D45" s="341">
        <f>+D43+D44</f>
        <v>43447681</v>
      </c>
      <c r="E45" s="341">
        <f>+E43+E44</f>
        <v>45280548</v>
      </c>
    </row>
    <row r="46" spans="1:14" ht="24" customHeight="1" x14ac:dyDescent="0.2">
      <c r="A46" s="339">
        <v>8</v>
      </c>
      <c r="B46" s="340" t="s">
        <v>334</v>
      </c>
      <c r="C46" s="341">
        <f>+C14</f>
        <v>154797623</v>
      </c>
      <c r="D46" s="341">
        <f>+D14</f>
        <v>149355129</v>
      </c>
      <c r="E46" s="341">
        <f>+E14</f>
        <v>151471877</v>
      </c>
    </row>
    <row r="47" spans="1:14" ht="24" customHeight="1" x14ac:dyDescent="0.2">
      <c r="A47" s="339">
        <v>9</v>
      </c>
      <c r="B47" s="340" t="s">
        <v>356</v>
      </c>
      <c r="C47" s="341">
        <v>6170889</v>
      </c>
      <c r="D47" s="341">
        <v>6572783</v>
      </c>
      <c r="E47" s="341">
        <v>6094741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148626734</v>
      </c>
      <c r="D48" s="341">
        <f>+D46-D47</f>
        <v>142782346</v>
      </c>
      <c r="E48" s="341">
        <f>+E46-E47</f>
        <v>145377136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38.59762232430807</v>
      </c>
      <c r="D50" s="350">
        <f>IF((D55/365)=0,0,+D54/(D55/365))</f>
        <v>41.712660777973106</v>
      </c>
      <c r="E50" s="350">
        <f>IF((E55/365)=0,0,+E54/(E55/365))</f>
        <v>34.13527467549514</v>
      </c>
    </row>
    <row r="51" spans="1:5" ht="24" customHeight="1" x14ac:dyDescent="0.2">
      <c r="A51" s="339">
        <v>12</v>
      </c>
      <c r="B51" s="344" t="s">
        <v>359</v>
      </c>
      <c r="C51" s="351">
        <v>13110545</v>
      </c>
      <c r="D51" s="351">
        <v>14743574</v>
      </c>
      <c r="E51" s="351">
        <v>13166233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13110545</v>
      </c>
      <c r="D54" s="352">
        <f>+D51+D52-D53</f>
        <v>14743574</v>
      </c>
      <c r="E54" s="352">
        <f>+E51+E52-E53</f>
        <v>13166233</v>
      </c>
    </row>
    <row r="55" spans="1:5" ht="24" customHeight="1" x14ac:dyDescent="0.2">
      <c r="A55" s="339">
        <v>16</v>
      </c>
      <c r="B55" s="340" t="s">
        <v>75</v>
      </c>
      <c r="C55" s="341">
        <f>+C11</f>
        <v>123980407</v>
      </c>
      <c r="D55" s="341">
        <f>+D11</f>
        <v>129011298</v>
      </c>
      <c r="E55" s="341">
        <f>+E11</f>
        <v>140783254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102.57698621702876</v>
      </c>
      <c r="D57" s="355">
        <f>IF((D61/365)=0,0,+D58/(D61/365))</f>
        <v>94.855596503506106</v>
      </c>
      <c r="E57" s="355">
        <f>IF((E61/365)=0,0,+E58/(E61/365))</f>
        <v>89.78509543619019</v>
      </c>
    </row>
    <row r="58" spans="1:5" ht="24" customHeight="1" x14ac:dyDescent="0.2">
      <c r="A58" s="339">
        <v>18</v>
      </c>
      <c r="B58" s="340" t="s">
        <v>54</v>
      </c>
      <c r="C58" s="353">
        <f>+C40</f>
        <v>41768993</v>
      </c>
      <c r="D58" s="353">
        <f>+D40</f>
        <v>37106040</v>
      </c>
      <c r="E58" s="353">
        <f>+E40</f>
        <v>35760822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154797623</v>
      </c>
      <c r="D59" s="353">
        <f t="shared" si="0"/>
        <v>149355129</v>
      </c>
      <c r="E59" s="353">
        <f t="shared" si="0"/>
        <v>151471877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6170889</v>
      </c>
      <c r="D60" s="356">
        <f t="shared" si="0"/>
        <v>6572783</v>
      </c>
      <c r="E60" s="356">
        <f t="shared" si="0"/>
        <v>6094741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148626734</v>
      </c>
      <c r="D61" s="353">
        <f>+D59-D60</f>
        <v>142782346</v>
      </c>
      <c r="E61" s="353">
        <f>+E59-E60</f>
        <v>145377136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-17.801843218831038</v>
      </c>
      <c r="D65" s="357">
        <f>IF(D67=0,0,(D66/D67)*100)</f>
        <v>-7.5989310014502838</v>
      </c>
      <c r="E65" s="357">
        <f>IF(E67=0,0,(E66/E67)*100)</f>
        <v>-7.3573643858445417</v>
      </c>
    </row>
    <row r="66" spans="1:5" ht="24" customHeight="1" x14ac:dyDescent="0.2">
      <c r="A66" s="339">
        <v>2</v>
      </c>
      <c r="B66" s="340" t="s">
        <v>67</v>
      </c>
      <c r="C66" s="353">
        <f>+C32</f>
        <v>-30268735</v>
      </c>
      <c r="D66" s="353">
        <f>+D32</f>
        <v>-11868935</v>
      </c>
      <c r="E66" s="353">
        <f>+E32</f>
        <v>-11497423</v>
      </c>
    </row>
    <row r="67" spans="1:5" ht="24" customHeight="1" x14ac:dyDescent="0.2">
      <c r="A67" s="339">
        <v>3</v>
      </c>
      <c r="B67" s="340" t="s">
        <v>43</v>
      </c>
      <c r="C67" s="353">
        <v>170031466</v>
      </c>
      <c r="D67" s="353">
        <v>156192167</v>
      </c>
      <c r="E67" s="353">
        <v>156270947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-0.21447163228865959</v>
      </c>
      <c r="D69" s="357">
        <f>IF(D75=0,0,(D72/D75)*100)</f>
        <v>9.2077951085605854</v>
      </c>
      <c r="E69" s="357">
        <f>IF(E75=0,0,(E72/E75)*100)</f>
        <v>13.217742991969031</v>
      </c>
    </row>
    <row r="70" spans="1:5" ht="24" customHeight="1" x14ac:dyDescent="0.2">
      <c r="A70" s="339">
        <v>5</v>
      </c>
      <c r="B70" s="340" t="s">
        <v>366</v>
      </c>
      <c r="C70" s="353">
        <f>+C28</f>
        <v>-6367578</v>
      </c>
      <c r="D70" s="353">
        <f>+D28</f>
        <v>1155099</v>
      </c>
      <c r="E70" s="353">
        <f>+E28</f>
        <v>4608264</v>
      </c>
    </row>
    <row r="71" spans="1:5" ht="24" customHeight="1" x14ac:dyDescent="0.2">
      <c r="A71" s="339">
        <v>6</v>
      </c>
      <c r="B71" s="340" t="s">
        <v>356</v>
      </c>
      <c r="C71" s="356">
        <f>+C47</f>
        <v>6170889</v>
      </c>
      <c r="D71" s="356">
        <f>+D47</f>
        <v>6572783</v>
      </c>
      <c r="E71" s="356">
        <f>+E47</f>
        <v>6094741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-196689</v>
      </c>
      <c r="D72" s="353">
        <f>+D70+D71</f>
        <v>7727882</v>
      </c>
      <c r="E72" s="353">
        <f>+E70+E71</f>
        <v>10703005</v>
      </c>
    </row>
    <row r="73" spans="1:5" ht="24" customHeight="1" x14ac:dyDescent="0.2">
      <c r="A73" s="339">
        <v>8</v>
      </c>
      <c r="B73" s="340" t="s">
        <v>54</v>
      </c>
      <c r="C73" s="341">
        <f>+C40</f>
        <v>41768993</v>
      </c>
      <c r="D73" s="341">
        <f>+D40</f>
        <v>37106040</v>
      </c>
      <c r="E73" s="341">
        <f>+E40</f>
        <v>35760822</v>
      </c>
    </row>
    <row r="74" spans="1:5" ht="24" customHeight="1" x14ac:dyDescent="0.2">
      <c r="A74" s="339">
        <v>9</v>
      </c>
      <c r="B74" s="340" t="s">
        <v>58</v>
      </c>
      <c r="C74" s="353">
        <v>49939639</v>
      </c>
      <c r="D74" s="353">
        <v>46821566</v>
      </c>
      <c r="E74" s="353">
        <v>45213706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91708632</v>
      </c>
      <c r="D75" s="341">
        <f>+D73+D74</f>
        <v>83927606</v>
      </c>
      <c r="E75" s="341">
        <f>+E73+E74</f>
        <v>80974528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253.87566834752485</v>
      </c>
      <c r="D77" s="359">
        <f>IF(D80=0,0,(D78/D80)*100)</f>
        <v>133.95720053234334</v>
      </c>
      <c r="E77" s="359">
        <f>IF(E80=0,0,(E78/E80)*100)</f>
        <v>134.10050568148333</v>
      </c>
    </row>
    <row r="78" spans="1:5" ht="24" customHeight="1" x14ac:dyDescent="0.2">
      <c r="A78" s="339">
        <v>12</v>
      </c>
      <c r="B78" s="340" t="s">
        <v>58</v>
      </c>
      <c r="C78" s="341">
        <f>+C74</f>
        <v>49939639</v>
      </c>
      <c r="D78" s="341">
        <f>+D74</f>
        <v>46821566</v>
      </c>
      <c r="E78" s="341">
        <f>+E74</f>
        <v>45213706</v>
      </c>
    </row>
    <row r="79" spans="1:5" ht="24" customHeight="1" x14ac:dyDescent="0.2">
      <c r="A79" s="339">
        <v>13</v>
      </c>
      <c r="B79" s="340" t="s">
        <v>67</v>
      </c>
      <c r="C79" s="341">
        <f>+C32</f>
        <v>-30268735</v>
      </c>
      <c r="D79" s="341">
        <f>+D32</f>
        <v>-11868935</v>
      </c>
      <c r="E79" s="341">
        <f>+E32</f>
        <v>-11497423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19670904</v>
      </c>
      <c r="D80" s="341">
        <f>+D78+D79</f>
        <v>34952631</v>
      </c>
      <c r="E80" s="341">
        <f>+E78+E79</f>
        <v>33716283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3" fitToHeight="0" orientation="portrait" horizontalDpi="1200" verticalDpi="1200" r:id="rId1"/>
  <headerFooter>
    <oddHeader>_x000D_
                &amp;L&amp;8OFFICE OF HEALTH CARE ACCESS&amp;C&amp;8TWELVE MONTHS ACTUAL FILING&amp;R&amp;8GRIFFIN HEALTH SERVICES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20638</v>
      </c>
      <c r="D11" s="376">
        <v>5133</v>
      </c>
      <c r="E11" s="376">
        <v>4826</v>
      </c>
      <c r="F11" s="377">
        <v>57</v>
      </c>
      <c r="G11" s="377">
        <v>118</v>
      </c>
      <c r="H11" s="378">
        <f>IF(F11=0,0,$C11/(F11*365))</f>
        <v>0.99197308339341506</v>
      </c>
      <c r="I11" s="378">
        <f>IF(G11=0,0,$C11/(G11*365))</f>
        <v>0.47917343858834455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2791</v>
      </c>
      <c r="D13" s="376">
        <v>293</v>
      </c>
      <c r="E13" s="376">
        <v>0</v>
      </c>
      <c r="F13" s="377">
        <v>8</v>
      </c>
      <c r="G13" s="377">
        <v>14</v>
      </c>
      <c r="H13" s="378">
        <f>IF(F13=0,0,$C13/(F13*365))</f>
        <v>0.95582191780821912</v>
      </c>
      <c r="I13" s="378">
        <f>IF(G13=0,0,$C13/(G13*365))</f>
        <v>0.54618395303326805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4221</v>
      </c>
      <c r="D16" s="376">
        <v>500</v>
      </c>
      <c r="E16" s="376">
        <v>508</v>
      </c>
      <c r="F16" s="377">
        <v>12</v>
      </c>
      <c r="G16" s="377">
        <v>16</v>
      </c>
      <c r="H16" s="378">
        <f t="shared" si="0"/>
        <v>0.96369863013698631</v>
      </c>
      <c r="I16" s="378">
        <f t="shared" si="0"/>
        <v>0.72277397260273968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4221</v>
      </c>
      <c r="D17" s="381">
        <f>SUM(D15:D16)</f>
        <v>500</v>
      </c>
      <c r="E17" s="381">
        <f>SUM(E15:E16)</f>
        <v>508</v>
      </c>
      <c r="F17" s="381">
        <f>SUM(F15:F16)</f>
        <v>12</v>
      </c>
      <c r="G17" s="381">
        <f>SUM(G15:G16)</f>
        <v>16</v>
      </c>
      <c r="H17" s="382">
        <f t="shared" si="0"/>
        <v>0.96369863013698631</v>
      </c>
      <c r="I17" s="382">
        <f t="shared" si="0"/>
        <v>0.72277397260273968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1698</v>
      </c>
      <c r="D21" s="376">
        <v>674</v>
      </c>
      <c r="E21" s="376">
        <v>672</v>
      </c>
      <c r="F21" s="377">
        <v>5</v>
      </c>
      <c r="G21" s="377">
        <v>12</v>
      </c>
      <c r="H21" s="378">
        <f>IF(F21=0,0,$C21/(F21*365))</f>
        <v>0.93041095890410963</v>
      </c>
      <c r="I21" s="378">
        <f>IF(G21=0,0,$C21/(G21*365))</f>
        <v>0.38767123287671235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1458</v>
      </c>
      <c r="D23" s="376">
        <v>628</v>
      </c>
      <c r="E23" s="376">
        <v>629</v>
      </c>
      <c r="F23" s="377">
        <v>4</v>
      </c>
      <c r="G23" s="377">
        <v>20</v>
      </c>
      <c r="H23" s="378">
        <f>IF(F23=0,0,$C23/(F23*365))</f>
        <v>0.99863013698630132</v>
      </c>
      <c r="I23" s="378">
        <f>IF(G23=0,0,$C23/(G23*365))</f>
        <v>0.19972602739726028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29348</v>
      </c>
      <c r="D31" s="384">
        <f>SUM(D10:D29)-D13-D17-D23</f>
        <v>6307</v>
      </c>
      <c r="E31" s="384">
        <f>SUM(E10:E29)-E17-E23</f>
        <v>6006</v>
      </c>
      <c r="F31" s="384">
        <f>SUM(F10:F29)-F17-F23</f>
        <v>82</v>
      </c>
      <c r="G31" s="384">
        <f>SUM(G10:G29)-G17-G23</f>
        <v>160</v>
      </c>
      <c r="H31" s="385">
        <f>IF(F31=0,0,$C31/(F31*365))</f>
        <v>0.98055462746408284</v>
      </c>
      <c r="I31" s="385">
        <f>IF(G31=0,0,$C31/(G31*365))</f>
        <v>0.50253424657534251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30806</v>
      </c>
      <c r="D33" s="384">
        <f>SUM(D10:D29)-D13-D17</f>
        <v>6935</v>
      </c>
      <c r="E33" s="384">
        <f>SUM(E10:E29)-E17</f>
        <v>6635</v>
      </c>
      <c r="F33" s="384">
        <f>SUM(F10:F29)-F17</f>
        <v>86</v>
      </c>
      <c r="G33" s="384">
        <f>SUM(G10:G29)-G17</f>
        <v>180</v>
      </c>
      <c r="H33" s="385">
        <f>IF(F33=0,0,$C33/(F33*365))</f>
        <v>0.98139534883720925</v>
      </c>
      <c r="I33" s="385">
        <f>IF(G33=0,0,$C33/(G33*365))</f>
        <v>0.46888888888888891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30806</v>
      </c>
      <c r="D36" s="384">
        <f t="shared" si="1"/>
        <v>6935</v>
      </c>
      <c r="E36" s="384">
        <f t="shared" si="1"/>
        <v>6635</v>
      </c>
      <c r="F36" s="384">
        <f t="shared" si="1"/>
        <v>86</v>
      </c>
      <c r="G36" s="384">
        <f t="shared" si="1"/>
        <v>180</v>
      </c>
      <c r="H36" s="387">
        <f t="shared" si="1"/>
        <v>0.98139534883720925</v>
      </c>
      <c r="I36" s="387">
        <f t="shared" si="1"/>
        <v>0.46888888888888891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31271</v>
      </c>
      <c r="D37" s="384">
        <v>7176</v>
      </c>
      <c r="E37" s="384">
        <v>6906</v>
      </c>
      <c r="F37" s="386">
        <v>88</v>
      </c>
      <c r="G37" s="386">
        <v>180</v>
      </c>
      <c r="H37" s="385">
        <f>IF(F37=0,0,$C37/(F37*365))</f>
        <v>0.97356787048567872</v>
      </c>
      <c r="I37" s="385">
        <f>IF(G37=0,0,$C37/(G37*365))</f>
        <v>0.47596651445966515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-465</v>
      </c>
      <c r="D38" s="384">
        <f t="shared" si="2"/>
        <v>-241</v>
      </c>
      <c r="E38" s="384">
        <f t="shared" si="2"/>
        <v>-271</v>
      </c>
      <c r="F38" s="384">
        <f t="shared" si="2"/>
        <v>-2</v>
      </c>
      <c r="G38" s="384">
        <f t="shared" si="2"/>
        <v>0</v>
      </c>
      <c r="H38" s="387">
        <f t="shared" si="2"/>
        <v>7.8274783515305257E-3</v>
      </c>
      <c r="I38" s="387">
        <f t="shared" si="2"/>
        <v>-7.0776255707762359E-3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-1.4870007355057401E-2</v>
      </c>
      <c r="D40" s="389">
        <f t="shared" si="3"/>
        <v>-3.3584169453734672E-2</v>
      </c>
      <c r="E40" s="389">
        <f t="shared" si="3"/>
        <v>-3.9241239501882422E-2</v>
      </c>
      <c r="F40" s="389">
        <f t="shared" si="3"/>
        <v>-2.2727272727272728E-2</v>
      </c>
      <c r="G40" s="389">
        <f t="shared" si="3"/>
        <v>0</v>
      </c>
      <c r="H40" s="389">
        <f t="shared" si="3"/>
        <v>8.039992473894678E-3</v>
      </c>
      <c r="I40" s="389">
        <f t="shared" si="3"/>
        <v>-1.487000735505736E-2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180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FILING&amp;RGRIFFIN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0" t="s">
        <v>0</v>
      </c>
      <c r="B1" s="811"/>
      <c r="C1" s="811"/>
      <c r="D1" s="811"/>
      <c r="E1" s="811"/>
      <c r="F1" s="812"/>
    </row>
    <row r="2" spans="1:16" ht="15.75" customHeight="1" x14ac:dyDescent="0.25">
      <c r="A2" s="810" t="s">
        <v>1</v>
      </c>
      <c r="B2" s="811"/>
      <c r="C2" s="811"/>
      <c r="D2" s="811"/>
      <c r="E2" s="811"/>
      <c r="F2" s="812"/>
    </row>
    <row r="3" spans="1:16" ht="15.75" customHeight="1" x14ac:dyDescent="0.25">
      <c r="A3" s="810" t="s">
        <v>2</v>
      </c>
      <c r="B3" s="811"/>
      <c r="C3" s="811"/>
      <c r="D3" s="811"/>
      <c r="E3" s="811"/>
      <c r="F3" s="812"/>
    </row>
    <row r="4" spans="1:16" ht="15.75" customHeight="1" x14ac:dyDescent="0.25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4439</v>
      </c>
      <c r="D12" s="409">
        <v>4276</v>
      </c>
      <c r="E12" s="409">
        <f>+D12-C12</f>
        <v>-163</v>
      </c>
      <c r="F12" s="410">
        <f>IF(C12=0,0,+E12/C12)</f>
        <v>-3.6719981977922957E-2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7495</v>
      </c>
      <c r="D13" s="409">
        <v>8767</v>
      </c>
      <c r="E13" s="409">
        <f>+D13-C13</f>
        <v>1272</v>
      </c>
      <c r="F13" s="410">
        <f>IF(C13=0,0,+E13/C13)</f>
        <v>0.16971314209472982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5973</v>
      </c>
      <c r="D14" s="409">
        <v>6066</v>
      </c>
      <c r="E14" s="409">
        <f>+D14-C14</f>
        <v>93</v>
      </c>
      <c r="F14" s="410">
        <f>IF(C14=0,0,+E14/C14)</f>
        <v>1.55700652938222E-2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17907</v>
      </c>
      <c r="D16" s="401">
        <f>SUM(D12:D15)</f>
        <v>19109</v>
      </c>
      <c r="E16" s="401">
        <f>+D16-C16</f>
        <v>1202</v>
      </c>
      <c r="F16" s="402">
        <f>IF(C16=0,0,+E16/C16)</f>
        <v>6.712458814988552E-2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418</v>
      </c>
      <c r="D19" s="409">
        <v>440</v>
      </c>
      <c r="E19" s="409">
        <f>+D19-C19</f>
        <v>22</v>
      </c>
      <c r="F19" s="410">
        <f>IF(C19=0,0,+E19/C19)</f>
        <v>5.2631578947368418E-2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3743</v>
      </c>
      <c r="D20" s="409">
        <v>3806</v>
      </c>
      <c r="E20" s="409">
        <f>+D20-C20</f>
        <v>63</v>
      </c>
      <c r="F20" s="410">
        <f>IF(C20=0,0,+E20/C20)</f>
        <v>1.68314186481432E-2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46</v>
      </c>
      <c r="D21" s="409">
        <v>33</v>
      </c>
      <c r="E21" s="409">
        <f>+D21-C21</f>
        <v>-13</v>
      </c>
      <c r="F21" s="410">
        <f>IF(C21=0,0,+E21/C21)</f>
        <v>-0.28260869565217389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4207</v>
      </c>
      <c r="D23" s="401">
        <f>SUM(D19:D22)</f>
        <v>4279</v>
      </c>
      <c r="E23" s="401">
        <f>+D23-C23</f>
        <v>72</v>
      </c>
      <c r="F23" s="402">
        <f>IF(C23=0,0,+E23/C23)</f>
        <v>1.7114333254100309E-2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1</v>
      </c>
      <c r="D26" s="409">
        <v>2</v>
      </c>
      <c r="E26" s="409">
        <f>+D26-C26</f>
        <v>1</v>
      </c>
      <c r="F26" s="410">
        <f>IF(C26=0,0,+E26/C26)</f>
        <v>1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193</v>
      </c>
      <c r="D27" s="409">
        <v>223</v>
      </c>
      <c r="E27" s="409">
        <f>+D27-C27</f>
        <v>30</v>
      </c>
      <c r="F27" s="410">
        <f>IF(C27=0,0,+E27/C27)</f>
        <v>0.15544041450777202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194</v>
      </c>
      <c r="D30" s="401">
        <f>SUM(D26:D29)</f>
        <v>225</v>
      </c>
      <c r="E30" s="401">
        <f>+D30-C30</f>
        <v>31</v>
      </c>
      <c r="F30" s="402">
        <f>IF(C30=0,0,+E30/C30)</f>
        <v>0.15979381443298968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25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34</v>
      </c>
      <c r="D43" s="409">
        <v>18</v>
      </c>
      <c r="E43" s="409">
        <f>+D43-C43</f>
        <v>-16</v>
      </c>
      <c r="F43" s="410">
        <f>IF(C43=0,0,+E43/C43)</f>
        <v>-0.47058823529411764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4460</v>
      </c>
      <c r="D44" s="409">
        <v>4551</v>
      </c>
      <c r="E44" s="409">
        <f>+D44-C44</f>
        <v>91</v>
      </c>
      <c r="F44" s="410">
        <f>IF(C44=0,0,+E44/C44)</f>
        <v>2.040358744394619E-2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4494</v>
      </c>
      <c r="D45" s="401">
        <f>SUM(D43:D44)</f>
        <v>4569</v>
      </c>
      <c r="E45" s="401">
        <f>+D45-C45</f>
        <v>75</v>
      </c>
      <c r="F45" s="402">
        <f>IF(C45=0,0,+E45/C45)</f>
        <v>1.6688918558077435E-2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0</v>
      </c>
      <c r="D48" s="409">
        <v>0</v>
      </c>
      <c r="E48" s="409">
        <f>+D48-C48</f>
        <v>0</v>
      </c>
      <c r="F48" s="410">
        <f>IF(C48=0,0,+E48/C48)</f>
        <v>0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0</v>
      </c>
      <c r="D49" s="409">
        <v>0</v>
      </c>
      <c r="E49" s="409">
        <f>+D49-C49</f>
        <v>0</v>
      </c>
      <c r="F49" s="410">
        <f>IF(C49=0,0,+E49/C49)</f>
        <v>0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0</v>
      </c>
      <c r="D50" s="401">
        <f>SUM(D48:D49)</f>
        <v>0</v>
      </c>
      <c r="E50" s="401">
        <f>+D50-C50</f>
        <v>0</v>
      </c>
      <c r="F50" s="402">
        <f>IF(C50=0,0,+E50/C50)</f>
        <v>0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0</v>
      </c>
      <c r="D53" s="409">
        <v>0</v>
      </c>
      <c r="E53" s="409">
        <f>+D53-C53</f>
        <v>0</v>
      </c>
      <c r="F53" s="410">
        <f>IF(C53=0,0,+E53/C53)</f>
        <v>0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0</v>
      </c>
      <c r="D55" s="401">
        <f>SUM(D53:D54)</f>
        <v>0</v>
      </c>
      <c r="E55" s="401">
        <f>+D55-C55</f>
        <v>0</v>
      </c>
      <c r="F55" s="402">
        <f>IF(C55=0,0,+E55/C55)</f>
        <v>0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0</v>
      </c>
      <c r="D58" s="409">
        <v>0</v>
      </c>
      <c r="E58" s="409">
        <f>+D58-C58</f>
        <v>0</v>
      </c>
      <c r="F58" s="410">
        <f>IF(C58=0,0,+E58/C58)</f>
        <v>0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0</v>
      </c>
      <c r="D59" s="409">
        <v>0</v>
      </c>
      <c r="E59" s="409">
        <f>+D59-C59</f>
        <v>0</v>
      </c>
      <c r="F59" s="410">
        <f>IF(C59=0,0,+E59/C59)</f>
        <v>0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0</v>
      </c>
      <c r="D60" s="401">
        <f>SUM(D58:D59)</f>
        <v>0</v>
      </c>
      <c r="E60" s="401">
        <f>SUM(E58:E59)</f>
        <v>0</v>
      </c>
      <c r="F60" s="402">
        <f>IF(C60=0,0,+E60/C60)</f>
        <v>0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1359</v>
      </c>
      <c r="D63" s="409">
        <v>1384</v>
      </c>
      <c r="E63" s="409">
        <f>+D63-C63</f>
        <v>25</v>
      </c>
      <c r="F63" s="410">
        <f>IF(C63=0,0,+E63/C63)</f>
        <v>1.839587932303164E-2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3222</v>
      </c>
      <c r="D64" s="409">
        <v>3557</v>
      </c>
      <c r="E64" s="409">
        <f>+D64-C64</f>
        <v>335</v>
      </c>
      <c r="F64" s="410">
        <f>IF(C64=0,0,+E64/C64)</f>
        <v>0.10397268777157045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4581</v>
      </c>
      <c r="D65" s="401">
        <f>SUM(D63:D64)</f>
        <v>4941</v>
      </c>
      <c r="E65" s="401">
        <f>+D65-C65</f>
        <v>360</v>
      </c>
      <c r="F65" s="402">
        <f>IF(C65=0,0,+E65/C65)</f>
        <v>7.8585461689587424E-2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366</v>
      </c>
      <c r="D68" s="409">
        <v>326</v>
      </c>
      <c r="E68" s="409">
        <f>+D68-C68</f>
        <v>-40</v>
      </c>
      <c r="F68" s="410">
        <f>IF(C68=0,0,+E68/C68)</f>
        <v>-0.10928961748633879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2883</v>
      </c>
      <c r="D69" s="409">
        <v>3049</v>
      </c>
      <c r="E69" s="409">
        <f>+D69-C69</f>
        <v>166</v>
      </c>
      <c r="F69" s="412">
        <f>IF(C69=0,0,+E69/C69)</f>
        <v>5.7578910856746442E-2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3249</v>
      </c>
      <c r="D70" s="401">
        <f>SUM(D68:D69)</f>
        <v>3375</v>
      </c>
      <c r="E70" s="401">
        <f>+D70-C70</f>
        <v>126</v>
      </c>
      <c r="F70" s="402">
        <f>IF(C70=0,0,+E70/C70)</f>
        <v>3.8781163434903045E-2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5156</v>
      </c>
      <c r="D73" s="376">
        <v>4838</v>
      </c>
      <c r="E73" s="409">
        <f>+D73-C73</f>
        <v>-318</v>
      </c>
      <c r="F73" s="410">
        <f>IF(C73=0,0,+E73/C73)</f>
        <v>-6.1675717610550816E-2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34542</v>
      </c>
      <c r="D74" s="376">
        <v>33063</v>
      </c>
      <c r="E74" s="409">
        <f>+D74-C74</f>
        <v>-1479</v>
      </c>
      <c r="F74" s="410">
        <f>IF(C74=0,0,+E74/C74)</f>
        <v>-4.2817439638700709E-2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39698</v>
      </c>
      <c r="D75" s="401">
        <f>SUM(D73:D74)</f>
        <v>37901</v>
      </c>
      <c r="E75" s="401">
        <f>SUM(E73:E74)</f>
        <v>-1797</v>
      </c>
      <c r="F75" s="402">
        <f>IF(C75=0,0,+E75/C75)</f>
        <v>-4.526676406871883E-2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5436</v>
      </c>
      <c r="D79" s="376">
        <v>4870</v>
      </c>
      <c r="E79" s="409">
        <f t="shared" ref="E79:E92" si="0">+D79-C79</f>
        <v>-566</v>
      </c>
      <c r="F79" s="410">
        <f t="shared" ref="F79:F92" si="1">IF(C79=0,0,+E79/C79)</f>
        <v>-0.10412067696835908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7040</v>
      </c>
      <c r="D81" s="376">
        <v>7421</v>
      </c>
      <c r="E81" s="409">
        <f t="shared" si="0"/>
        <v>381</v>
      </c>
      <c r="F81" s="410">
        <f t="shared" si="1"/>
        <v>5.4119318181818185E-2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133</v>
      </c>
      <c r="D86" s="376">
        <v>299</v>
      </c>
      <c r="E86" s="409">
        <f t="shared" si="0"/>
        <v>166</v>
      </c>
      <c r="F86" s="410">
        <f t="shared" si="1"/>
        <v>1.2481203007518797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12609</v>
      </c>
      <c r="D92" s="381">
        <f>SUM(D79:D91)</f>
        <v>12590</v>
      </c>
      <c r="E92" s="401">
        <f t="shared" si="0"/>
        <v>-19</v>
      </c>
      <c r="F92" s="402">
        <f t="shared" si="1"/>
        <v>-1.506860179237053E-3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14352</v>
      </c>
      <c r="D95" s="414">
        <v>15171</v>
      </c>
      <c r="E95" s="415">
        <f t="shared" ref="E95:E100" si="2">+D95-C95</f>
        <v>819</v>
      </c>
      <c r="F95" s="412">
        <f t="shared" ref="F95:F100" si="3">IF(C95=0,0,+E95/C95)</f>
        <v>5.7065217391304345E-2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2684</v>
      </c>
      <c r="D96" s="414">
        <v>3447</v>
      </c>
      <c r="E96" s="409">
        <f t="shared" si="2"/>
        <v>763</v>
      </c>
      <c r="F96" s="410">
        <f t="shared" si="3"/>
        <v>0.28427719821162445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1211</v>
      </c>
      <c r="D97" s="414">
        <v>1375</v>
      </c>
      <c r="E97" s="409">
        <f t="shared" si="2"/>
        <v>164</v>
      </c>
      <c r="F97" s="410">
        <f t="shared" si="3"/>
        <v>0.13542526837324526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59032</v>
      </c>
      <c r="D99" s="414">
        <v>61245</v>
      </c>
      <c r="E99" s="409">
        <f t="shared" si="2"/>
        <v>2213</v>
      </c>
      <c r="F99" s="410">
        <f t="shared" si="3"/>
        <v>3.7488142024664592E-2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77279</v>
      </c>
      <c r="D100" s="381">
        <f>SUM(D95:D99)</f>
        <v>81238</v>
      </c>
      <c r="E100" s="401">
        <f t="shared" si="2"/>
        <v>3959</v>
      </c>
      <c r="F100" s="402">
        <f t="shared" si="3"/>
        <v>5.1229958979800462E-2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301.89999999999998</v>
      </c>
      <c r="D104" s="416">
        <v>315.7</v>
      </c>
      <c r="E104" s="417">
        <f>+D104-C104</f>
        <v>13.800000000000011</v>
      </c>
      <c r="F104" s="410">
        <f>IF(C104=0,0,+E104/C104)</f>
        <v>4.5710500165617798E-2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52.5</v>
      </c>
      <c r="D105" s="416">
        <v>49.7</v>
      </c>
      <c r="E105" s="417">
        <f>+D105-C105</f>
        <v>-2.7999999999999972</v>
      </c>
      <c r="F105" s="410">
        <f>IF(C105=0,0,+E105/C105)</f>
        <v>-5.3333333333333281E-2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548</v>
      </c>
      <c r="D106" s="416">
        <v>558.79999999999995</v>
      </c>
      <c r="E106" s="417">
        <f>+D106-C106</f>
        <v>10.799999999999955</v>
      </c>
      <c r="F106" s="410">
        <f>IF(C106=0,0,+E106/C106)</f>
        <v>1.9708029197080208E-2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902.4</v>
      </c>
      <c r="D107" s="418">
        <f>SUM(D104:D106)</f>
        <v>924.19999999999993</v>
      </c>
      <c r="E107" s="418">
        <f>+D107-C107</f>
        <v>21.799999999999955</v>
      </c>
      <c r="F107" s="402">
        <f>IF(C107=0,0,+E107/C107)</f>
        <v>2.4157801418439668E-2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A1:F1"/>
    <mergeCell ref="A2:F2"/>
    <mergeCell ref="A3:F3"/>
    <mergeCell ref="A4:F4"/>
    <mergeCell ref="B39:F39"/>
    <mergeCell ref="B40:F40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FILING&amp;RGRIFFIN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0" t="s">
        <v>0</v>
      </c>
      <c r="B1" s="811"/>
      <c r="C1" s="811"/>
      <c r="D1" s="811"/>
      <c r="E1" s="811"/>
      <c r="F1" s="812"/>
    </row>
    <row r="2" spans="1:6" ht="15.75" customHeight="1" x14ac:dyDescent="0.25">
      <c r="A2" s="810" t="s">
        <v>1</v>
      </c>
      <c r="B2" s="811"/>
      <c r="C2" s="811"/>
      <c r="D2" s="811"/>
      <c r="E2" s="811"/>
      <c r="F2" s="812"/>
    </row>
    <row r="3" spans="1:6" ht="15.75" customHeight="1" x14ac:dyDescent="0.25">
      <c r="A3" s="810" t="s">
        <v>2</v>
      </c>
      <c r="B3" s="811"/>
      <c r="C3" s="811"/>
      <c r="D3" s="811"/>
      <c r="E3" s="811"/>
      <c r="F3" s="812"/>
    </row>
    <row r="4" spans="1:6" ht="15.75" customHeight="1" x14ac:dyDescent="0.25">
      <c r="A4" s="810" t="s">
        <v>620</v>
      </c>
      <c r="B4" s="811"/>
      <c r="C4" s="811"/>
      <c r="D4" s="811"/>
      <c r="E4" s="811"/>
      <c r="F4" s="812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0</v>
      </c>
      <c r="C12" s="409">
        <v>3222</v>
      </c>
      <c r="D12" s="409">
        <v>3557</v>
      </c>
      <c r="E12" s="409">
        <f>+D12-C12</f>
        <v>335</v>
      </c>
      <c r="F12" s="410">
        <f>IF(C12=0,0,+E12/C12)</f>
        <v>0.10397268777157045</v>
      </c>
    </row>
    <row r="13" spans="1:6" ht="15.75" customHeight="1" x14ac:dyDescent="0.25">
      <c r="A13" s="374"/>
      <c r="B13" s="399" t="s">
        <v>621</v>
      </c>
      <c r="C13" s="401">
        <f>SUM(C11:C12)</f>
        <v>3222</v>
      </c>
      <c r="D13" s="401">
        <f>SUM(D11:D12)</f>
        <v>3557</v>
      </c>
      <c r="E13" s="401">
        <f>+D13-C13</f>
        <v>335</v>
      </c>
      <c r="F13" s="402">
        <f>IF(C13=0,0,+E13/C13)</f>
        <v>0.10397268777157045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0</v>
      </c>
      <c r="C16" s="409">
        <v>2883</v>
      </c>
      <c r="D16" s="409">
        <v>3049</v>
      </c>
      <c r="E16" s="409">
        <f>+D16-C16</f>
        <v>166</v>
      </c>
      <c r="F16" s="410">
        <f>IF(C16=0,0,+E16/C16)</f>
        <v>5.7578910856746442E-2</v>
      </c>
    </row>
    <row r="17" spans="1:6" ht="15.75" customHeight="1" x14ac:dyDescent="0.25">
      <c r="A17" s="374"/>
      <c r="B17" s="399" t="s">
        <v>622</v>
      </c>
      <c r="C17" s="401">
        <f>SUM(C15:C16)</f>
        <v>2883</v>
      </c>
      <c r="D17" s="401">
        <f>SUM(D15:D16)</f>
        <v>3049</v>
      </c>
      <c r="E17" s="401">
        <f>+D17-C17</f>
        <v>166</v>
      </c>
      <c r="F17" s="402">
        <f>IF(C17=0,0,+E17/C17)</f>
        <v>5.7578910856746442E-2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623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0</v>
      </c>
      <c r="C20" s="409">
        <v>34542</v>
      </c>
      <c r="D20" s="409">
        <v>33063</v>
      </c>
      <c r="E20" s="409">
        <f>+D20-C20</f>
        <v>-1479</v>
      </c>
      <c r="F20" s="410">
        <f>IF(C20=0,0,+E20/C20)</f>
        <v>-4.2817439638700709E-2</v>
      </c>
    </row>
    <row r="21" spans="1:6" ht="15.75" customHeight="1" x14ac:dyDescent="0.25">
      <c r="A21" s="374"/>
      <c r="B21" s="399" t="s">
        <v>624</v>
      </c>
      <c r="C21" s="401">
        <f>SUM(C19:C20)</f>
        <v>34542</v>
      </c>
      <c r="D21" s="401">
        <f>SUM(D19:D20)</f>
        <v>33063</v>
      </c>
      <c r="E21" s="401">
        <f>+D21-C21</f>
        <v>-1479</v>
      </c>
      <c r="F21" s="402">
        <f>IF(C21=0,0,+E21/C21)</f>
        <v>-4.2817439638700709E-2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3" t="s">
        <v>625</v>
      </c>
      <c r="C23" s="814"/>
      <c r="D23" s="814"/>
      <c r="E23" s="814"/>
      <c r="F23" s="815"/>
    </row>
    <row r="24" spans="1:6" ht="15.75" customHeight="1" x14ac:dyDescent="0.25">
      <c r="A24" s="392"/>
    </row>
    <row r="25" spans="1:6" ht="15.75" customHeight="1" x14ac:dyDescent="0.25">
      <c r="B25" s="813" t="s">
        <v>626</v>
      </c>
      <c r="C25" s="814"/>
      <c r="D25" s="814"/>
      <c r="E25" s="814"/>
      <c r="F25" s="815"/>
    </row>
    <row r="26" spans="1:6" ht="15.75" customHeight="1" x14ac:dyDescent="0.25">
      <c r="A26" s="392"/>
    </row>
    <row r="27" spans="1:6" ht="15.75" customHeight="1" x14ac:dyDescent="0.25">
      <c r="B27" s="813" t="s">
        <v>627</v>
      </c>
      <c r="C27" s="814"/>
      <c r="D27" s="814"/>
      <c r="E27" s="814"/>
      <c r="F27" s="815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FILING&amp;RGRIFFIN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628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629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630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631</v>
      </c>
      <c r="D7" s="426" t="s">
        <v>631</v>
      </c>
      <c r="E7" s="426" t="s">
        <v>632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633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634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635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636</v>
      </c>
      <c r="C15" s="448">
        <v>115723692</v>
      </c>
      <c r="D15" s="448">
        <v>115808490</v>
      </c>
      <c r="E15" s="448">
        <f t="shared" ref="E15:E24" si="0">D15-C15</f>
        <v>84798</v>
      </c>
      <c r="F15" s="449">
        <f t="shared" ref="F15:F24" si="1">IF(C15=0,0,E15/C15)</f>
        <v>7.3276265676003489E-4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637</v>
      </c>
      <c r="C16" s="448">
        <v>35052885</v>
      </c>
      <c r="D16" s="448">
        <v>34813654</v>
      </c>
      <c r="E16" s="448">
        <f t="shared" si="0"/>
        <v>-239231</v>
      </c>
      <c r="F16" s="449">
        <f t="shared" si="1"/>
        <v>-6.8248590665219138E-3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638</v>
      </c>
      <c r="C17" s="453">
        <f>IF(C15=0,0,C16/C15)</f>
        <v>0.30290154413670106</v>
      </c>
      <c r="D17" s="453">
        <f>IF(LN_IA1=0,0,LN_IA2/LN_IA1)</f>
        <v>0.30061400506992192</v>
      </c>
      <c r="E17" s="454">
        <f t="shared" si="0"/>
        <v>-2.2875390667791429E-3</v>
      </c>
      <c r="F17" s="449">
        <f t="shared" si="1"/>
        <v>-7.5520878353355783E-3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3456</v>
      </c>
      <c r="D18" s="456">
        <v>3283</v>
      </c>
      <c r="E18" s="456">
        <f t="shared" si="0"/>
        <v>-173</v>
      </c>
      <c r="F18" s="449">
        <f t="shared" si="1"/>
        <v>-5.0057870370370371E-2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639</v>
      </c>
      <c r="C19" s="459">
        <v>1.3304</v>
      </c>
      <c r="D19" s="459">
        <v>1.32358</v>
      </c>
      <c r="E19" s="460">
        <f t="shared" si="0"/>
        <v>-6.8200000000000482E-3</v>
      </c>
      <c r="F19" s="449">
        <f t="shared" si="1"/>
        <v>-5.1262778111846423E-3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640</v>
      </c>
      <c r="C20" s="463">
        <f>C18*C19</f>
        <v>4597.8624</v>
      </c>
      <c r="D20" s="463">
        <f>LN_IA4*LN_IA5</f>
        <v>4345.3131400000002</v>
      </c>
      <c r="E20" s="463">
        <f t="shared" si="0"/>
        <v>-252.54925999999978</v>
      </c>
      <c r="F20" s="449">
        <f t="shared" si="1"/>
        <v>-5.4927537631400146E-2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641</v>
      </c>
      <c r="C21" s="465">
        <f>IF(C20=0,0,C16/C20)</f>
        <v>7623.7351078622969</v>
      </c>
      <c r="D21" s="465">
        <f>IF(LN_IA6=0,0,LN_IA2/LN_IA6)</f>
        <v>8011.771045803157</v>
      </c>
      <c r="E21" s="465">
        <f t="shared" si="0"/>
        <v>388.03593794086009</v>
      </c>
      <c r="F21" s="449">
        <f t="shared" si="1"/>
        <v>5.0898402482620592E-2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17572</v>
      </c>
      <c r="D22" s="456">
        <v>16402</v>
      </c>
      <c r="E22" s="456">
        <f t="shared" si="0"/>
        <v>-1170</v>
      </c>
      <c r="F22" s="449">
        <f t="shared" si="1"/>
        <v>-6.6583200546323704E-2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642</v>
      </c>
      <c r="C23" s="465">
        <f>IF(C22=0,0,C16/C22)</f>
        <v>1994.8147621215571</v>
      </c>
      <c r="D23" s="465">
        <f>IF(LN_IA8=0,0,LN_IA2/LN_IA8)</f>
        <v>2122.5249359834165</v>
      </c>
      <c r="E23" s="465">
        <f t="shared" si="0"/>
        <v>127.7101738618594</v>
      </c>
      <c r="F23" s="449">
        <f t="shared" si="1"/>
        <v>6.4021069167362207E-2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643</v>
      </c>
      <c r="C24" s="466">
        <f>IF(C18=0,0,C22/C18)</f>
        <v>5.0844907407407405</v>
      </c>
      <c r="D24" s="466">
        <f>IF(LN_IA4=0,0,LN_IA8/LN_IA4)</f>
        <v>4.9960402071276269</v>
      </c>
      <c r="E24" s="466">
        <f t="shared" si="0"/>
        <v>-8.8450533613113613E-2</v>
      </c>
      <c r="F24" s="449">
        <f t="shared" si="1"/>
        <v>-1.7396144102374271E-2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644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645</v>
      </c>
      <c r="C27" s="448">
        <v>80923302</v>
      </c>
      <c r="D27" s="448">
        <v>94739623</v>
      </c>
      <c r="E27" s="448">
        <f t="shared" ref="E27:E32" si="2">D27-C27</f>
        <v>13816321</v>
      </c>
      <c r="F27" s="449">
        <f t="shared" ref="F27:F32" si="3">IF(C27=0,0,E27/C27)</f>
        <v>0.17073352987993495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646</v>
      </c>
      <c r="C28" s="448">
        <v>15795456</v>
      </c>
      <c r="D28" s="448">
        <v>18803647</v>
      </c>
      <c r="E28" s="448">
        <f t="shared" si="2"/>
        <v>3008191</v>
      </c>
      <c r="F28" s="449">
        <f t="shared" si="3"/>
        <v>0.19044660692290238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647</v>
      </c>
      <c r="C29" s="453">
        <f>IF(C27=0,0,C28/C27)</f>
        <v>0.19519045330107759</v>
      </c>
      <c r="D29" s="453">
        <f>IF(LN_IA11=0,0,LN_IA12/LN_IA11)</f>
        <v>0.1984771144803901</v>
      </c>
      <c r="E29" s="454">
        <f t="shared" si="2"/>
        <v>3.2866611793125056E-3</v>
      </c>
      <c r="F29" s="449">
        <f t="shared" si="3"/>
        <v>1.6838227094246729E-2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648</v>
      </c>
      <c r="C30" s="453">
        <f>IF(C15=0,0,C27/C15)</f>
        <v>0.69928033405640044</v>
      </c>
      <c r="D30" s="453">
        <f>IF(LN_IA1=0,0,LN_IA11/LN_IA1)</f>
        <v>0.81807148163316867</v>
      </c>
      <c r="E30" s="454">
        <f t="shared" si="2"/>
        <v>0.11879114757676823</v>
      </c>
      <c r="F30" s="449">
        <f t="shared" si="3"/>
        <v>0.16987628822289622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649</v>
      </c>
      <c r="C31" s="463">
        <f>C30*C18</f>
        <v>2416.7128344989201</v>
      </c>
      <c r="D31" s="463">
        <f>LN_IA14*LN_IA4</f>
        <v>2685.7286742016927</v>
      </c>
      <c r="E31" s="463">
        <f t="shared" si="2"/>
        <v>269.01583970277261</v>
      </c>
      <c r="F31" s="449">
        <f t="shared" si="3"/>
        <v>0.11131477263766433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650</v>
      </c>
      <c r="C32" s="465">
        <f>IF(C31=0,0,C28/C31)</f>
        <v>6535.9258967460328</v>
      </c>
      <c r="D32" s="465">
        <f>IF(LN_IA15=0,0,LN_IA12/LN_IA15)</f>
        <v>7001.320416549228</v>
      </c>
      <c r="E32" s="465">
        <f t="shared" si="2"/>
        <v>465.39451980319518</v>
      </c>
      <c r="F32" s="449">
        <f t="shared" si="3"/>
        <v>7.120559919978528E-2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651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652</v>
      </c>
      <c r="C35" s="448">
        <f>C15+C27</f>
        <v>196646994</v>
      </c>
      <c r="D35" s="448">
        <f>LN_IA1+LN_IA11</f>
        <v>210548113</v>
      </c>
      <c r="E35" s="448">
        <f>D35-C35</f>
        <v>13901119</v>
      </c>
      <c r="F35" s="449">
        <f>IF(C35=0,0,E35/C35)</f>
        <v>7.0690727161585795E-2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653</v>
      </c>
      <c r="C36" s="448">
        <f>C16+C28</f>
        <v>50848341</v>
      </c>
      <c r="D36" s="448">
        <f>LN_IA2+LN_IA12</f>
        <v>53617301</v>
      </c>
      <c r="E36" s="448">
        <f>D36-C36</f>
        <v>2768960</v>
      </c>
      <c r="F36" s="449">
        <f>IF(C36=0,0,E36/C36)</f>
        <v>5.4455267281974841E-2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654</v>
      </c>
      <c r="C37" s="448">
        <f>C35-C36</f>
        <v>145798653</v>
      </c>
      <c r="D37" s="448">
        <f>LN_IA17-LN_IA18</f>
        <v>156930812</v>
      </c>
      <c r="E37" s="448">
        <f>D37-C37</f>
        <v>11132159</v>
      </c>
      <c r="F37" s="449">
        <f>IF(C37=0,0,E37/C37)</f>
        <v>7.6352961916596032E-2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655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656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636</v>
      </c>
      <c r="C42" s="448">
        <v>55746660</v>
      </c>
      <c r="D42" s="448">
        <v>57149246</v>
      </c>
      <c r="E42" s="448">
        <f t="shared" ref="E42:E53" si="4">D42-C42</f>
        <v>1402586</v>
      </c>
      <c r="F42" s="449">
        <f t="shared" ref="F42:F53" si="5">IF(C42=0,0,E42/C42)</f>
        <v>2.5160000617077329E-2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637</v>
      </c>
      <c r="C43" s="448">
        <v>21796955</v>
      </c>
      <c r="D43" s="448">
        <v>22894467</v>
      </c>
      <c r="E43" s="448">
        <f t="shared" si="4"/>
        <v>1097512</v>
      </c>
      <c r="F43" s="449">
        <f t="shared" si="5"/>
        <v>5.0351620214841936E-2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638</v>
      </c>
      <c r="C44" s="453">
        <f>IF(C42=0,0,C43/C42)</f>
        <v>0.39100019624494098</v>
      </c>
      <c r="D44" s="453">
        <f>IF(LN_IB1=0,0,LN_IB2/LN_IB1)</f>
        <v>0.40060838247979685</v>
      </c>
      <c r="E44" s="454">
        <f t="shared" si="4"/>
        <v>9.6081862348558755E-3</v>
      </c>
      <c r="F44" s="449">
        <f t="shared" si="5"/>
        <v>2.4573353996060029E-2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2395</v>
      </c>
      <c r="D45" s="456">
        <v>2232</v>
      </c>
      <c r="E45" s="456">
        <f t="shared" si="4"/>
        <v>-163</v>
      </c>
      <c r="F45" s="449">
        <f t="shared" si="5"/>
        <v>-6.8058455114822544E-2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639</v>
      </c>
      <c r="C46" s="459">
        <v>1.0626</v>
      </c>
      <c r="D46" s="459">
        <v>1.0301499999999999</v>
      </c>
      <c r="E46" s="460">
        <f t="shared" si="4"/>
        <v>-3.245000000000009E-2</v>
      </c>
      <c r="F46" s="449">
        <f t="shared" si="5"/>
        <v>-3.0538302277432799E-2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640</v>
      </c>
      <c r="C47" s="463">
        <f>C45*C46</f>
        <v>2544.9270000000001</v>
      </c>
      <c r="D47" s="463">
        <f>LN_IB4*LN_IB5</f>
        <v>2299.2947999999997</v>
      </c>
      <c r="E47" s="463">
        <f t="shared" si="4"/>
        <v>-245.63220000000047</v>
      </c>
      <c r="F47" s="449">
        <f t="shared" si="5"/>
        <v>-9.6518367717423906E-2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641</v>
      </c>
      <c r="C48" s="465">
        <f>IF(C47=0,0,C43/C47)</f>
        <v>8564.8645324600657</v>
      </c>
      <c r="D48" s="465">
        <f>IF(LN_IB6=0,0,LN_IB2/LN_IB6)</f>
        <v>9957.1690415687463</v>
      </c>
      <c r="E48" s="465">
        <f t="shared" si="4"/>
        <v>1392.3045091086806</v>
      </c>
      <c r="F48" s="449">
        <f t="shared" si="5"/>
        <v>0.16256001526141736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657</v>
      </c>
      <c r="C49" s="465">
        <f>C21-C48</f>
        <v>-941.12942459776878</v>
      </c>
      <c r="D49" s="465">
        <f>LN_IA7-LN_IB7</f>
        <v>-1945.3979957655893</v>
      </c>
      <c r="E49" s="465">
        <f t="shared" si="4"/>
        <v>-1004.2685711678205</v>
      </c>
      <c r="F49" s="449">
        <f t="shared" si="5"/>
        <v>1.0670886967507545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658</v>
      </c>
      <c r="C50" s="479">
        <f>C49*C47</f>
        <v>-2395105.6831533262</v>
      </c>
      <c r="D50" s="479">
        <f>LN_IB8*LN_IB6</f>
        <v>-4473043.4955942407</v>
      </c>
      <c r="E50" s="479">
        <f t="shared" si="4"/>
        <v>-2077937.8124409146</v>
      </c>
      <c r="F50" s="449">
        <f t="shared" si="5"/>
        <v>0.86757666981323445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8583</v>
      </c>
      <c r="D51" s="456">
        <v>8407</v>
      </c>
      <c r="E51" s="456">
        <f t="shared" si="4"/>
        <v>-176</v>
      </c>
      <c r="F51" s="449">
        <f t="shared" si="5"/>
        <v>-2.0505650704881744E-2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642</v>
      </c>
      <c r="C52" s="465">
        <f>IF(C51=0,0,C43/C51)</f>
        <v>2539.5496912501458</v>
      </c>
      <c r="D52" s="465">
        <f>IF(LN_IB10=0,0,LN_IB2/LN_IB10)</f>
        <v>2723.262400380635</v>
      </c>
      <c r="E52" s="465">
        <f t="shared" si="4"/>
        <v>183.7127091304892</v>
      </c>
      <c r="F52" s="449">
        <f t="shared" si="5"/>
        <v>7.2340663292968621E-2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643</v>
      </c>
      <c r="C53" s="466">
        <f>IF(C45=0,0,C51/C45)</f>
        <v>3.5837160751565764</v>
      </c>
      <c r="D53" s="466">
        <f>IF(LN_IB4=0,0,LN_IB10/LN_IB4)</f>
        <v>3.7665770609318998</v>
      </c>
      <c r="E53" s="466">
        <f t="shared" si="4"/>
        <v>0.18286098577532339</v>
      </c>
      <c r="F53" s="449">
        <f t="shared" si="5"/>
        <v>5.1025522653139872E-2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659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645</v>
      </c>
      <c r="C56" s="448">
        <v>118492157</v>
      </c>
      <c r="D56" s="448">
        <v>124528523</v>
      </c>
      <c r="E56" s="448">
        <f t="shared" ref="E56:E63" si="6">D56-C56</f>
        <v>6036366</v>
      </c>
      <c r="F56" s="449">
        <f t="shared" ref="F56:F63" si="7">IF(C56=0,0,E56/C56)</f>
        <v>5.0943169175323565E-2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646</v>
      </c>
      <c r="C57" s="448">
        <v>41299783</v>
      </c>
      <c r="D57" s="448">
        <v>44223985</v>
      </c>
      <c r="E57" s="448">
        <f t="shared" si="6"/>
        <v>2924202</v>
      </c>
      <c r="F57" s="449">
        <f t="shared" si="7"/>
        <v>7.0804294540724344E-2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647</v>
      </c>
      <c r="C58" s="453">
        <f>IF(C56=0,0,C57/C56)</f>
        <v>0.34854444416941455</v>
      </c>
      <c r="D58" s="453">
        <f>IF(LN_IB13=0,0,LN_IB14/LN_IB13)</f>
        <v>0.35513137018416252</v>
      </c>
      <c r="E58" s="454">
        <f t="shared" si="6"/>
        <v>6.5869260147479736E-3</v>
      </c>
      <c r="F58" s="449">
        <f t="shared" si="7"/>
        <v>1.8898381899171264E-2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648</v>
      </c>
      <c r="C59" s="453">
        <f>IF(C42=0,0,C56/C42)</f>
        <v>2.1255471987021286</v>
      </c>
      <c r="D59" s="453">
        <f>IF(LN_IB1=0,0,LN_IB13/LN_IB1)</f>
        <v>2.1790055287868539</v>
      </c>
      <c r="E59" s="454">
        <f t="shared" si="6"/>
        <v>5.3458330084725336E-2</v>
      </c>
      <c r="F59" s="449">
        <f t="shared" si="7"/>
        <v>2.5150384859657458E-2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649</v>
      </c>
      <c r="C60" s="463">
        <f>C59*C45</f>
        <v>5090.6855408915981</v>
      </c>
      <c r="D60" s="463">
        <f>LN_IB16*LN_IB4</f>
        <v>4863.5403402522579</v>
      </c>
      <c r="E60" s="463">
        <f t="shared" si="6"/>
        <v>-227.14520063934015</v>
      </c>
      <c r="F60" s="449">
        <f t="shared" si="7"/>
        <v>-4.4619766594256628E-2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650</v>
      </c>
      <c r="C61" s="465">
        <f>IF(C60=0,0,C57/C60)</f>
        <v>8112.8136217124566</v>
      </c>
      <c r="D61" s="465">
        <f>IF(LN_IB17=0,0,LN_IB14/LN_IB17)</f>
        <v>9092.9614860984639</v>
      </c>
      <c r="E61" s="465">
        <f t="shared" si="6"/>
        <v>980.14786438600731</v>
      </c>
      <c r="F61" s="449">
        <f t="shared" si="7"/>
        <v>0.12081478881294912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660</v>
      </c>
      <c r="C62" s="465">
        <f>C32-C61</f>
        <v>-1576.8877249664238</v>
      </c>
      <c r="D62" s="465">
        <f>LN_IA16-LN_IB18</f>
        <v>-2091.6410695492359</v>
      </c>
      <c r="E62" s="465">
        <f t="shared" si="6"/>
        <v>-514.75334458281213</v>
      </c>
      <c r="F62" s="449">
        <f t="shared" si="7"/>
        <v>0.32643626837400402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661</v>
      </c>
      <c r="C63" s="448">
        <f>C62*C60</f>
        <v>-8027439.5410960205</v>
      </c>
      <c r="D63" s="448">
        <f>LN_IB19*LN_IB17</f>
        <v>-10172780.719081087</v>
      </c>
      <c r="E63" s="448">
        <f t="shared" si="6"/>
        <v>-2145341.1779850665</v>
      </c>
      <c r="F63" s="449">
        <f t="shared" si="7"/>
        <v>0.26725099167699917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662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652</v>
      </c>
      <c r="C66" s="448">
        <f>C42+C56</f>
        <v>174238817</v>
      </c>
      <c r="D66" s="448">
        <f>LN_IB1+LN_IB13</f>
        <v>181677769</v>
      </c>
      <c r="E66" s="448">
        <f>D66-C66</f>
        <v>7438952</v>
      </c>
      <c r="F66" s="449">
        <f>IF(C66=0,0,E66/C66)</f>
        <v>4.2693999695831271E-2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653</v>
      </c>
      <c r="C67" s="448">
        <f>C43+C57</f>
        <v>63096738</v>
      </c>
      <c r="D67" s="448">
        <f>LN_IB2+LN_IB14</f>
        <v>67118452</v>
      </c>
      <c r="E67" s="448">
        <f>D67-C67</f>
        <v>4021714</v>
      </c>
      <c r="F67" s="449">
        <f>IF(C67=0,0,E67/C67)</f>
        <v>6.3738857625254733E-2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654</v>
      </c>
      <c r="C68" s="448">
        <f>C66-C67</f>
        <v>111142079</v>
      </c>
      <c r="D68" s="448">
        <f>LN_IB21-LN_IB22</f>
        <v>114559317</v>
      </c>
      <c r="E68" s="448">
        <f>D68-C68</f>
        <v>3417238</v>
      </c>
      <c r="F68" s="449">
        <f>IF(C68=0,0,E68/C68)</f>
        <v>3.0746572592006308E-2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663</v>
      </c>
      <c r="C70" s="441">
        <f>C50+C63</f>
        <v>-10422545.224249346</v>
      </c>
      <c r="D70" s="441">
        <f>LN_IB9+LN_IB20</f>
        <v>-14645824.214675328</v>
      </c>
      <c r="E70" s="448">
        <f>D70-C70</f>
        <v>-4223278.9904259816</v>
      </c>
      <c r="F70" s="449">
        <f>IF(C70=0,0,E70/C70)</f>
        <v>0.40520610844652399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664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665</v>
      </c>
      <c r="C73" s="488">
        <v>168743461</v>
      </c>
      <c r="D73" s="488">
        <v>177406112</v>
      </c>
      <c r="E73" s="488">
        <f>D73-C73</f>
        <v>8662651</v>
      </c>
      <c r="F73" s="489">
        <f>IF(C73=0,0,E73/C73)</f>
        <v>5.1336217407559274E-2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666</v>
      </c>
      <c r="C74" s="488">
        <v>64824539</v>
      </c>
      <c r="D74" s="488">
        <v>67686329</v>
      </c>
      <c r="E74" s="488">
        <f>D74-C74</f>
        <v>2861790</v>
      </c>
      <c r="F74" s="489">
        <f>IF(C74=0,0,E74/C74)</f>
        <v>4.4146708085344037E-2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667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668</v>
      </c>
      <c r="C76" s="441">
        <f>C73-C74</f>
        <v>103918922</v>
      </c>
      <c r="D76" s="441">
        <f>LN_IB32-LN_IB33</f>
        <v>109719783</v>
      </c>
      <c r="E76" s="488">
        <f>D76-C76</f>
        <v>5800861</v>
      </c>
      <c r="F76" s="489">
        <f>IF(E76=0,0,E76/C76)</f>
        <v>5.5821027473706861E-2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669</v>
      </c>
      <c r="C77" s="453">
        <f>IF(C73=0,0,C76/C73)</f>
        <v>0.6158396976342686</v>
      </c>
      <c r="D77" s="453">
        <f>IF(LN_IB32=0,0,LN_IB34/LN_IB32)</f>
        <v>0.61846675834934028</v>
      </c>
      <c r="E77" s="493">
        <f>D77-C77</f>
        <v>2.6270607150716829E-3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670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671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636</v>
      </c>
      <c r="C83" s="448">
        <v>2035467</v>
      </c>
      <c r="D83" s="448">
        <v>776076</v>
      </c>
      <c r="E83" s="448">
        <f t="shared" ref="E83:E95" si="8">D83-C83</f>
        <v>-1259391</v>
      </c>
      <c r="F83" s="449">
        <f t="shared" ref="F83:F95" si="9">IF(C83=0,0,E83/C83)</f>
        <v>-0.61872336913347159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637</v>
      </c>
      <c r="C84" s="448">
        <v>392743</v>
      </c>
      <c r="D84" s="448">
        <v>432874</v>
      </c>
      <c r="E84" s="448">
        <f t="shared" si="8"/>
        <v>40131</v>
      </c>
      <c r="F84" s="449">
        <f t="shared" si="9"/>
        <v>0.10218132468306246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638</v>
      </c>
      <c r="C85" s="453">
        <f>IF(C83=0,0,C84/C83)</f>
        <v>0.19294982429093668</v>
      </c>
      <c r="D85" s="453">
        <f>IF(LN_IC1=0,0,LN_IC2/LN_IC1)</f>
        <v>0.55777269236518068</v>
      </c>
      <c r="E85" s="454">
        <f t="shared" si="8"/>
        <v>0.36482286807424402</v>
      </c>
      <c r="F85" s="449">
        <f t="shared" si="9"/>
        <v>1.8907654848348086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85</v>
      </c>
      <c r="D86" s="456">
        <v>81</v>
      </c>
      <c r="E86" s="456">
        <f t="shared" si="8"/>
        <v>-4</v>
      </c>
      <c r="F86" s="449">
        <f t="shared" si="9"/>
        <v>-4.7058823529411764E-2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639</v>
      </c>
      <c r="C87" s="459">
        <v>1.0423</v>
      </c>
      <c r="D87" s="459">
        <v>0.85394000000000003</v>
      </c>
      <c r="E87" s="460">
        <f t="shared" si="8"/>
        <v>-0.18835999999999997</v>
      </c>
      <c r="F87" s="449">
        <f t="shared" si="9"/>
        <v>-0.18071572483929768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640</v>
      </c>
      <c r="C88" s="463">
        <f>C86*C87</f>
        <v>88.595500000000001</v>
      </c>
      <c r="D88" s="463">
        <f>LN_IC4*LN_IC5</f>
        <v>69.169139999999999</v>
      </c>
      <c r="E88" s="463">
        <f t="shared" si="8"/>
        <v>-19.426360000000003</v>
      </c>
      <c r="F88" s="449">
        <f t="shared" si="9"/>
        <v>-0.21927027896450726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641</v>
      </c>
      <c r="C89" s="465">
        <f>IF(C88=0,0,C84/C88)</f>
        <v>4432.9903889023708</v>
      </c>
      <c r="D89" s="465">
        <f>IF(LN_IC6=0,0,LN_IC2/LN_IC6)</f>
        <v>6258.1954900697046</v>
      </c>
      <c r="E89" s="465">
        <f t="shared" si="8"/>
        <v>1825.2051011673339</v>
      </c>
      <c r="F89" s="449">
        <f t="shared" si="9"/>
        <v>0.41173224867272118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672</v>
      </c>
      <c r="C90" s="465">
        <f>C48-C89</f>
        <v>4131.8741435576949</v>
      </c>
      <c r="D90" s="465">
        <f>LN_IB7-LN_IC7</f>
        <v>3698.9735514990416</v>
      </c>
      <c r="E90" s="465">
        <f t="shared" si="8"/>
        <v>-432.90059205865327</v>
      </c>
      <c r="F90" s="449">
        <f t="shared" si="9"/>
        <v>-0.10477100149180972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673</v>
      </c>
      <c r="C91" s="465">
        <f>C21-C89</f>
        <v>3190.7447189599261</v>
      </c>
      <c r="D91" s="465">
        <f>LN_IA7-LN_IC7</f>
        <v>1753.5755557334523</v>
      </c>
      <c r="E91" s="465">
        <f t="shared" si="8"/>
        <v>-1437.1691632264738</v>
      </c>
      <c r="F91" s="449">
        <f t="shared" si="9"/>
        <v>-0.45041809665517268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658</v>
      </c>
      <c r="C92" s="441">
        <f>C91*C88</f>
        <v>282685.62374861416</v>
      </c>
      <c r="D92" s="441">
        <f>LN_IC9*LN_IC6</f>
        <v>121293.31311510496</v>
      </c>
      <c r="E92" s="441">
        <f t="shared" si="8"/>
        <v>-161392.31063350919</v>
      </c>
      <c r="F92" s="449">
        <f t="shared" si="9"/>
        <v>-0.57092507391543779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326</v>
      </c>
      <c r="D93" s="456">
        <v>302</v>
      </c>
      <c r="E93" s="456">
        <f t="shared" si="8"/>
        <v>-24</v>
      </c>
      <c r="F93" s="449">
        <f t="shared" si="9"/>
        <v>-7.3619631901840496E-2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642</v>
      </c>
      <c r="C94" s="499">
        <f>IF(C93=0,0,C84/C93)</f>
        <v>1204.7331288343557</v>
      </c>
      <c r="D94" s="499">
        <f>IF(LN_IC11=0,0,LN_IC2/LN_IC11)</f>
        <v>1433.3576158940398</v>
      </c>
      <c r="E94" s="499">
        <f t="shared" si="8"/>
        <v>228.62448705968404</v>
      </c>
      <c r="F94" s="449">
        <f t="shared" si="9"/>
        <v>0.18977189353204768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643</v>
      </c>
      <c r="C95" s="466">
        <f>IF(C86=0,0,C93/C86)</f>
        <v>3.835294117647059</v>
      </c>
      <c r="D95" s="466">
        <f>IF(LN_IC4=0,0,LN_IC11/LN_IC4)</f>
        <v>3.7283950617283952</v>
      </c>
      <c r="E95" s="466">
        <f t="shared" si="8"/>
        <v>-0.10689905591866378</v>
      </c>
      <c r="F95" s="449">
        <f t="shared" si="9"/>
        <v>-2.7872453230326444E-2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674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645</v>
      </c>
      <c r="C98" s="448">
        <v>3459888</v>
      </c>
      <c r="D98" s="448">
        <v>3495581</v>
      </c>
      <c r="E98" s="448">
        <f t="shared" ref="E98:E106" si="10">D98-C98</f>
        <v>35693</v>
      </c>
      <c r="F98" s="449">
        <f t="shared" ref="F98:F106" si="11">IF(C98=0,0,E98/C98)</f>
        <v>1.0316229889522435E-2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646</v>
      </c>
      <c r="C99" s="448">
        <v>407470</v>
      </c>
      <c r="D99" s="448">
        <v>384446</v>
      </c>
      <c r="E99" s="448">
        <f t="shared" si="10"/>
        <v>-23024</v>
      </c>
      <c r="F99" s="449">
        <f t="shared" si="11"/>
        <v>-5.6504773357547798E-2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647</v>
      </c>
      <c r="C100" s="453">
        <f>IF(C98=0,0,C99/C98)</f>
        <v>0.11776970815240262</v>
      </c>
      <c r="D100" s="453">
        <f>IF(LN_IC14=0,0,LN_IC15/LN_IC14)</f>
        <v>0.10998057261439514</v>
      </c>
      <c r="E100" s="454">
        <f t="shared" si="10"/>
        <v>-7.7891355380074745E-3</v>
      </c>
      <c r="F100" s="449">
        <f t="shared" si="11"/>
        <v>-6.613870120088744E-2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648</v>
      </c>
      <c r="C101" s="453">
        <f>IF(C83=0,0,C98/C83)</f>
        <v>1.6998005863027994</v>
      </c>
      <c r="D101" s="453">
        <f>IF(LN_IC1=0,0,LN_IC14/LN_IC1)</f>
        <v>4.5041735603214121</v>
      </c>
      <c r="E101" s="454">
        <f t="shared" si="10"/>
        <v>2.8043729740186127</v>
      </c>
      <c r="F101" s="449">
        <f t="shared" si="11"/>
        <v>1.649824689211542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649</v>
      </c>
      <c r="C102" s="463">
        <f>C101*C86</f>
        <v>144.48304983573794</v>
      </c>
      <c r="D102" s="463">
        <f>LN_IC17*LN_IC4</f>
        <v>364.83805838603439</v>
      </c>
      <c r="E102" s="463">
        <f t="shared" si="10"/>
        <v>220.35500855029645</v>
      </c>
      <c r="F102" s="449">
        <f t="shared" si="11"/>
        <v>1.5251270567780577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650</v>
      </c>
      <c r="C103" s="465">
        <f>IF(C102=0,0,C99/C102)</f>
        <v>2820.1924063981942</v>
      </c>
      <c r="D103" s="465">
        <f>IF(LN_IC18=0,0,LN_IC15/LN_IC18)</f>
        <v>1053.7442329912262</v>
      </c>
      <c r="E103" s="465">
        <f t="shared" si="10"/>
        <v>-1766.448173406968</v>
      </c>
      <c r="F103" s="449">
        <f t="shared" si="11"/>
        <v>-0.62635732562055413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675</v>
      </c>
      <c r="C104" s="465">
        <f>C61-C103</f>
        <v>5292.6212153142624</v>
      </c>
      <c r="D104" s="465">
        <f>LN_IB18-LN_IC19</f>
        <v>8039.2172531072374</v>
      </c>
      <c r="E104" s="465">
        <f t="shared" si="10"/>
        <v>2746.596037792975</v>
      </c>
      <c r="F104" s="449">
        <f t="shared" si="11"/>
        <v>0.51894815934411986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676</v>
      </c>
      <c r="C105" s="465">
        <f>C32-C103</f>
        <v>3715.7334903478386</v>
      </c>
      <c r="D105" s="465">
        <f>LN_IA16-LN_IC19</f>
        <v>5947.5761835580015</v>
      </c>
      <c r="E105" s="465">
        <f t="shared" si="10"/>
        <v>2231.8426932101629</v>
      </c>
      <c r="F105" s="449">
        <f t="shared" si="11"/>
        <v>0.60064660154117644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661</v>
      </c>
      <c r="C106" s="448">
        <f>C105*C102</f>
        <v>536860.50706224726</v>
      </c>
      <c r="D106" s="448">
        <f>LN_IC21*LN_IC18</f>
        <v>2169902.1469123219</v>
      </c>
      <c r="E106" s="448">
        <f t="shared" si="10"/>
        <v>1633041.6398500747</v>
      </c>
      <c r="F106" s="449">
        <f t="shared" si="11"/>
        <v>3.0418360418914716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677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652</v>
      </c>
      <c r="C109" s="448">
        <f>C83+C98</f>
        <v>5495355</v>
      </c>
      <c r="D109" s="448">
        <f>LN_IC1+LN_IC14</f>
        <v>4271657</v>
      </c>
      <c r="E109" s="448">
        <f>D109-C109</f>
        <v>-1223698</v>
      </c>
      <c r="F109" s="449">
        <f>IF(C109=0,0,E109/C109)</f>
        <v>-0.22267860766046962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653</v>
      </c>
      <c r="C110" s="448">
        <f>C84+C99</f>
        <v>800213</v>
      </c>
      <c r="D110" s="448">
        <f>LN_IC2+LN_IC15</f>
        <v>817320</v>
      </c>
      <c r="E110" s="448">
        <f>D110-C110</f>
        <v>17107</v>
      </c>
      <c r="F110" s="449">
        <f>IF(C110=0,0,E110/C110)</f>
        <v>2.1378058092032998E-2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654</v>
      </c>
      <c r="C111" s="448">
        <f>C109-C110</f>
        <v>4695142</v>
      </c>
      <c r="D111" s="448">
        <f>LN_IC23-LN_IC24</f>
        <v>3454337</v>
      </c>
      <c r="E111" s="448">
        <f>D111-C111</f>
        <v>-1240805</v>
      </c>
      <c r="F111" s="449">
        <f>IF(C111=0,0,E111/C111)</f>
        <v>-0.26427422216410068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663</v>
      </c>
      <c r="C113" s="448">
        <f>C92+C106</f>
        <v>819546.13081086148</v>
      </c>
      <c r="D113" s="448">
        <f>LN_IC10+LN_IC22</f>
        <v>2291195.4600274269</v>
      </c>
      <c r="E113" s="448">
        <f>D113-C113</f>
        <v>1471649.3292165655</v>
      </c>
      <c r="F113" s="449">
        <f>IF(C113=0,0,E113/C113)</f>
        <v>1.795688215574285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678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679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636</v>
      </c>
      <c r="C118" s="448">
        <v>25825407</v>
      </c>
      <c r="D118" s="448">
        <v>32386777</v>
      </c>
      <c r="E118" s="448">
        <f t="shared" ref="E118:E130" si="12">D118-C118</f>
        <v>6561370</v>
      </c>
      <c r="F118" s="449">
        <f t="shared" ref="F118:F130" si="13">IF(C118=0,0,E118/C118)</f>
        <v>0.2540664702786678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637</v>
      </c>
      <c r="C119" s="448">
        <v>4144209</v>
      </c>
      <c r="D119" s="448">
        <v>7507994</v>
      </c>
      <c r="E119" s="448">
        <f t="shared" si="12"/>
        <v>3363785</v>
      </c>
      <c r="F119" s="449">
        <f t="shared" si="13"/>
        <v>0.81168324280942394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638</v>
      </c>
      <c r="C120" s="453">
        <f>IF(C118=0,0,C119/C118)</f>
        <v>0.16047022995610485</v>
      </c>
      <c r="D120" s="453">
        <f>IF(LN_ID1=0,0,LN_1D2/LN_ID1)</f>
        <v>0.23182282077651628</v>
      </c>
      <c r="E120" s="454">
        <f t="shared" si="12"/>
        <v>7.1352590820411427E-2</v>
      </c>
      <c r="F120" s="449">
        <f t="shared" si="13"/>
        <v>0.44464690329121648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1315</v>
      </c>
      <c r="D121" s="456">
        <v>1416</v>
      </c>
      <c r="E121" s="456">
        <f t="shared" si="12"/>
        <v>101</v>
      </c>
      <c r="F121" s="449">
        <f t="shared" si="13"/>
        <v>7.6806083650190107E-2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639</v>
      </c>
      <c r="C122" s="459">
        <v>0.80500000000000005</v>
      </c>
      <c r="D122" s="459">
        <v>0.84899000000000002</v>
      </c>
      <c r="E122" s="460">
        <f t="shared" si="12"/>
        <v>4.3989999999999974E-2</v>
      </c>
      <c r="F122" s="449">
        <f t="shared" si="13"/>
        <v>5.4645962732919218E-2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640</v>
      </c>
      <c r="C123" s="463">
        <f>C121*C122</f>
        <v>1058.575</v>
      </c>
      <c r="D123" s="463">
        <f>LN_ID4*LN_ID5</f>
        <v>1202.16984</v>
      </c>
      <c r="E123" s="463">
        <f t="shared" si="12"/>
        <v>143.59483999999998</v>
      </c>
      <c r="F123" s="449">
        <f t="shared" si="13"/>
        <v>0.13564918876791912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641</v>
      </c>
      <c r="C124" s="465">
        <f>IF(C123=0,0,C119/C123)</f>
        <v>3914.8940793047254</v>
      </c>
      <c r="D124" s="465">
        <f>IF(LN_ID6=0,0,LN_1D2/LN_ID6)</f>
        <v>6245.3687908191077</v>
      </c>
      <c r="E124" s="465">
        <f t="shared" si="12"/>
        <v>2330.4747115143823</v>
      </c>
      <c r="F124" s="449">
        <f t="shared" si="13"/>
        <v>0.59528423101762906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680</v>
      </c>
      <c r="C125" s="465">
        <f>C48-C124</f>
        <v>4649.9704531553398</v>
      </c>
      <c r="D125" s="465">
        <f>LN_IB7-LN_ID7</f>
        <v>3711.8002507496385</v>
      </c>
      <c r="E125" s="465">
        <f t="shared" si="12"/>
        <v>-938.17020240570127</v>
      </c>
      <c r="F125" s="449">
        <f t="shared" si="13"/>
        <v>-0.20175831478006173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681</v>
      </c>
      <c r="C126" s="465">
        <f>C21-C124</f>
        <v>3708.8410285575715</v>
      </c>
      <c r="D126" s="465">
        <f>LN_IA7-LN_ID7</f>
        <v>1766.4022549840493</v>
      </c>
      <c r="E126" s="465">
        <f t="shared" si="12"/>
        <v>-1942.4387735735222</v>
      </c>
      <c r="F126" s="449">
        <f t="shared" si="13"/>
        <v>-0.52373201186489471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658</v>
      </c>
      <c r="C127" s="479">
        <f>C126*C123</f>
        <v>3926086.3918053312</v>
      </c>
      <c r="D127" s="479">
        <f>LN_ID9*LN_ID6</f>
        <v>2123515.5162498136</v>
      </c>
      <c r="E127" s="479">
        <f t="shared" si="12"/>
        <v>-1802570.8755555176</v>
      </c>
      <c r="F127" s="449">
        <f t="shared" si="13"/>
        <v>-0.45912664563823874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5093</v>
      </c>
      <c r="D128" s="456">
        <v>5988</v>
      </c>
      <c r="E128" s="456">
        <f t="shared" si="12"/>
        <v>895</v>
      </c>
      <c r="F128" s="449">
        <f t="shared" si="13"/>
        <v>0.17573139603377183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642</v>
      </c>
      <c r="C129" s="465">
        <f>IF(C128=0,0,C119/C128)</f>
        <v>813.70685254270563</v>
      </c>
      <c r="D129" s="465">
        <f>IF(LN_ID11=0,0,LN_1D2/LN_ID11)</f>
        <v>1253.8400133600535</v>
      </c>
      <c r="E129" s="465">
        <f t="shared" si="12"/>
        <v>440.13316081734786</v>
      </c>
      <c r="F129" s="449">
        <f t="shared" si="13"/>
        <v>0.54089892378563742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643</v>
      </c>
      <c r="C130" s="466">
        <f>IF(C121=0,0,C128/C121)</f>
        <v>3.8730038022813686</v>
      </c>
      <c r="D130" s="466">
        <f>IF(LN_ID4=0,0,LN_ID11/LN_ID4)</f>
        <v>4.2288135593220337</v>
      </c>
      <c r="E130" s="466">
        <f t="shared" si="12"/>
        <v>0.35580975704066509</v>
      </c>
      <c r="F130" s="449">
        <f t="shared" si="13"/>
        <v>9.1869199000289531E-2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682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645</v>
      </c>
      <c r="C133" s="448">
        <v>46202245</v>
      </c>
      <c r="D133" s="448">
        <v>57863722</v>
      </c>
      <c r="E133" s="448">
        <f t="shared" ref="E133:E141" si="14">D133-C133</f>
        <v>11661477</v>
      </c>
      <c r="F133" s="449">
        <f t="shared" ref="F133:F141" si="15">IF(C133=0,0,E133/C133)</f>
        <v>0.25240065715421406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646</v>
      </c>
      <c r="C134" s="448">
        <v>8277794</v>
      </c>
      <c r="D134" s="448">
        <v>10695352</v>
      </c>
      <c r="E134" s="448">
        <f t="shared" si="14"/>
        <v>2417558</v>
      </c>
      <c r="F134" s="449">
        <f t="shared" si="15"/>
        <v>0.29205341423089293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647</v>
      </c>
      <c r="C135" s="453">
        <f>IF(C133=0,0,C134/C133)</f>
        <v>0.17916432415784125</v>
      </c>
      <c r="D135" s="453">
        <f>IF(LN_ID14=0,0,LN_ID15/LN_ID14)</f>
        <v>0.18483691733483718</v>
      </c>
      <c r="E135" s="454">
        <f t="shared" si="14"/>
        <v>5.6725931769959215E-3</v>
      </c>
      <c r="F135" s="449">
        <f t="shared" si="15"/>
        <v>3.1661399129876137E-2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648</v>
      </c>
      <c r="C136" s="453">
        <f>IF(C118=0,0,C133/C118)</f>
        <v>1.7890229183996984</v>
      </c>
      <c r="D136" s="453">
        <f>IF(LN_ID1=0,0,LN_ID14/LN_ID1)</f>
        <v>1.7866465069988287</v>
      </c>
      <c r="E136" s="454">
        <f t="shared" si="14"/>
        <v>-2.376411400869749E-3</v>
      </c>
      <c r="F136" s="449">
        <f t="shared" si="15"/>
        <v>-1.3283292105589549E-3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649</v>
      </c>
      <c r="C137" s="463">
        <f>C136*C121</f>
        <v>2352.5651376956034</v>
      </c>
      <c r="D137" s="463">
        <f>LN_ID17*LN_ID4</f>
        <v>2529.8914539103412</v>
      </c>
      <c r="E137" s="463">
        <f t="shared" si="14"/>
        <v>177.32631621473774</v>
      </c>
      <c r="F137" s="449">
        <f t="shared" si="15"/>
        <v>7.537573067516988E-2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650</v>
      </c>
      <c r="C138" s="465">
        <f>IF(C137=0,0,C134/C137)</f>
        <v>3518.6247842252337</v>
      </c>
      <c r="D138" s="465">
        <f>IF(LN_ID18=0,0,LN_ID15/LN_ID18)</f>
        <v>4227.5932366460502</v>
      </c>
      <c r="E138" s="465">
        <f t="shared" si="14"/>
        <v>708.96845242081645</v>
      </c>
      <c r="F138" s="449">
        <f t="shared" si="15"/>
        <v>0.20149021163020206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683</v>
      </c>
      <c r="C139" s="465">
        <f>C61-C138</f>
        <v>4594.1888374872233</v>
      </c>
      <c r="D139" s="465">
        <f>LN_IB18-LN_ID19</f>
        <v>4865.3682494524137</v>
      </c>
      <c r="E139" s="465">
        <f t="shared" si="14"/>
        <v>271.17941196519041</v>
      </c>
      <c r="F139" s="449">
        <f t="shared" si="15"/>
        <v>5.9026614176684804E-2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684</v>
      </c>
      <c r="C140" s="465">
        <f>C32-C138</f>
        <v>3017.3011125207991</v>
      </c>
      <c r="D140" s="465">
        <f>LN_IA16-LN_ID19</f>
        <v>2773.7271799031778</v>
      </c>
      <c r="E140" s="465">
        <f t="shared" si="14"/>
        <v>-243.57393261762127</v>
      </c>
      <c r="F140" s="449">
        <f t="shared" si="15"/>
        <v>-8.0725762373158649E-2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661</v>
      </c>
      <c r="C141" s="441">
        <f>C140*C137</f>
        <v>7098397.4072465906</v>
      </c>
      <c r="D141" s="441">
        <f>LN_ID21*LN_ID18</f>
        <v>7017228.6879158812</v>
      </c>
      <c r="E141" s="441">
        <f t="shared" si="14"/>
        <v>-81168.719330709428</v>
      </c>
      <c r="F141" s="449">
        <f t="shared" si="15"/>
        <v>-1.1434795021175646E-2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685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652</v>
      </c>
      <c r="C144" s="448">
        <f>C118+C133</f>
        <v>72027652</v>
      </c>
      <c r="D144" s="448">
        <f>LN_ID1+LN_ID14</f>
        <v>90250499</v>
      </c>
      <c r="E144" s="448">
        <f>D144-C144</f>
        <v>18222847</v>
      </c>
      <c r="F144" s="449">
        <f>IF(C144=0,0,E144/C144)</f>
        <v>0.25299793196090858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653</v>
      </c>
      <c r="C145" s="448">
        <f>C119+C134</f>
        <v>12422003</v>
      </c>
      <c r="D145" s="448">
        <f>LN_1D2+LN_ID15</f>
        <v>18203346</v>
      </c>
      <c r="E145" s="448">
        <f>D145-C145</f>
        <v>5781343</v>
      </c>
      <c r="F145" s="449">
        <f>IF(C145=0,0,E145/C145)</f>
        <v>0.46541149603650878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654</v>
      </c>
      <c r="C146" s="448">
        <f>C144-C145</f>
        <v>59605649</v>
      </c>
      <c r="D146" s="448">
        <f>LN_ID23-LN_ID24</f>
        <v>72047153</v>
      </c>
      <c r="E146" s="448">
        <f>D146-C146</f>
        <v>12441504</v>
      </c>
      <c r="F146" s="449">
        <f>IF(C146=0,0,E146/C146)</f>
        <v>0.20873028326560122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663</v>
      </c>
      <c r="C148" s="448">
        <f>C127+C141</f>
        <v>11024483.799051922</v>
      </c>
      <c r="D148" s="448">
        <f>LN_ID10+LN_ID22</f>
        <v>9140744.2041656952</v>
      </c>
      <c r="E148" s="448">
        <f>D148-C148</f>
        <v>-1883739.5948862266</v>
      </c>
      <c r="F148" s="503">
        <f>IF(C148=0,0,E148/C148)</f>
        <v>-0.17086873446611836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686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687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636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637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638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639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640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641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688</v>
      </c>
      <c r="C160" s="465">
        <f>C48-C159</f>
        <v>8564.8645324600657</v>
      </c>
      <c r="D160" s="465">
        <f>LN_IB7-LN_IE7</f>
        <v>9957.1690415687463</v>
      </c>
      <c r="E160" s="465">
        <f t="shared" si="16"/>
        <v>1392.3045091086806</v>
      </c>
      <c r="F160" s="449">
        <f t="shared" si="17"/>
        <v>0.16256001526141736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689</v>
      </c>
      <c r="C161" s="465">
        <f>C21-C159</f>
        <v>7623.7351078622969</v>
      </c>
      <c r="D161" s="465">
        <f>LN_IA7-LN_IE7</f>
        <v>8011.771045803157</v>
      </c>
      <c r="E161" s="465">
        <f t="shared" si="16"/>
        <v>388.03593794086009</v>
      </c>
      <c r="F161" s="449">
        <f t="shared" si="17"/>
        <v>5.0898402482620592E-2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658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642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643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690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645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646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647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648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649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650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691</v>
      </c>
      <c r="C174" s="465">
        <f>C61-C173</f>
        <v>8112.8136217124566</v>
      </c>
      <c r="D174" s="465">
        <f>LN_IB18-LN_IE19</f>
        <v>9092.9614860984639</v>
      </c>
      <c r="E174" s="465">
        <f t="shared" si="18"/>
        <v>980.14786438600731</v>
      </c>
      <c r="F174" s="449">
        <f t="shared" si="19"/>
        <v>0.12081478881294912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692</v>
      </c>
      <c r="C175" s="465">
        <f>C32-C173</f>
        <v>6535.9258967460328</v>
      </c>
      <c r="D175" s="465">
        <f>LN_IA16-LN_IE19</f>
        <v>7001.320416549228</v>
      </c>
      <c r="E175" s="465">
        <f t="shared" si="18"/>
        <v>465.39451980319518</v>
      </c>
      <c r="F175" s="449">
        <f t="shared" si="19"/>
        <v>7.120559919978528E-2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661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693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652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653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654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694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695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696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636</v>
      </c>
      <c r="C188" s="448">
        <f>C118+C153</f>
        <v>25825407</v>
      </c>
      <c r="D188" s="448">
        <f>LN_ID1+LN_IE1</f>
        <v>32386777</v>
      </c>
      <c r="E188" s="448">
        <f t="shared" ref="E188:E200" si="20">D188-C188</f>
        <v>6561370</v>
      </c>
      <c r="F188" s="449">
        <f t="shared" ref="F188:F200" si="21">IF(C188=0,0,E188/C188)</f>
        <v>0.2540664702786678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637</v>
      </c>
      <c r="C189" s="448">
        <f>C119+C154</f>
        <v>4144209</v>
      </c>
      <c r="D189" s="448">
        <f>LN_1D2+LN_IE2</f>
        <v>7507994</v>
      </c>
      <c r="E189" s="448">
        <f t="shared" si="20"/>
        <v>3363785</v>
      </c>
      <c r="F189" s="449">
        <f t="shared" si="21"/>
        <v>0.81168324280942394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638</v>
      </c>
      <c r="C190" s="453">
        <f>IF(C188=0,0,C189/C188)</f>
        <v>0.16047022995610485</v>
      </c>
      <c r="D190" s="453">
        <f>IF(LN_IF1=0,0,LN_IF2/LN_IF1)</f>
        <v>0.23182282077651628</v>
      </c>
      <c r="E190" s="454">
        <f t="shared" si="20"/>
        <v>7.1352590820411427E-2</v>
      </c>
      <c r="F190" s="449">
        <f t="shared" si="21"/>
        <v>0.44464690329121648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1315</v>
      </c>
      <c r="D191" s="456">
        <f>LN_ID4+LN_IE4</f>
        <v>1416</v>
      </c>
      <c r="E191" s="456">
        <f t="shared" si="20"/>
        <v>101</v>
      </c>
      <c r="F191" s="449">
        <f t="shared" si="21"/>
        <v>7.6806083650190107E-2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639</v>
      </c>
      <c r="C192" s="459">
        <f>IF((C121+C156)=0,0,(C123+C158)/(C121+C156))</f>
        <v>0.80500000000000005</v>
      </c>
      <c r="D192" s="459">
        <f>IF((LN_ID4+LN_IE4)=0,0,(LN_ID6+LN_IE6)/(LN_ID4+LN_IE4))</f>
        <v>0.84899000000000002</v>
      </c>
      <c r="E192" s="460">
        <f t="shared" si="20"/>
        <v>4.3989999999999974E-2</v>
      </c>
      <c r="F192" s="449">
        <f t="shared" si="21"/>
        <v>5.4645962732919218E-2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640</v>
      </c>
      <c r="C193" s="463">
        <f>C123+C158</f>
        <v>1058.575</v>
      </c>
      <c r="D193" s="463">
        <f>LN_IF4*LN_IF5</f>
        <v>1202.16984</v>
      </c>
      <c r="E193" s="463">
        <f t="shared" si="20"/>
        <v>143.59483999999998</v>
      </c>
      <c r="F193" s="449">
        <f t="shared" si="21"/>
        <v>0.13564918876791912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641</v>
      </c>
      <c r="C194" s="465">
        <f>IF(C193=0,0,C189/C193)</f>
        <v>3914.8940793047254</v>
      </c>
      <c r="D194" s="465">
        <f>IF(LN_IF6=0,0,LN_IF2/LN_IF6)</f>
        <v>6245.3687908191077</v>
      </c>
      <c r="E194" s="465">
        <f t="shared" si="20"/>
        <v>2330.4747115143823</v>
      </c>
      <c r="F194" s="449">
        <f t="shared" si="21"/>
        <v>0.59528423101762906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697</v>
      </c>
      <c r="C195" s="465">
        <f>C48-C194</f>
        <v>4649.9704531553398</v>
      </c>
      <c r="D195" s="465">
        <f>LN_IB7-LN_IF7</f>
        <v>3711.8002507496385</v>
      </c>
      <c r="E195" s="465">
        <f t="shared" si="20"/>
        <v>-938.17020240570127</v>
      </c>
      <c r="F195" s="449">
        <f t="shared" si="21"/>
        <v>-0.20175831478006173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698</v>
      </c>
      <c r="C196" s="465">
        <f>C21-C194</f>
        <v>3708.8410285575715</v>
      </c>
      <c r="D196" s="465">
        <f>LN_IA7-LN_IF7</f>
        <v>1766.4022549840493</v>
      </c>
      <c r="E196" s="465">
        <f t="shared" si="20"/>
        <v>-1942.4387735735222</v>
      </c>
      <c r="F196" s="449">
        <f t="shared" si="21"/>
        <v>-0.52373201186489471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658</v>
      </c>
      <c r="C197" s="479">
        <f>C127+C162</f>
        <v>3926086.3918053312</v>
      </c>
      <c r="D197" s="479">
        <f>LN_IF9*LN_IF6</f>
        <v>2123515.5162498136</v>
      </c>
      <c r="E197" s="479">
        <f t="shared" si="20"/>
        <v>-1802570.8755555176</v>
      </c>
      <c r="F197" s="449">
        <f t="shared" si="21"/>
        <v>-0.45912664563823874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5093</v>
      </c>
      <c r="D198" s="456">
        <f>LN_ID11+LN_IE11</f>
        <v>5988</v>
      </c>
      <c r="E198" s="456">
        <f t="shared" si="20"/>
        <v>895</v>
      </c>
      <c r="F198" s="449">
        <f t="shared" si="21"/>
        <v>0.17573139603377183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642</v>
      </c>
      <c r="C199" s="519">
        <f>IF(C198=0,0,C189/C198)</f>
        <v>813.70685254270563</v>
      </c>
      <c r="D199" s="519">
        <f>IF(LN_IF11=0,0,LN_IF2/LN_IF11)</f>
        <v>1253.8400133600535</v>
      </c>
      <c r="E199" s="519">
        <f t="shared" si="20"/>
        <v>440.13316081734786</v>
      </c>
      <c r="F199" s="449">
        <f t="shared" si="21"/>
        <v>0.54089892378563742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643</v>
      </c>
      <c r="C200" s="466">
        <f>IF(C191=0,0,C198/C191)</f>
        <v>3.8730038022813686</v>
      </c>
      <c r="D200" s="466">
        <f>IF(LN_IF4=0,0,LN_IF11/LN_IF4)</f>
        <v>4.2288135593220337</v>
      </c>
      <c r="E200" s="466">
        <f t="shared" si="20"/>
        <v>0.35580975704066509</v>
      </c>
      <c r="F200" s="449">
        <f t="shared" si="21"/>
        <v>9.1869199000289531E-2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699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645</v>
      </c>
      <c r="C203" s="448">
        <f>C133+C168</f>
        <v>46202245</v>
      </c>
      <c r="D203" s="448">
        <f>LN_ID14+LN_IE14</f>
        <v>57863722</v>
      </c>
      <c r="E203" s="448">
        <f t="shared" ref="E203:E211" si="22">D203-C203</f>
        <v>11661477</v>
      </c>
      <c r="F203" s="449">
        <f t="shared" ref="F203:F211" si="23">IF(C203=0,0,E203/C203)</f>
        <v>0.25240065715421406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646</v>
      </c>
      <c r="C204" s="448">
        <f>C134+C169</f>
        <v>8277794</v>
      </c>
      <c r="D204" s="448">
        <f>LN_ID15+LN_IE15</f>
        <v>10695352</v>
      </c>
      <c r="E204" s="448">
        <f t="shared" si="22"/>
        <v>2417558</v>
      </c>
      <c r="F204" s="449">
        <f t="shared" si="23"/>
        <v>0.29205341423089293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647</v>
      </c>
      <c r="C205" s="453">
        <f>IF(C203=0,0,C204/C203)</f>
        <v>0.17916432415784125</v>
      </c>
      <c r="D205" s="453">
        <f>IF(LN_IF14=0,0,LN_IF15/LN_IF14)</f>
        <v>0.18483691733483718</v>
      </c>
      <c r="E205" s="454">
        <f t="shared" si="22"/>
        <v>5.6725931769959215E-3</v>
      </c>
      <c r="F205" s="449">
        <f t="shared" si="23"/>
        <v>3.1661399129876137E-2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648</v>
      </c>
      <c r="C206" s="453">
        <f>IF(C188=0,0,C203/C188)</f>
        <v>1.7890229183996984</v>
      </c>
      <c r="D206" s="453">
        <f>IF(LN_IF1=0,0,LN_IF14/LN_IF1)</f>
        <v>1.7866465069988287</v>
      </c>
      <c r="E206" s="454">
        <f t="shared" si="22"/>
        <v>-2.376411400869749E-3</v>
      </c>
      <c r="F206" s="449">
        <f t="shared" si="23"/>
        <v>-1.3283292105589549E-3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649</v>
      </c>
      <c r="C207" s="463">
        <f>C137+C172</f>
        <v>2352.5651376956034</v>
      </c>
      <c r="D207" s="463">
        <f>LN_ID18+LN_IE18</f>
        <v>2529.8914539103412</v>
      </c>
      <c r="E207" s="463">
        <f t="shared" si="22"/>
        <v>177.32631621473774</v>
      </c>
      <c r="F207" s="449">
        <f t="shared" si="23"/>
        <v>7.537573067516988E-2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650</v>
      </c>
      <c r="C208" s="465">
        <f>IF(C207=0,0,C204/C207)</f>
        <v>3518.6247842252337</v>
      </c>
      <c r="D208" s="465">
        <f>IF(LN_IF18=0,0,LN_IF15/LN_IF18)</f>
        <v>4227.5932366460502</v>
      </c>
      <c r="E208" s="465">
        <f t="shared" si="22"/>
        <v>708.96845242081645</v>
      </c>
      <c r="F208" s="449">
        <f t="shared" si="23"/>
        <v>0.20149021163020206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700</v>
      </c>
      <c r="C209" s="465">
        <f>C61-C208</f>
        <v>4594.1888374872233</v>
      </c>
      <c r="D209" s="465">
        <f>LN_IB18-LN_IF19</f>
        <v>4865.3682494524137</v>
      </c>
      <c r="E209" s="465">
        <f t="shared" si="22"/>
        <v>271.17941196519041</v>
      </c>
      <c r="F209" s="449">
        <f t="shared" si="23"/>
        <v>5.9026614176684804E-2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701</v>
      </c>
      <c r="C210" s="465">
        <f>C32-C208</f>
        <v>3017.3011125207991</v>
      </c>
      <c r="D210" s="465">
        <f>LN_IA16-LN_IF19</f>
        <v>2773.7271799031778</v>
      </c>
      <c r="E210" s="465">
        <f t="shared" si="22"/>
        <v>-243.57393261762127</v>
      </c>
      <c r="F210" s="449">
        <f t="shared" si="23"/>
        <v>-8.0725762373158649E-2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661</v>
      </c>
      <c r="C211" s="479">
        <f>C141+C176</f>
        <v>7098397.4072465906</v>
      </c>
      <c r="D211" s="441">
        <f>LN_IF21*LN_IF18</f>
        <v>7017228.6879158812</v>
      </c>
      <c r="E211" s="441">
        <f t="shared" si="22"/>
        <v>-81168.719330709428</v>
      </c>
      <c r="F211" s="449">
        <f t="shared" si="23"/>
        <v>-1.1434795021175646E-2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702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652</v>
      </c>
      <c r="C214" s="448">
        <f>C188+C203</f>
        <v>72027652</v>
      </c>
      <c r="D214" s="448">
        <f>LN_IF1+LN_IF14</f>
        <v>90250499</v>
      </c>
      <c r="E214" s="448">
        <f>D214-C214</f>
        <v>18222847</v>
      </c>
      <c r="F214" s="449">
        <f>IF(C214=0,0,E214/C214)</f>
        <v>0.25299793196090858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653</v>
      </c>
      <c r="C215" s="448">
        <f>C189+C204</f>
        <v>12422003</v>
      </c>
      <c r="D215" s="448">
        <f>LN_IF2+LN_IF15</f>
        <v>18203346</v>
      </c>
      <c r="E215" s="448">
        <f>D215-C215</f>
        <v>5781343</v>
      </c>
      <c r="F215" s="449">
        <f>IF(C215=0,0,E215/C215)</f>
        <v>0.46541149603650878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654</v>
      </c>
      <c r="C216" s="448">
        <f>C214-C215</f>
        <v>59605649</v>
      </c>
      <c r="D216" s="448">
        <f>LN_IF23-LN_IF24</f>
        <v>72047153</v>
      </c>
      <c r="E216" s="448">
        <f>D216-C216</f>
        <v>12441504</v>
      </c>
      <c r="F216" s="449">
        <f>IF(C216=0,0,E216/C216)</f>
        <v>0.20873028326560122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703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704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636</v>
      </c>
      <c r="C221" s="448">
        <v>110445</v>
      </c>
      <c r="D221" s="448">
        <v>111721</v>
      </c>
      <c r="E221" s="448">
        <f t="shared" ref="E221:E230" si="24">D221-C221</f>
        <v>1276</v>
      </c>
      <c r="F221" s="449">
        <f t="shared" ref="F221:F230" si="25">IF(C221=0,0,E221/C221)</f>
        <v>1.1553261804518086E-2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637</v>
      </c>
      <c r="C222" s="448">
        <v>29098</v>
      </c>
      <c r="D222" s="448">
        <v>38332</v>
      </c>
      <c r="E222" s="448">
        <f t="shared" si="24"/>
        <v>9234</v>
      </c>
      <c r="F222" s="449">
        <f t="shared" si="25"/>
        <v>0.31734139803422917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638</v>
      </c>
      <c r="C223" s="453">
        <f>IF(C221=0,0,C222/C221)</f>
        <v>0.2634614514011499</v>
      </c>
      <c r="D223" s="453">
        <f>IF(LN_IG1=0,0,LN_IG2/LN_IG1)</f>
        <v>0.34310469831097107</v>
      </c>
      <c r="E223" s="454">
        <f t="shared" si="24"/>
        <v>7.9643246909821164E-2</v>
      </c>
      <c r="F223" s="449">
        <f t="shared" si="25"/>
        <v>0.30229563560915518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10</v>
      </c>
      <c r="D224" s="456">
        <v>4</v>
      </c>
      <c r="E224" s="456">
        <f t="shared" si="24"/>
        <v>-6</v>
      </c>
      <c r="F224" s="449">
        <f t="shared" si="25"/>
        <v>-0.6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639</v>
      </c>
      <c r="C225" s="459">
        <v>0.43909999999999999</v>
      </c>
      <c r="D225" s="459">
        <v>1.24465</v>
      </c>
      <c r="E225" s="460">
        <f t="shared" si="24"/>
        <v>0.80554999999999999</v>
      </c>
      <c r="F225" s="449">
        <f t="shared" si="25"/>
        <v>1.834547938966067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640</v>
      </c>
      <c r="C226" s="463">
        <f>C224*C225</f>
        <v>4.391</v>
      </c>
      <c r="D226" s="463">
        <f>LN_IG3*LN_IG4</f>
        <v>4.9786000000000001</v>
      </c>
      <c r="E226" s="463">
        <f t="shared" si="24"/>
        <v>0.58760000000000012</v>
      </c>
      <c r="F226" s="449">
        <f t="shared" si="25"/>
        <v>0.13381917558642681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641</v>
      </c>
      <c r="C227" s="465">
        <f>IF(C226=0,0,C222/C226)</f>
        <v>6626.7365064905489</v>
      </c>
      <c r="D227" s="465">
        <f>IF(LN_IG5=0,0,LN_IG2/LN_IG5)</f>
        <v>7699.3532318322414</v>
      </c>
      <c r="E227" s="465">
        <f t="shared" si="24"/>
        <v>1072.6167253416925</v>
      </c>
      <c r="F227" s="449">
        <f t="shared" si="25"/>
        <v>0.16186198504967253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23</v>
      </c>
      <c r="D228" s="456">
        <v>9</v>
      </c>
      <c r="E228" s="456">
        <f t="shared" si="24"/>
        <v>-14</v>
      </c>
      <c r="F228" s="449">
        <f t="shared" si="25"/>
        <v>-0.60869565217391308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642</v>
      </c>
      <c r="C229" s="465">
        <f>IF(C228=0,0,C222/C228)</f>
        <v>1265.1304347826087</v>
      </c>
      <c r="D229" s="465">
        <f>IF(LN_IG6=0,0,LN_IG2/LN_IG6)</f>
        <v>4259.1111111111113</v>
      </c>
      <c r="E229" s="465">
        <f t="shared" si="24"/>
        <v>2993.9806763285023</v>
      </c>
      <c r="F229" s="449">
        <f t="shared" si="25"/>
        <v>2.3665391283096966</v>
      </c>
      <c r="Q229" s="421"/>
      <c r="U229" s="462"/>
    </row>
    <row r="230" spans="1:21" ht="15.75" customHeight="1" x14ac:dyDescent="0.2">
      <c r="A230" s="451">
        <v>10</v>
      </c>
      <c r="B230" s="447" t="s">
        <v>643</v>
      </c>
      <c r="C230" s="466">
        <f>IF(C224=0,0,C228/C224)</f>
        <v>2.2999999999999998</v>
      </c>
      <c r="D230" s="466">
        <f>IF(LN_IG3=0,0,LN_IG6/LN_IG3)</f>
        <v>2.25</v>
      </c>
      <c r="E230" s="466">
        <f t="shared" si="24"/>
        <v>-4.9999999999999822E-2</v>
      </c>
      <c r="F230" s="449">
        <f t="shared" si="25"/>
        <v>-2.1739130434782532E-2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705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645</v>
      </c>
      <c r="C233" s="448">
        <v>673183</v>
      </c>
      <c r="D233" s="448">
        <v>330872</v>
      </c>
      <c r="E233" s="448">
        <f>D233-C233</f>
        <v>-342311</v>
      </c>
      <c r="F233" s="449">
        <f>IF(C233=0,0,E233/C233)</f>
        <v>-0.50849620385541527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646</v>
      </c>
      <c r="C234" s="448">
        <v>0</v>
      </c>
      <c r="D234" s="448">
        <v>72683</v>
      </c>
      <c r="E234" s="448">
        <f>D234-C234</f>
        <v>72683</v>
      </c>
      <c r="F234" s="449">
        <f>IF(C234=0,0,E234/C234)</f>
        <v>0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706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652</v>
      </c>
      <c r="C237" s="448">
        <f>C221+C233</f>
        <v>783628</v>
      </c>
      <c r="D237" s="448">
        <f>LN_IG1+LN_IG9</f>
        <v>442593</v>
      </c>
      <c r="E237" s="448">
        <f>D237-C237</f>
        <v>-341035</v>
      </c>
      <c r="F237" s="449">
        <f>IF(C237=0,0,E237/C237)</f>
        <v>-0.43520012046532286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653</v>
      </c>
      <c r="C238" s="448">
        <f>C222+C234</f>
        <v>29098</v>
      </c>
      <c r="D238" s="448">
        <f>LN_IG2+LN_IG10</f>
        <v>111015</v>
      </c>
      <c r="E238" s="448">
        <f>D238-C238</f>
        <v>81917</v>
      </c>
      <c r="F238" s="449">
        <f>IF(C238=0,0,E238/C238)</f>
        <v>2.8152106673998212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654</v>
      </c>
      <c r="C239" s="448">
        <f>C237-C238</f>
        <v>754530</v>
      </c>
      <c r="D239" s="448">
        <f>LN_IG13-LN_IG14</f>
        <v>331578</v>
      </c>
      <c r="E239" s="448">
        <f>D239-C239</f>
        <v>-422952</v>
      </c>
      <c r="F239" s="449">
        <f>IF(C239=0,0,E239/C239)</f>
        <v>-0.56055027633096099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707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708</v>
      </c>
      <c r="C243" s="448">
        <v>3603467</v>
      </c>
      <c r="D243" s="448">
        <v>3270624</v>
      </c>
      <c r="E243" s="441">
        <f>D243-C243</f>
        <v>-332843</v>
      </c>
      <c r="F243" s="503">
        <f>IF(C243=0,0,E243/C243)</f>
        <v>-9.236743391850126E-2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709</v>
      </c>
      <c r="C244" s="448">
        <v>127376540</v>
      </c>
      <c r="D244" s="448">
        <v>130275487</v>
      </c>
      <c r="E244" s="441">
        <f>D244-C244</f>
        <v>2898947</v>
      </c>
      <c r="F244" s="503">
        <f>IF(C244=0,0,E244/C244)</f>
        <v>2.275887694861236E-2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710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711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712</v>
      </c>
      <c r="C248" s="441">
        <v>4849739</v>
      </c>
      <c r="D248" s="441">
        <v>3784978</v>
      </c>
      <c r="E248" s="441">
        <f>D248-C248</f>
        <v>-1064761</v>
      </c>
      <c r="F248" s="449">
        <f>IF(C248=0,0,E248/C248)</f>
        <v>-0.21955016548313219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713</v>
      </c>
      <c r="C249" s="441">
        <v>2373418</v>
      </c>
      <c r="D249" s="441">
        <v>1054556</v>
      </c>
      <c r="E249" s="441">
        <f>D249-C249</f>
        <v>-1318862</v>
      </c>
      <c r="F249" s="449">
        <f>IF(C249=0,0,E249/C249)</f>
        <v>-0.55568045746682637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714</v>
      </c>
      <c r="C250" s="441">
        <f>C248+C249</f>
        <v>7223157</v>
      </c>
      <c r="D250" s="441">
        <f>LN_IH4+LN_IH5</f>
        <v>4839534</v>
      </c>
      <c r="E250" s="441">
        <f>D250-C250</f>
        <v>-2383623</v>
      </c>
      <c r="F250" s="449">
        <f>IF(C250=0,0,E250/C250)</f>
        <v>-0.32999739587551535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715</v>
      </c>
      <c r="C251" s="441">
        <f>C250*C313</f>
        <v>2057663.8225925625</v>
      </c>
      <c r="D251" s="441">
        <f>LN_IH6*LN_III10</f>
        <v>1393479.632479456</v>
      </c>
      <c r="E251" s="441">
        <f>D251-C251</f>
        <v>-664184.19011310651</v>
      </c>
      <c r="F251" s="449">
        <f>IF(C251=0,0,E251/C251)</f>
        <v>-0.32278557013082182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716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652</v>
      </c>
      <c r="C254" s="441">
        <f>C188+C203</f>
        <v>72027652</v>
      </c>
      <c r="D254" s="441">
        <f>LN_IF23</f>
        <v>90250499</v>
      </c>
      <c r="E254" s="441">
        <f>D254-C254</f>
        <v>18222847</v>
      </c>
      <c r="F254" s="449">
        <f>IF(C254=0,0,E254/C254)</f>
        <v>0.25299793196090858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653</v>
      </c>
      <c r="C255" s="441">
        <f>C189+C204</f>
        <v>12422003</v>
      </c>
      <c r="D255" s="441">
        <f>LN_IF24</f>
        <v>18203346</v>
      </c>
      <c r="E255" s="441">
        <f>D255-C255</f>
        <v>5781343</v>
      </c>
      <c r="F255" s="449">
        <f>IF(C255=0,0,E255/C255)</f>
        <v>0.46541149603650878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717</v>
      </c>
      <c r="C256" s="441">
        <f>C254*C313</f>
        <v>20518548.018087775</v>
      </c>
      <c r="D256" s="441">
        <f>LN_IH8*LN_III10</f>
        <v>25986434.267763697</v>
      </c>
      <c r="E256" s="441">
        <f>D256-C256</f>
        <v>5467886.2496759221</v>
      </c>
      <c r="F256" s="449">
        <f>IF(C256=0,0,E256/C256)</f>
        <v>0.26648504781409488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718</v>
      </c>
      <c r="C257" s="441">
        <f>C256-C255</f>
        <v>8096545.0180877745</v>
      </c>
      <c r="D257" s="441">
        <f>LN_IH10-LN_IH9</f>
        <v>7783088.2677636966</v>
      </c>
      <c r="E257" s="441">
        <f>D257-C257</f>
        <v>-313456.7503240779</v>
      </c>
      <c r="F257" s="449">
        <f>IF(C257=0,0,E257/C257)</f>
        <v>-3.871487771930026E-2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719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720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197406204</v>
      </c>
      <c r="D261" s="448">
        <f>LN_IA1+LN_IB1+LN_IF1+LN_IG1</f>
        <v>205456234</v>
      </c>
      <c r="E261" s="448">
        <f t="shared" ref="E261:E274" si="26">D261-C261</f>
        <v>8050030</v>
      </c>
      <c r="F261" s="503">
        <f t="shared" ref="F261:F274" si="27">IF(C261=0,0,E261/C261)</f>
        <v>4.0779012193558013E-2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61023147</v>
      </c>
      <c r="D262" s="448">
        <f>+LN_IA2+LN_IB2+LN_IF2+LN_IG2</f>
        <v>65254447</v>
      </c>
      <c r="E262" s="448">
        <f t="shared" si="26"/>
        <v>4231300</v>
      </c>
      <c r="F262" s="503">
        <f t="shared" si="27"/>
        <v>6.9339262362198395E-2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721</v>
      </c>
      <c r="C263" s="453">
        <f>IF(C261=0,0,C262/C261)</f>
        <v>0.30912476793282545</v>
      </c>
      <c r="D263" s="453">
        <f>IF(LN_IIA1=0,0,LN_IIA2/LN_IIA1)</f>
        <v>0.31760752998130004</v>
      </c>
      <c r="E263" s="454">
        <f t="shared" si="26"/>
        <v>8.4827620484745903E-3</v>
      </c>
      <c r="F263" s="458">
        <f t="shared" si="27"/>
        <v>2.7441224154248108E-2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7176</v>
      </c>
      <c r="D264" s="456">
        <f>LN_IA4+LN_IB4+LN_IF4+LN_IG3</f>
        <v>6935</v>
      </c>
      <c r="E264" s="456">
        <f t="shared" si="26"/>
        <v>-241</v>
      </c>
      <c r="F264" s="503">
        <f t="shared" si="27"/>
        <v>-3.3584169453734672E-2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722</v>
      </c>
      <c r="C265" s="525">
        <f>IF(C264=0,0,C266/C264)</f>
        <v>1.1434999163879598</v>
      </c>
      <c r="D265" s="525">
        <f>IF(LN_IIA4=0,0,LN_IIA6/LN_IIA4)</f>
        <v>1.1321927007930788</v>
      </c>
      <c r="E265" s="525">
        <f t="shared" si="26"/>
        <v>-1.1307215594881015E-2</v>
      </c>
      <c r="F265" s="503">
        <f t="shared" si="27"/>
        <v>-9.8882522270729838E-3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723</v>
      </c>
      <c r="C266" s="463">
        <f>C20+C47+C193+C226</f>
        <v>8205.7554</v>
      </c>
      <c r="D266" s="463">
        <f>LN_IA6+LN_IB6+LN_IF6+LN_IG5</f>
        <v>7851.7563800000007</v>
      </c>
      <c r="E266" s="463">
        <f t="shared" si="26"/>
        <v>-353.99901999999929</v>
      </c>
      <c r="F266" s="503">
        <f t="shared" si="27"/>
        <v>-4.3140332942412506E-2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246290887</v>
      </c>
      <c r="D267" s="448">
        <f>LN_IA11+LN_IB13+LN_IF14+LN_IG9</f>
        <v>277462740</v>
      </c>
      <c r="E267" s="448">
        <f t="shared" si="26"/>
        <v>31171853</v>
      </c>
      <c r="F267" s="503">
        <f t="shared" si="27"/>
        <v>0.1265651903718224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648</v>
      </c>
      <c r="C268" s="453">
        <f>IF(C261=0,0,C267/C261)</f>
        <v>1.2476349882093878</v>
      </c>
      <c r="D268" s="453">
        <f>IF(LN_IIA1=0,0,LN_IIA7/LN_IIA1)</f>
        <v>1.3504712638702412</v>
      </c>
      <c r="E268" s="454">
        <f t="shared" si="26"/>
        <v>0.1028362756608534</v>
      </c>
      <c r="F268" s="458">
        <f t="shared" si="27"/>
        <v>8.2424969348162125E-2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65373033</v>
      </c>
      <c r="D269" s="448">
        <f>LN_IA12+LN_IB14+LN_IF15+LN_IG10</f>
        <v>73795667</v>
      </c>
      <c r="E269" s="448">
        <f t="shared" si="26"/>
        <v>8422634</v>
      </c>
      <c r="F269" s="503">
        <f t="shared" si="27"/>
        <v>0.12883957824015907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647</v>
      </c>
      <c r="C270" s="453">
        <f>IF(C267=0,0,C269/C267)</f>
        <v>0.26543017403644331</v>
      </c>
      <c r="D270" s="453">
        <f>IF(LN_IIA7=0,0,LN_IIA9/LN_IIA7)</f>
        <v>0.26596604286398962</v>
      </c>
      <c r="E270" s="454">
        <f t="shared" si="26"/>
        <v>5.3586882754630416E-4</v>
      </c>
      <c r="F270" s="458">
        <f t="shared" si="27"/>
        <v>2.0188692920524169E-3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724</v>
      </c>
      <c r="C271" s="441">
        <f>C261+C267</f>
        <v>443697091</v>
      </c>
      <c r="D271" s="441">
        <f>LN_IIA1+LN_IIA7</f>
        <v>482918974</v>
      </c>
      <c r="E271" s="441">
        <f t="shared" si="26"/>
        <v>39221883</v>
      </c>
      <c r="F271" s="503">
        <f t="shared" si="27"/>
        <v>8.8397881788231061E-2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725</v>
      </c>
      <c r="C272" s="441">
        <f>C262+C269</f>
        <v>126396180</v>
      </c>
      <c r="D272" s="441">
        <f>LN_IIA2+LN_IIA9</f>
        <v>139050114</v>
      </c>
      <c r="E272" s="441">
        <f t="shared" si="26"/>
        <v>12653934</v>
      </c>
      <c r="F272" s="503">
        <f t="shared" si="27"/>
        <v>0.10011326291664827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726</v>
      </c>
      <c r="C273" s="453">
        <f>IF(C271=0,0,C272/C271)</f>
        <v>0.28487042751425207</v>
      </c>
      <c r="D273" s="453">
        <f>IF(LN_IIA11=0,0,LN_IIA12/LN_IIA11)</f>
        <v>0.28793673780976764</v>
      </c>
      <c r="E273" s="454">
        <f t="shared" si="26"/>
        <v>3.066310295515573E-3</v>
      </c>
      <c r="F273" s="458">
        <f t="shared" si="27"/>
        <v>1.0763877185399196E-2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31271</v>
      </c>
      <c r="D274" s="508">
        <f>LN_IA8+LN_IB10+LN_IF11+LN_IG6</f>
        <v>30806</v>
      </c>
      <c r="E274" s="528">
        <f t="shared" si="26"/>
        <v>-465</v>
      </c>
      <c r="F274" s="458">
        <f t="shared" si="27"/>
        <v>-1.4870007355057401E-2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727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728</v>
      </c>
      <c r="C277" s="448">
        <f>C15+C188+C221</f>
        <v>141659544</v>
      </c>
      <c r="D277" s="448">
        <f>LN_IA1+LN_IF1+LN_IG1</f>
        <v>148306988</v>
      </c>
      <c r="E277" s="448">
        <f t="shared" ref="E277:E291" si="28">D277-C277</f>
        <v>6647444</v>
      </c>
      <c r="F277" s="503">
        <f t="shared" ref="F277:F291" si="29">IF(C277=0,0,E277/C277)</f>
        <v>4.6925493421043345E-2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729</v>
      </c>
      <c r="C278" s="448">
        <f>C16+C189+C222</f>
        <v>39226192</v>
      </c>
      <c r="D278" s="448">
        <f>LN_IA2+LN_IF2+LN_IG2</f>
        <v>42359980</v>
      </c>
      <c r="E278" s="448">
        <f t="shared" si="28"/>
        <v>3133788</v>
      </c>
      <c r="F278" s="503">
        <f t="shared" si="29"/>
        <v>7.9890191737194374E-2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730</v>
      </c>
      <c r="C279" s="453">
        <f>IF(C277=0,0,C278/C277)</f>
        <v>0.27690468917505479</v>
      </c>
      <c r="D279" s="453">
        <f>IF(D277=0,0,LN_IIB2/D277)</f>
        <v>0.28562362820017623</v>
      </c>
      <c r="E279" s="454">
        <f t="shared" si="28"/>
        <v>8.7189390251214416E-3</v>
      </c>
      <c r="F279" s="458">
        <f t="shared" si="29"/>
        <v>3.1487148343701268E-2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731</v>
      </c>
      <c r="C280" s="456">
        <f>C18+C191+C224</f>
        <v>4781</v>
      </c>
      <c r="D280" s="456">
        <f>LN_IA4+LN_IF4+LN_IG3</f>
        <v>4703</v>
      </c>
      <c r="E280" s="456">
        <f t="shared" si="28"/>
        <v>-78</v>
      </c>
      <c r="F280" s="503">
        <f t="shared" si="29"/>
        <v>-1.6314578540054383E-2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732</v>
      </c>
      <c r="C281" s="525">
        <f>IF(C280=0,0,C282/C280)</f>
        <v>1.1840260196611587</v>
      </c>
      <c r="D281" s="525">
        <f>IF(LN_IIB4=0,0,LN_IIB6/LN_IIB4)</f>
        <v>1.1806212162449503</v>
      </c>
      <c r="E281" s="525">
        <f t="shared" si="28"/>
        <v>-3.4048034162084129E-3</v>
      </c>
      <c r="F281" s="503">
        <f t="shared" si="29"/>
        <v>-2.8756153662761481E-3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733</v>
      </c>
      <c r="C282" s="463">
        <f>C20+C193+C226</f>
        <v>5660.8283999999994</v>
      </c>
      <c r="D282" s="463">
        <f>LN_IA6+LN_IF6+LN_IG5</f>
        <v>5552.461580000001</v>
      </c>
      <c r="E282" s="463">
        <f t="shared" si="28"/>
        <v>-108.36681999999837</v>
      </c>
      <c r="F282" s="503">
        <f t="shared" si="29"/>
        <v>-1.91432794535864E-2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734</v>
      </c>
      <c r="C283" s="448">
        <f>C27+C203+C233</f>
        <v>127798730</v>
      </c>
      <c r="D283" s="448">
        <f>LN_IA11+LN_IF14+LN_IG9</f>
        <v>152934217</v>
      </c>
      <c r="E283" s="448">
        <f t="shared" si="28"/>
        <v>25135487</v>
      </c>
      <c r="F283" s="503">
        <f t="shared" si="29"/>
        <v>0.1966802565252409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735</v>
      </c>
      <c r="C284" s="453">
        <f>IF(C277=0,0,C283/C277)</f>
        <v>0.90215404053538395</v>
      </c>
      <c r="D284" s="453">
        <f>IF(D277=0,0,LN_IIB7/D277)</f>
        <v>1.0312003437086863</v>
      </c>
      <c r="E284" s="454">
        <f t="shared" si="28"/>
        <v>0.12904630317330235</v>
      </c>
      <c r="F284" s="458">
        <f t="shared" si="29"/>
        <v>0.14304242665334596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736</v>
      </c>
      <c r="C285" s="448">
        <f>C28+C204+C234</f>
        <v>24073250</v>
      </c>
      <c r="D285" s="448">
        <f>LN_IA12+LN_IF15+LN_IG10</f>
        <v>29571682</v>
      </c>
      <c r="E285" s="448">
        <f t="shared" si="28"/>
        <v>5498432</v>
      </c>
      <c r="F285" s="503">
        <f t="shared" si="29"/>
        <v>0.22840422460614998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737</v>
      </c>
      <c r="C286" s="453">
        <f>IF(C283=0,0,C285/C283)</f>
        <v>0.18836846031255552</v>
      </c>
      <c r="D286" s="453">
        <f>IF(LN_IIB7=0,0,LN_IIB9/LN_IIB7)</f>
        <v>0.19336210417842595</v>
      </c>
      <c r="E286" s="454">
        <f t="shared" si="28"/>
        <v>4.993643865870423E-3</v>
      </c>
      <c r="F286" s="458">
        <f t="shared" si="29"/>
        <v>2.6509978674692052E-2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738</v>
      </c>
      <c r="C287" s="441">
        <f>C277+C283</f>
        <v>269458274</v>
      </c>
      <c r="D287" s="441">
        <f>D277+LN_IIB7</f>
        <v>301241205</v>
      </c>
      <c r="E287" s="441">
        <f t="shared" si="28"/>
        <v>31782931</v>
      </c>
      <c r="F287" s="503">
        <f t="shared" si="29"/>
        <v>0.11795121570473653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739</v>
      </c>
      <c r="C288" s="441">
        <f>C278+C285</f>
        <v>63299442</v>
      </c>
      <c r="D288" s="441">
        <f>LN_IIB2+LN_IIB9</f>
        <v>71931662</v>
      </c>
      <c r="E288" s="441">
        <f t="shared" si="28"/>
        <v>8632220</v>
      </c>
      <c r="F288" s="503">
        <f t="shared" si="29"/>
        <v>0.13637118633684006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740</v>
      </c>
      <c r="C289" s="453">
        <f>IF(C287=0,0,C288/C287)</f>
        <v>0.2349137068991988</v>
      </c>
      <c r="D289" s="453">
        <f>IF(LN_IIB11=0,0,LN_IIB12/LN_IIB11)</f>
        <v>0.23878427255660459</v>
      </c>
      <c r="E289" s="454">
        <f t="shared" si="28"/>
        <v>3.870565657405789E-3</v>
      </c>
      <c r="F289" s="458">
        <f t="shared" si="29"/>
        <v>1.6476542422731614E-2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22688</v>
      </c>
      <c r="D290" s="508">
        <f>LN_IA8+LN_IF11+LN_IG6</f>
        <v>22399</v>
      </c>
      <c r="E290" s="528">
        <f t="shared" si="28"/>
        <v>-289</v>
      </c>
      <c r="F290" s="458">
        <f t="shared" si="29"/>
        <v>-1.2738011283497884E-2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741</v>
      </c>
      <c r="C291" s="448">
        <f>C287-C288</f>
        <v>206158832</v>
      </c>
      <c r="D291" s="516">
        <f>LN_IIB11-LN_IIB12</f>
        <v>229309543</v>
      </c>
      <c r="E291" s="441">
        <f t="shared" si="28"/>
        <v>23150711</v>
      </c>
      <c r="F291" s="503">
        <f t="shared" si="29"/>
        <v>0.11229550912473156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643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634</v>
      </c>
      <c r="C294" s="466">
        <f>IF(C18=0,0,C22/C18)</f>
        <v>5.0844907407407405</v>
      </c>
      <c r="D294" s="466">
        <f>IF(LN_IA4=0,0,LN_IA8/LN_IA4)</f>
        <v>4.9960402071276269</v>
      </c>
      <c r="E294" s="466">
        <f t="shared" ref="E294:E300" si="30">D294-C294</f>
        <v>-8.8450533613113613E-2</v>
      </c>
      <c r="F294" s="503">
        <f t="shared" ref="F294:F300" si="31">IF(C294=0,0,E294/C294)</f>
        <v>-1.7396144102374271E-2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655</v>
      </c>
      <c r="C295" s="466">
        <f>IF(C45=0,0,C51/C45)</f>
        <v>3.5837160751565764</v>
      </c>
      <c r="D295" s="466">
        <f>IF(LN_IB4=0,0,(LN_IB10)/(LN_IB4))</f>
        <v>3.7665770609318998</v>
      </c>
      <c r="E295" s="466">
        <f t="shared" si="30"/>
        <v>0.18286098577532339</v>
      </c>
      <c r="F295" s="503">
        <f t="shared" si="31"/>
        <v>5.1025522653139872E-2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670</v>
      </c>
      <c r="C296" s="466">
        <f>IF(C86=0,0,C93/C86)</f>
        <v>3.835294117647059</v>
      </c>
      <c r="D296" s="466">
        <f>IF(LN_IC4=0,0,LN_IC11/LN_IC4)</f>
        <v>3.7283950617283952</v>
      </c>
      <c r="E296" s="466">
        <f t="shared" si="30"/>
        <v>-0.10689905591866378</v>
      </c>
      <c r="F296" s="503">
        <f t="shared" si="31"/>
        <v>-2.7872453230326444E-2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3.8730038022813686</v>
      </c>
      <c r="D297" s="466">
        <f>IF(LN_ID4=0,0,LN_ID11/LN_ID4)</f>
        <v>4.2288135593220337</v>
      </c>
      <c r="E297" s="466">
        <f t="shared" si="30"/>
        <v>0.35580975704066509</v>
      </c>
      <c r="F297" s="503">
        <f t="shared" si="31"/>
        <v>9.1869199000289531E-2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742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2.2999999999999998</v>
      </c>
      <c r="D299" s="466">
        <f>IF(LN_IG3=0,0,LN_IG6/LN_IG3)</f>
        <v>2.25</v>
      </c>
      <c r="E299" s="466">
        <f t="shared" si="30"/>
        <v>-4.9999999999999822E-2</v>
      </c>
      <c r="F299" s="503">
        <f t="shared" si="31"/>
        <v>-2.1739130434782532E-2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743</v>
      </c>
      <c r="C300" s="466">
        <f>IF(C264=0,0,C274/C264)</f>
        <v>4.357720178372352</v>
      </c>
      <c r="D300" s="466">
        <f>IF(LN_IIA4=0,0,LN_IIA14/LN_IIA4)</f>
        <v>4.4421052631578943</v>
      </c>
      <c r="E300" s="466">
        <f t="shared" si="30"/>
        <v>8.4385084785542297E-2</v>
      </c>
      <c r="F300" s="503">
        <f t="shared" si="31"/>
        <v>1.9364502843562777E-2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744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738</v>
      </c>
      <c r="C304" s="441">
        <f>C35+C66+C214+C221+C233</f>
        <v>443697091</v>
      </c>
      <c r="D304" s="441">
        <f>LN_IIA11</f>
        <v>482918974</v>
      </c>
      <c r="E304" s="441">
        <f t="shared" ref="E304:E316" si="32">D304-C304</f>
        <v>39221883</v>
      </c>
      <c r="F304" s="449">
        <f>IF(C304=0,0,E304/C304)</f>
        <v>8.8397881788231061E-2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741</v>
      </c>
      <c r="C305" s="441">
        <f>C291</f>
        <v>206158832</v>
      </c>
      <c r="D305" s="441">
        <f>LN_IIB14</f>
        <v>229309543</v>
      </c>
      <c r="E305" s="441">
        <f t="shared" si="32"/>
        <v>23150711</v>
      </c>
      <c r="F305" s="449">
        <f>IF(C305=0,0,E305/C305)</f>
        <v>0.11229550912473156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745</v>
      </c>
      <c r="C306" s="441">
        <f>C250</f>
        <v>7223157</v>
      </c>
      <c r="D306" s="441">
        <f>LN_IH6</f>
        <v>4839534</v>
      </c>
      <c r="E306" s="441">
        <f t="shared" si="32"/>
        <v>-2383623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746</v>
      </c>
      <c r="C307" s="441">
        <f>C73-C74</f>
        <v>103918922</v>
      </c>
      <c r="D307" s="441">
        <f>LN_IB32-LN_IB33</f>
        <v>109719783</v>
      </c>
      <c r="E307" s="441">
        <f t="shared" si="32"/>
        <v>5800861</v>
      </c>
      <c r="F307" s="449">
        <f t="shared" ref="F307:F316" si="33">IF(C307=0,0,E307/C307)</f>
        <v>5.5821027473706861E-2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747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748</v>
      </c>
      <c r="C309" s="441">
        <f>C305+C307+C308+C306</f>
        <v>317300911</v>
      </c>
      <c r="D309" s="441">
        <f>LN_III2+LN_III3+LN_III4+LN_III5</f>
        <v>343868860</v>
      </c>
      <c r="E309" s="441">
        <f t="shared" si="32"/>
        <v>26567949</v>
      </c>
      <c r="F309" s="449">
        <f t="shared" si="33"/>
        <v>8.3731083268147308E-2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749</v>
      </c>
      <c r="C310" s="441">
        <f>C304-C309</f>
        <v>126396180</v>
      </c>
      <c r="D310" s="441">
        <f>LN_III1-LN_III6</f>
        <v>139050114</v>
      </c>
      <c r="E310" s="441">
        <f t="shared" si="32"/>
        <v>12653934</v>
      </c>
      <c r="F310" s="449">
        <f t="shared" si="33"/>
        <v>0.10011326291664827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750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751</v>
      </c>
      <c r="C312" s="441">
        <f>C310+C311</f>
        <v>126396180</v>
      </c>
      <c r="D312" s="441">
        <f>LN_III7+LN_III8</f>
        <v>139050114</v>
      </c>
      <c r="E312" s="441">
        <f t="shared" si="32"/>
        <v>12653934</v>
      </c>
      <c r="F312" s="449">
        <f t="shared" si="33"/>
        <v>0.10011326291664827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752</v>
      </c>
      <c r="C313" s="532">
        <f>IF(C304=0,0,C312/C304)</f>
        <v>0.28487042751425207</v>
      </c>
      <c r="D313" s="532">
        <f>IF(LN_III1=0,0,LN_III9/LN_III1)</f>
        <v>0.28793673780976764</v>
      </c>
      <c r="E313" s="532">
        <f t="shared" si="32"/>
        <v>3.066310295515573E-3</v>
      </c>
      <c r="F313" s="449">
        <f t="shared" si="33"/>
        <v>1.0763877185399196E-2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715</v>
      </c>
      <c r="C314" s="441">
        <f>C306*C313</f>
        <v>2057663.8225925625</v>
      </c>
      <c r="D314" s="441">
        <f>D313*LN_III5</f>
        <v>1393479.632479456</v>
      </c>
      <c r="E314" s="441">
        <f t="shared" si="32"/>
        <v>-664184.19011310651</v>
      </c>
      <c r="F314" s="449">
        <f t="shared" si="33"/>
        <v>-0.32278557013082182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718</v>
      </c>
      <c r="C315" s="441">
        <f>(C214*C313)-C215</f>
        <v>8096545.0180877745</v>
      </c>
      <c r="D315" s="441">
        <f>D313*LN_IH8-LN_IH9</f>
        <v>7783088.2677636966</v>
      </c>
      <c r="E315" s="441">
        <f t="shared" si="32"/>
        <v>-313456.7503240779</v>
      </c>
      <c r="F315" s="449">
        <f t="shared" si="33"/>
        <v>-3.871487771930026E-2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753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754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755</v>
      </c>
      <c r="C318" s="441">
        <f>C314+C315+C316</f>
        <v>10154208.840680337</v>
      </c>
      <c r="D318" s="441">
        <f>D314+D315+D316</f>
        <v>9176567.9002431519</v>
      </c>
      <c r="E318" s="441">
        <f>D318-C318</f>
        <v>-977640.94043718465</v>
      </c>
      <c r="F318" s="449">
        <f>IF(C318=0,0,E318/C318)</f>
        <v>-9.6279380873131842E-2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756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7098397.4072465906</v>
      </c>
      <c r="D322" s="441">
        <f>LN_ID22</f>
        <v>7017228.6879158812</v>
      </c>
      <c r="E322" s="441">
        <f>LN_IV2-C322</f>
        <v>-81168.719330709428</v>
      </c>
      <c r="F322" s="449">
        <f>IF(C322=0,0,E322/C322)</f>
        <v>-1.1434795021175646E-2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742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757</v>
      </c>
      <c r="C324" s="441">
        <f>C92+C106</f>
        <v>819546.13081086148</v>
      </c>
      <c r="D324" s="441">
        <f>LN_IC10+LN_IC22</f>
        <v>2291195.4600274269</v>
      </c>
      <c r="E324" s="441">
        <f>LN_IV1-C324</f>
        <v>1471649.3292165655</v>
      </c>
      <c r="F324" s="449">
        <f>IF(C324=0,0,E324/C324)</f>
        <v>1.795688215574285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758</v>
      </c>
      <c r="C325" s="516">
        <f>C324+C322+C323</f>
        <v>7917943.5380574521</v>
      </c>
      <c r="D325" s="516">
        <f>LN_IV1+LN_IV2+LN_IV3</f>
        <v>9308424.1479433086</v>
      </c>
      <c r="E325" s="441">
        <f>LN_IV4-C325</f>
        <v>1390480.6098858565</v>
      </c>
      <c r="F325" s="449">
        <f>IF(C325=0,0,E325/C325)</f>
        <v>0.17561133180636318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759</v>
      </c>
      <c r="B327" s="530" t="s">
        <v>760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761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762</v>
      </c>
      <c r="C330" s="516">
        <v>-590359</v>
      </c>
      <c r="D330" s="516">
        <v>-3152120</v>
      </c>
      <c r="E330" s="518">
        <f t="shared" si="34"/>
        <v>-2561761</v>
      </c>
      <c r="F330" s="543">
        <f t="shared" si="35"/>
        <v>4.3393274261932149</v>
      </c>
    </row>
    <row r="331" spans="1:22" s="420" customFormat="1" ht="15.75" customHeight="1" x14ac:dyDescent="0.2">
      <c r="A331" s="427">
        <v>3</v>
      </c>
      <c r="B331" s="447" t="s">
        <v>763</v>
      </c>
      <c r="C331" s="516">
        <v>125805820</v>
      </c>
      <c r="D331" s="516">
        <v>135897993</v>
      </c>
      <c r="E331" s="518">
        <f t="shared" si="34"/>
        <v>10092173</v>
      </c>
      <c r="F331" s="542">
        <f t="shared" si="35"/>
        <v>8.0220239413407113E-2</v>
      </c>
    </row>
    <row r="332" spans="1:22" s="420" customFormat="1" ht="27" customHeight="1" x14ac:dyDescent="0.2">
      <c r="A332" s="451">
        <v>4</v>
      </c>
      <c r="B332" s="447" t="s">
        <v>764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765</v>
      </c>
      <c r="C333" s="516">
        <v>443697092</v>
      </c>
      <c r="D333" s="516">
        <v>482918974</v>
      </c>
      <c r="E333" s="518">
        <f t="shared" si="34"/>
        <v>39221882</v>
      </c>
      <c r="F333" s="542">
        <f t="shared" si="35"/>
        <v>8.8397879335210969E-2</v>
      </c>
    </row>
    <row r="334" spans="1:22" s="420" customFormat="1" ht="15.75" customHeight="1" x14ac:dyDescent="0.2">
      <c r="A334" s="427">
        <v>6</v>
      </c>
      <c r="B334" s="447" t="s">
        <v>766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767</v>
      </c>
      <c r="C335" s="516">
        <v>7223157</v>
      </c>
      <c r="D335" s="516">
        <v>4839534</v>
      </c>
      <c r="E335" s="516">
        <f t="shared" si="34"/>
        <v>-2383623</v>
      </c>
      <c r="F335" s="542">
        <f t="shared" si="35"/>
        <v>-0.32999739587551535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8" fitToHeight="0" orientation="portrait" horizontalDpi="1200" verticalDpi="1200" r:id="rId1"/>
  <headerFooter>
    <oddHeader>&amp;LOFFICE OF HEALTH CARE ACCESS&amp;CTWELVE MONTHS ACTUAL FILING&amp;RGRIFFIN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9.5703125" style="660" bestFit="1" customWidth="1"/>
    <col min="4" max="4" width="19.5703125" style="569" bestFit="1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628</v>
      </c>
      <c r="B3" s="820"/>
      <c r="C3" s="820"/>
      <c r="D3" s="820"/>
      <c r="E3" s="820"/>
    </row>
    <row r="4" spans="1:5" s="428" customFormat="1" ht="15.75" customHeight="1" x14ac:dyDescent="0.25">
      <c r="A4" s="820" t="s">
        <v>768</v>
      </c>
      <c r="B4" s="820"/>
      <c r="C4" s="820"/>
      <c r="D4" s="820"/>
      <c r="E4" s="820"/>
    </row>
    <row r="5" spans="1:5" s="428" customFormat="1" ht="15.75" customHeight="1" x14ac:dyDescent="0.25">
      <c r="A5" s="820" t="s">
        <v>769</v>
      </c>
      <c r="B5" s="820"/>
      <c r="C5" s="820"/>
      <c r="D5" s="820"/>
      <c r="E5" s="820"/>
    </row>
    <row r="6" spans="1:5" s="428" customFormat="1" ht="15.75" customHeight="1" x14ac:dyDescent="0.25">
      <c r="A6" s="820" t="s">
        <v>770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771</v>
      </c>
      <c r="D9" s="573" t="s">
        <v>772</v>
      </c>
      <c r="E9" s="573" t="s">
        <v>773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774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775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655</v>
      </c>
      <c r="C14" s="589">
        <v>55746660</v>
      </c>
      <c r="D14" s="589">
        <v>57149246</v>
      </c>
      <c r="E14" s="590">
        <f t="shared" ref="E14:E22" si="0">D14-C14</f>
        <v>1402586</v>
      </c>
    </row>
    <row r="15" spans="1:5" s="421" customFormat="1" x14ac:dyDescent="0.2">
      <c r="A15" s="588">
        <v>2</v>
      </c>
      <c r="B15" s="587" t="s">
        <v>634</v>
      </c>
      <c r="C15" s="589">
        <v>115723692</v>
      </c>
      <c r="D15" s="591">
        <v>115808490</v>
      </c>
      <c r="E15" s="590">
        <f t="shared" si="0"/>
        <v>84798</v>
      </c>
    </row>
    <row r="16" spans="1:5" s="421" customFormat="1" x14ac:dyDescent="0.2">
      <c r="A16" s="588">
        <v>3</v>
      </c>
      <c r="B16" s="587" t="s">
        <v>776</v>
      </c>
      <c r="C16" s="589">
        <v>25825407</v>
      </c>
      <c r="D16" s="591">
        <v>32386777</v>
      </c>
      <c r="E16" s="590">
        <f t="shared" si="0"/>
        <v>6561370</v>
      </c>
    </row>
    <row r="17" spans="1:5" s="421" customFormat="1" x14ac:dyDescent="0.2">
      <c r="A17" s="588">
        <v>4</v>
      </c>
      <c r="B17" s="587" t="s">
        <v>115</v>
      </c>
      <c r="C17" s="589">
        <v>25825407</v>
      </c>
      <c r="D17" s="591">
        <v>32386777</v>
      </c>
      <c r="E17" s="590">
        <f t="shared" si="0"/>
        <v>6561370</v>
      </c>
    </row>
    <row r="18" spans="1:5" s="421" customFormat="1" x14ac:dyDescent="0.2">
      <c r="A18" s="588">
        <v>5</v>
      </c>
      <c r="B18" s="587" t="s">
        <v>742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110445</v>
      </c>
      <c r="D19" s="591">
        <v>111721</v>
      </c>
      <c r="E19" s="590">
        <f t="shared" si="0"/>
        <v>1276</v>
      </c>
    </row>
    <row r="20" spans="1:5" s="421" customFormat="1" x14ac:dyDescent="0.2">
      <c r="A20" s="588">
        <v>7</v>
      </c>
      <c r="B20" s="587" t="s">
        <v>757</v>
      </c>
      <c r="C20" s="589">
        <v>2035467</v>
      </c>
      <c r="D20" s="591">
        <v>776076</v>
      </c>
      <c r="E20" s="590">
        <f t="shared" si="0"/>
        <v>-1259391</v>
      </c>
    </row>
    <row r="21" spans="1:5" s="421" customFormat="1" x14ac:dyDescent="0.2">
      <c r="A21" s="588"/>
      <c r="B21" s="592" t="s">
        <v>777</v>
      </c>
      <c r="C21" s="593">
        <f>SUM(C15+C16+C19)</f>
        <v>141659544</v>
      </c>
      <c r="D21" s="593">
        <f>SUM(D15+D16+D19)</f>
        <v>148306988</v>
      </c>
      <c r="E21" s="593">
        <f t="shared" si="0"/>
        <v>6647444</v>
      </c>
    </row>
    <row r="22" spans="1:5" s="421" customFormat="1" x14ac:dyDescent="0.2">
      <c r="A22" s="588"/>
      <c r="B22" s="592" t="s">
        <v>465</v>
      </c>
      <c r="C22" s="593">
        <f>SUM(C14+C21)</f>
        <v>197406204</v>
      </c>
      <c r="D22" s="593">
        <f>SUM(D14+D21)</f>
        <v>205456234</v>
      </c>
      <c r="E22" s="593">
        <f t="shared" si="0"/>
        <v>8050030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778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655</v>
      </c>
      <c r="C25" s="589">
        <v>118492157</v>
      </c>
      <c r="D25" s="589">
        <v>124528523</v>
      </c>
      <c r="E25" s="590">
        <f t="shared" ref="E25:E33" si="1">D25-C25</f>
        <v>6036366</v>
      </c>
    </row>
    <row r="26" spans="1:5" s="421" customFormat="1" x14ac:dyDescent="0.2">
      <c r="A26" s="588">
        <v>2</v>
      </c>
      <c r="B26" s="587" t="s">
        <v>634</v>
      </c>
      <c r="C26" s="589">
        <v>80923302</v>
      </c>
      <c r="D26" s="591">
        <v>94739623</v>
      </c>
      <c r="E26" s="590">
        <f t="shared" si="1"/>
        <v>13816321</v>
      </c>
    </row>
    <row r="27" spans="1:5" s="421" customFormat="1" x14ac:dyDescent="0.2">
      <c r="A27" s="588">
        <v>3</v>
      </c>
      <c r="B27" s="587" t="s">
        <v>776</v>
      </c>
      <c r="C27" s="589">
        <v>46202245</v>
      </c>
      <c r="D27" s="591">
        <v>57863722</v>
      </c>
      <c r="E27" s="590">
        <f t="shared" si="1"/>
        <v>11661477</v>
      </c>
    </row>
    <row r="28" spans="1:5" s="421" customFormat="1" x14ac:dyDescent="0.2">
      <c r="A28" s="588">
        <v>4</v>
      </c>
      <c r="B28" s="587" t="s">
        <v>115</v>
      </c>
      <c r="C28" s="589">
        <v>46202245</v>
      </c>
      <c r="D28" s="591">
        <v>57863722</v>
      </c>
      <c r="E28" s="590">
        <f t="shared" si="1"/>
        <v>11661477</v>
      </c>
    </row>
    <row r="29" spans="1:5" s="421" customFormat="1" x14ac:dyDescent="0.2">
      <c r="A29" s="588">
        <v>5</v>
      </c>
      <c r="B29" s="587" t="s">
        <v>742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673183</v>
      </c>
      <c r="D30" s="591">
        <v>330872</v>
      </c>
      <c r="E30" s="590">
        <f t="shared" si="1"/>
        <v>-342311</v>
      </c>
    </row>
    <row r="31" spans="1:5" s="421" customFormat="1" x14ac:dyDescent="0.2">
      <c r="A31" s="588">
        <v>7</v>
      </c>
      <c r="B31" s="587" t="s">
        <v>757</v>
      </c>
      <c r="C31" s="590">
        <v>3459888</v>
      </c>
      <c r="D31" s="594">
        <v>3495581</v>
      </c>
      <c r="E31" s="590">
        <f t="shared" si="1"/>
        <v>35693</v>
      </c>
    </row>
    <row r="32" spans="1:5" s="421" customFormat="1" x14ac:dyDescent="0.2">
      <c r="A32" s="588"/>
      <c r="B32" s="592" t="s">
        <v>779</v>
      </c>
      <c r="C32" s="593">
        <f>SUM(C26+C27+C30)</f>
        <v>127798730</v>
      </c>
      <c r="D32" s="593">
        <f>SUM(D26+D27+D30)</f>
        <v>152934217</v>
      </c>
      <c r="E32" s="593">
        <f t="shared" si="1"/>
        <v>25135487</v>
      </c>
    </row>
    <row r="33" spans="1:5" s="421" customFormat="1" x14ac:dyDescent="0.2">
      <c r="A33" s="588"/>
      <c r="B33" s="592" t="s">
        <v>467</v>
      </c>
      <c r="C33" s="593">
        <f>SUM(C25+C32)</f>
        <v>246290887</v>
      </c>
      <c r="D33" s="593">
        <f>SUM(D25+D32)</f>
        <v>277462740</v>
      </c>
      <c r="E33" s="593">
        <f t="shared" si="1"/>
        <v>31171853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652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780</v>
      </c>
      <c r="C36" s="590">
        <f t="shared" ref="C36:D42" si="2">C14+C25</f>
        <v>174238817</v>
      </c>
      <c r="D36" s="590">
        <f t="shared" si="2"/>
        <v>181677769</v>
      </c>
      <c r="E36" s="590">
        <f t="shared" ref="E36:E44" si="3">D36-C36</f>
        <v>7438952</v>
      </c>
    </row>
    <row r="37" spans="1:5" s="421" customFormat="1" x14ac:dyDescent="0.2">
      <c r="A37" s="588">
        <v>2</v>
      </c>
      <c r="B37" s="587" t="s">
        <v>781</v>
      </c>
      <c r="C37" s="590">
        <f t="shared" si="2"/>
        <v>196646994</v>
      </c>
      <c r="D37" s="590">
        <f t="shared" si="2"/>
        <v>210548113</v>
      </c>
      <c r="E37" s="590">
        <f t="shared" si="3"/>
        <v>13901119</v>
      </c>
    </row>
    <row r="38" spans="1:5" s="421" customFormat="1" x14ac:dyDescent="0.2">
      <c r="A38" s="588">
        <v>3</v>
      </c>
      <c r="B38" s="587" t="s">
        <v>782</v>
      </c>
      <c r="C38" s="590">
        <f t="shared" si="2"/>
        <v>72027652</v>
      </c>
      <c r="D38" s="590">
        <f t="shared" si="2"/>
        <v>90250499</v>
      </c>
      <c r="E38" s="590">
        <f t="shared" si="3"/>
        <v>18222847</v>
      </c>
    </row>
    <row r="39" spans="1:5" s="421" customFormat="1" x14ac:dyDescent="0.2">
      <c r="A39" s="588">
        <v>4</v>
      </c>
      <c r="B39" s="587" t="s">
        <v>783</v>
      </c>
      <c r="C39" s="590">
        <f t="shared" si="2"/>
        <v>72027652</v>
      </c>
      <c r="D39" s="590">
        <f t="shared" si="2"/>
        <v>90250499</v>
      </c>
      <c r="E39" s="590">
        <f t="shared" si="3"/>
        <v>18222847</v>
      </c>
    </row>
    <row r="40" spans="1:5" s="421" customFormat="1" x14ac:dyDescent="0.2">
      <c r="A40" s="588">
        <v>5</v>
      </c>
      <c r="B40" s="587" t="s">
        <v>784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785</v>
      </c>
      <c r="C41" s="590">
        <f t="shared" si="2"/>
        <v>783628</v>
      </c>
      <c r="D41" s="590">
        <f t="shared" si="2"/>
        <v>442593</v>
      </c>
      <c r="E41" s="590">
        <f t="shared" si="3"/>
        <v>-341035</v>
      </c>
    </row>
    <row r="42" spans="1:5" s="421" customFormat="1" x14ac:dyDescent="0.2">
      <c r="A42" s="588">
        <v>7</v>
      </c>
      <c r="B42" s="587" t="s">
        <v>786</v>
      </c>
      <c r="C42" s="590">
        <f t="shared" si="2"/>
        <v>5495355</v>
      </c>
      <c r="D42" s="590">
        <f t="shared" si="2"/>
        <v>4271657</v>
      </c>
      <c r="E42" s="590">
        <f t="shared" si="3"/>
        <v>-1223698</v>
      </c>
    </row>
    <row r="43" spans="1:5" s="421" customFormat="1" x14ac:dyDescent="0.2">
      <c r="A43" s="588"/>
      <c r="B43" s="592" t="s">
        <v>787</v>
      </c>
      <c r="C43" s="593">
        <f>SUM(C37+C38+C41)</f>
        <v>269458274</v>
      </c>
      <c r="D43" s="593">
        <f>SUM(D37+D38+D41)</f>
        <v>301241205</v>
      </c>
      <c r="E43" s="593">
        <f t="shared" si="3"/>
        <v>31782931</v>
      </c>
    </row>
    <row r="44" spans="1:5" s="421" customFormat="1" x14ac:dyDescent="0.2">
      <c r="A44" s="588"/>
      <c r="B44" s="592" t="s">
        <v>724</v>
      </c>
      <c r="C44" s="593">
        <f>SUM(C36+C43)</f>
        <v>443697091</v>
      </c>
      <c r="D44" s="593">
        <f>SUM(D36+D43)</f>
        <v>482918974</v>
      </c>
      <c r="E44" s="593">
        <f t="shared" si="3"/>
        <v>39221883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788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655</v>
      </c>
      <c r="C47" s="589">
        <v>21796955</v>
      </c>
      <c r="D47" s="589">
        <v>22894467</v>
      </c>
      <c r="E47" s="590">
        <f t="shared" ref="E47:E55" si="4">D47-C47</f>
        <v>1097512</v>
      </c>
    </row>
    <row r="48" spans="1:5" s="421" customFormat="1" x14ac:dyDescent="0.2">
      <c r="A48" s="588">
        <v>2</v>
      </c>
      <c r="B48" s="587" t="s">
        <v>634</v>
      </c>
      <c r="C48" s="589">
        <v>35052885</v>
      </c>
      <c r="D48" s="591">
        <v>34813654</v>
      </c>
      <c r="E48" s="590">
        <f t="shared" si="4"/>
        <v>-239231</v>
      </c>
    </row>
    <row r="49" spans="1:5" s="421" customFormat="1" x14ac:dyDescent="0.2">
      <c r="A49" s="588">
        <v>3</v>
      </c>
      <c r="B49" s="587" t="s">
        <v>776</v>
      </c>
      <c r="C49" s="589">
        <v>4144209</v>
      </c>
      <c r="D49" s="591">
        <v>7507994</v>
      </c>
      <c r="E49" s="590">
        <f t="shared" si="4"/>
        <v>3363785</v>
      </c>
    </row>
    <row r="50" spans="1:5" s="421" customFormat="1" x14ac:dyDescent="0.2">
      <c r="A50" s="588">
        <v>4</v>
      </c>
      <c r="B50" s="587" t="s">
        <v>115</v>
      </c>
      <c r="C50" s="589">
        <v>4144209</v>
      </c>
      <c r="D50" s="591">
        <v>7507994</v>
      </c>
      <c r="E50" s="590">
        <f t="shared" si="4"/>
        <v>3363785</v>
      </c>
    </row>
    <row r="51" spans="1:5" s="421" customFormat="1" x14ac:dyDescent="0.2">
      <c r="A51" s="588">
        <v>5</v>
      </c>
      <c r="B51" s="587" t="s">
        <v>742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29098</v>
      </c>
      <c r="D52" s="591">
        <v>38332</v>
      </c>
      <c r="E52" s="590">
        <f t="shared" si="4"/>
        <v>9234</v>
      </c>
    </row>
    <row r="53" spans="1:5" s="421" customFormat="1" x14ac:dyDescent="0.2">
      <c r="A53" s="588">
        <v>7</v>
      </c>
      <c r="B53" s="587" t="s">
        <v>757</v>
      </c>
      <c r="C53" s="589">
        <v>392743</v>
      </c>
      <c r="D53" s="591">
        <v>432874</v>
      </c>
      <c r="E53" s="590">
        <f t="shared" si="4"/>
        <v>40131</v>
      </c>
    </row>
    <row r="54" spans="1:5" s="421" customFormat="1" x14ac:dyDescent="0.2">
      <c r="A54" s="588"/>
      <c r="B54" s="592" t="s">
        <v>789</v>
      </c>
      <c r="C54" s="593">
        <f>SUM(C48+C49+C52)</f>
        <v>39226192</v>
      </c>
      <c r="D54" s="593">
        <f>SUM(D48+D49+D52)</f>
        <v>42359980</v>
      </c>
      <c r="E54" s="593">
        <f t="shared" si="4"/>
        <v>3133788</v>
      </c>
    </row>
    <row r="55" spans="1:5" s="421" customFormat="1" x14ac:dyDescent="0.2">
      <c r="A55" s="588"/>
      <c r="B55" s="592" t="s">
        <v>466</v>
      </c>
      <c r="C55" s="593">
        <f>SUM(C47+C54)</f>
        <v>61023147</v>
      </c>
      <c r="D55" s="593">
        <f>SUM(D47+D54)</f>
        <v>65254447</v>
      </c>
      <c r="E55" s="593">
        <f t="shared" si="4"/>
        <v>4231300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790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655</v>
      </c>
      <c r="C58" s="589">
        <v>41299783</v>
      </c>
      <c r="D58" s="589">
        <v>44223985</v>
      </c>
      <c r="E58" s="590">
        <f t="shared" ref="E58:E66" si="5">D58-C58</f>
        <v>2924202</v>
      </c>
    </row>
    <row r="59" spans="1:5" s="421" customFormat="1" x14ac:dyDescent="0.2">
      <c r="A59" s="588">
        <v>2</v>
      </c>
      <c r="B59" s="587" t="s">
        <v>634</v>
      </c>
      <c r="C59" s="589">
        <v>15795456</v>
      </c>
      <c r="D59" s="591">
        <v>18803647</v>
      </c>
      <c r="E59" s="590">
        <f t="shared" si="5"/>
        <v>3008191</v>
      </c>
    </row>
    <row r="60" spans="1:5" s="421" customFormat="1" x14ac:dyDescent="0.2">
      <c r="A60" s="588">
        <v>3</v>
      </c>
      <c r="B60" s="587" t="s">
        <v>776</v>
      </c>
      <c r="C60" s="589">
        <f>C61+C62</f>
        <v>8277794</v>
      </c>
      <c r="D60" s="591">
        <f>D61+D62</f>
        <v>10695352</v>
      </c>
      <c r="E60" s="590">
        <f t="shared" si="5"/>
        <v>2417558</v>
      </c>
    </row>
    <row r="61" spans="1:5" s="421" customFormat="1" x14ac:dyDescent="0.2">
      <c r="A61" s="588">
        <v>4</v>
      </c>
      <c r="B61" s="587" t="s">
        <v>115</v>
      </c>
      <c r="C61" s="589">
        <v>8277794</v>
      </c>
      <c r="D61" s="591">
        <v>10695352</v>
      </c>
      <c r="E61" s="590">
        <f t="shared" si="5"/>
        <v>2417558</v>
      </c>
    </row>
    <row r="62" spans="1:5" s="421" customFormat="1" x14ac:dyDescent="0.2">
      <c r="A62" s="588">
        <v>5</v>
      </c>
      <c r="B62" s="587" t="s">
        <v>742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0</v>
      </c>
      <c r="D63" s="591">
        <v>72683</v>
      </c>
      <c r="E63" s="590">
        <f t="shared" si="5"/>
        <v>72683</v>
      </c>
    </row>
    <row r="64" spans="1:5" s="421" customFormat="1" x14ac:dyDescent="0.2">
      <c r="A64" s="588">
        <v>7</v>
      </c>
      <c r="B64" s="587" t="s">
        <v>757</v>
      </c>
      <c r="C64" s="589">
        <v>407470</v>
      </c>
      <c r="D64" s="591">
        <v>384446</v>
      </c>
      <c r="E64" s="590">
        <f t="shared" si="5"/>
        <v>-23024</v>
      </c>
    </row>
    <row r="65" spans="1:5" s="421" customFormat="1" x14ac:dyDescent="0.2">
      <c r="A65" s="588"/>
      <c r="B65" s="592" t="s">
        <v>791</v>
      </c>
      <c r="C65" s="593">
        <f>SUM(C59+C60+C63)</f>
        <v>24073250</v>
      </c>
      <c r="D65" s="593">
        <f>SUM(D59+D60+D63)</f>
        <v>29571682</v>
      </c>
      <c r="E65" s="593">
        <f t="shared" si="5"/>
        <v>5498432</v>
      </c>
    </row>
    <row r="66" spans="1:5" s="421" customFormat="1" x14ac:dyDescent="0.2">
      <c r="A66" s="588"/>
      <c r="B66" s="592" t="s">
        <v>468</v>
      </c>
      <c r="C66" s="593">
        <f>SUM(C58+C65)</f>
        <v>65373033</v>
      </c>
      <c r="D66" s="593">
        <f>SUM(D58+D65)</f>
        <v>73795667</v>
      </c>
      <c r="E66" s="593">
        <f t="shared" si="5"/>
        <v>8422634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653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780</v>
      </c>
      <c r="C69" s="590">
        <f t="shared" ref="C69:D75" si="6">C47+C58</f>
        <v>63096738</v>
      </c>
      <c r="D69" s="590">
        <f t="shared" si="6"/>
        <v>67118452</v>
      </c>
      <c r="E69" s="590">
        <f t="shared" ref="E69:E77" si="7">D69-C69</f>
        <v>4021714</v>
      </c>
    </row>
    <row r="70" spans="1:5" s="421" customFormat="1" x14ac:dyDescent="0.2">
      <c r="A70" s="588">
        <v>2</v>
      </c>
      <c r="B70" s="587" t="s">
        <v>781</v>
      </c>
      <c r="C70" s="590">
        <f t="shared" si="6"/>
        <v>50848341</v>
      </c>
      <c r="D70" s="590">
        <f t="shared" si="6"/>
        <v>53617301</v>
      </c>
      <c r="E70" s="590">
        <f t="shared" si="7"/>
        <v>2768960</v>
      </c>
    </row>
    <row r="71" spans="1:5" s="421" customFormat="1" x14ac:dyDescent="0.2">
      <c r="A71" s="588">
        <v>3</v>
      </c>
      <c r="B71" s="587" t="s">
        <v>782</v>
      </c>
      <c r="C71" s="590">
        <f t="shared" si="6"/>
        <v>12422003</v>
      </c>
      <c r="D71" s="590">
        <f t="shared" si="6"/>
        <v>18203346</v>
      </c>
      <c r="E71" s="590">
        <f t="shared" si="7"/>
        <v>5781343</v>
      </c>
    </row>
    <row r="72" spans="1:5" s="421" customFormat="1" x14ac:dyDescent="0.2">
      <c r="A72" s="588">
        <v>4</v>
      </c>
      <c r="B72" s="587" t="s">
        <v>783</v>
      </c>
      <c r="C72" s="590">
        <f t="shared" si="6"/>
        <v>12422003</v>
      </c>
      <c r="D72" s="590">
        <f t="shared" si="6"/>
        <v>18203346</v>
      </c>
      <c r="E72" s="590">
        <f t="shared" si="7"/>
        <v>5781343</v>
      </c>
    </row>
    <row r="73" spans="1:5" s="421" customFormat="1" x14ac:dyDescent="0.2">
      <c r="A73" s="588">
        <v>5</v>
      </c>
      <c r="B73" s="587" t="s">
        <v>784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785</v>
      </c>
      <c r="C74" s="590">
        <f t="shared" si="6"/>
        <v>29098</v>
      </c>
      <c r="D74" s="590">
        <f t="shared" si="6"/>
        <v>111015</v>
      </c>
      <c r="E74" s="590">
        <f t="shared" si="7"/>
        <v>81917</v>
      </c>
    </row>
    <row r="75" spans="1:5" s="421" customFormat="1" x14ac:dyDescent="0.2">
      <c r="A75" s="588">
        <v>7</v>
      </c>
      <c r="B75" s="587" t="s">
        <v>786</v>
      </c>
      <c r="C75" s="590">
        <f t="shared" si="6"/>
        <v>800213</v>
      </c>
      <c r="D75" s="590">
        <f t="shared" si="6"/>
        <v>817320</v>
      </c>
      <c r="E75" s="590">
        <f t="shared" si="7"/>
        <v>17107</v>
      </c>
    </row>
    <row r="76" spans="1:5" s="421" customFormat="1" x14ac:dyDescent="0.2">
      <c r="A76" s="588"/>
      <c r="B76" s="592" t="s">
        <v>792</v>
      </c>
      <c r="C76" s="593">
        <f>SUM(C70+C71+C74)</f>
        <v>63299442</v>
      </c>
      <c r="D76" s="593">
        <f>SUM(D70+D71+D74)</f>
        <v>71931662</v>
      </c>
      <c r="E76" s="593">
        <f t="shared" si="7"/>
        <v>8632220</v>
      </c>
    </row>
    <row r="77" spans="1:5" s="421" customFormat="1" x14ac:dyDescent="0.2">
      <c r="A77" s="588"/>
      <c r="B77" s="592" t="s">
        <v>725</v>
      </c>
      <c r="C77" s="593">
        <f>SUM(C69+C76)</f>
        <v>126396180</v>
      </c>
      <c r="D77" s="593">
        <f>SUM(D69+D76)</f>
        <v>139050114</v>
      </c>
      <c r="E77" s="593">
        <f t="shared" si="7"/>
        <v>12653934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793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794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655</v>
      </c>
      <c r="C83" s="599">
        <f t="shared" ref="C83:D89" si="8">IF(C$44=0,0,C14/C$44)</f>
        <v>0.12564125645800098</v>
      </c>
      <c r="D83" s="599">
        <f t="shared" si="8"/>
        <v>0.11834127271213825</v>
      </c>
      <c r="E83" s="599">
        <f t="shared" ref="E83:E91" si="9">D83-C83</f>
        <v>-7.2999837458627287E-3</v>
      </c>
    </row>
    <row r="84" spans="1:5" s="421" customFormat="1" x14ac:dyDescent="0.2">
      <c r="A84" s="588">
        <v>2</v>
      </c>
      <c r="B84" s="587" t="s">
        <v>634</v>
      </c>
      <c r="C84" s="599">
        <f t="shared" si="8"/>
        <v>0.26081688238970219</v>
      </c>
      <c r="D84" s="599">
        <f t="shared" si="8"/>
        <v>0.23980935982026666</v>
      </c>
      <c r="E84" s="599">
        <f t="shared" si="9"/>
        <v>-2.1007522569435527E-2</v>
      </c>
    </row>
    <row r="85" spans="1:5" s="421" customFormat="1" x14ac:dyDescent="0.2">
      <c r="A85" s="588">
        <v>3</v>
      </c>
      <c r="B85" s="587" t="s">
        <v>776</v>
      </c>
      <c r="C85" s="599">
        <f t="shared" si="8"/>
        <v>5.8205040158805101E-2</v>
      </c>
      <c r="D85" s="599">
        <f t="shared" si="8"/>
        <v>6.7064619001696135E-2</v>
      </c>
      <c r="E85" s="599">
        <f t="shared" si="9"/>
        <v>8.8595788428910346E-3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5.8205040158805101E-2</v>
      </c>
      <c r="D86" s="599">
        <f t="shared" si="8"/>
        <v>6.7064619001696135E-2</v>
      </c>
      <c r="E86" s="599">
        <f t="shared" si="9"/>
        <v>8.8595788428910346E-3</v>
      </c>
    </row>
    <row r="87" spans="1:5" s="421" customFormat="1" x14ac:dyDescent="0.2">
      <c r="A87" s="588">
        <v>5</v>
      </c>
      <c r="B87" s="587" t="s">
        <v>742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2.4891981994085242E-4</v>
      </c>
      <c r="D88" s="599">
        <f t="shared" si="8"/>
        <v>2.3134522769859112E-4</v>
      </c>
      <c r="E88" s="599">
        <f t="shared" si="9"/>
        <v>-1.75745922422613E-5</v>
      </c>
    </row>
    <row r="89" spans="1:5" s="421" customFormat="1" x14ac:dyDescent="0.2">
      <c r="A89" s="588">
        <v>7</v>
      </c>
      <c r="B89" s="587" t="s">
        <v>757</v>
      </c>
      <c r="C89" s="599">
        <f t="shared" si="8"/>
        <v>4.5875148638285755E-3</v>
      </c>
      <c r="D89" s="599">
        <f t="shared" si="8"/>
        <v>1.6070522008522282E-3</v>
      </c>
      <c r="E89" s="599">
        <f t="shared" si="9"/>
        <v>-2.9804626629763471E-3</v>
      </c>
    </row>
    <row r="90" spans="1:5" s="421" customFormat="1" x14ac:dyDescent="0.2">
      <c r="A90" s="588"/>
      <c r="B90" s="592" t="s">
        <v>795</v>
      </c>
      <c r="C90" s="600">
        <f>SUM(C84+C85+C88)</f>
        <v>0.31927084236844816</v>
      </c>
      <c r="D90" s="600">
        <f>SUM(D84+D85+D88)</f>
        <v>0.30710532404966134</v>
      </c>
      <c r="E90" s="601">
        <f t="shared" si="9"/>
        <v>-1.2165518318786817E-2</v>
      </c>
    </row>
    <row r="91" spans="1:5" s="421" customFormat="1" x14ac:dyDescent="0.2">
      <c r="A91" s="588"/>
      <c r="B91" s="592" t="s">
        <v>796</v>
      </c>
      <c r="C91" s="600">
        <f>SUM(C83+C90)</f>
        <v>0.44491209882644911</v>
      </c>
      <c r="D91" s="600">
        <f>SUM(D83+D90)</f>
        <v>0.42544659676179958</v>
      </c>
      <c r="E91" s="601">
        <f t="shared" si="9"/>
        <v>-1.9465502064649531E-2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797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655</v>
      </c>
      <c r="C95" s="599">
        <f t="shared" ref="C95:D101" si="10">IF(C$44=0,0,C25/C$44)</f>
        <v>0.26705642070571972</v>
      </c>
      <c r="D95" s="599">
        <f t="shared" si="10"/>
        <v>0.25786628752342211</v>
      </c>
      <c r="E95" s="599">
        <f t="shared" ref="E95:E103" si="11">D95-C95</f>
        <v>-9.1901331822976107E-3</v>
      </c>
    </row>
    <row r="96" spans="1:5" s="421" customFormat="1" x14ac:dyDescent="0.2">
      <c r="A96" s="588">
        <v>2</v>
      </c>
      <c r="B96" s="587" t="s">
        <v>634</v>
      </c>
      <c r="C96" s="599">
        <f t="shared" si="10"/>
        <v>0.18238411664501988</v>
      </c>
      <c r="D96" s="599">
        <f t="shared" si="10"/>
        <v>0.19618119829766723</v>
      </c>
      <c r="E96" s="599">
        <f t="shared" si="11"/>
        <v>1.3797081652647342E-2</v>
      </c>
    </row>
    <row r="97" spans="1:5" s="421" customFormat="1" x14ac:dyDescent="0.2">
      <c r="A97" s="588">
        <v>3</v>
      </c>
      <c r="B97" s="587" t="s">
        <v>776</v>
      </c>
      <c r="C97" s="599">
        <f t="shared" si="10"/>
        <v>0.10413015081047715</v>
      </c>
      <c r="D97" s="599">
        <f t="shared" si="10"/>
        <v>0.11982076728258766</v>
      </c>
      <c r="E97" s="599">
        <f t="shared" si="11"/>
        <v>1.5690616472110508E-2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0.10413015081047715</v>
      </c>
      <c r="D98" s="599">
        <f t="shared" si="10"/>
        <v>0.11982076728258766</v>
      </c>
      <c r="E98" s="599">
        <f t="shared" si="11"/>
        <v>1.5690616472110508E-2</v>
      </c>
    </row>
    <row r="99" spans="1:5" s="421" customFormat="1" x14ac:dyDescent="0.2">
      <c r="A99" s="588">
        <v>5</v>
      </c>
      <c r="B99" s="587" t="s">
        <v>742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1.5172130123341286E-3</v>
      </c>
      <c r="D100" s="599">
        <f t="shared" si="10"/>
        <v>6.8515013452339517E-4</v>
      </c>
      <c r="E100" s="599">
        <f t="shared" si="11"/>
        <v>-8.3206287781073345E-4</v>
      </c>
    </row>
    <row r="101" spans="1:5" s="421" customFormat="1" x14ac:dyDescent="0.2">
      <c r="A101" s="588">
        <v>7</v>
      </c>
      <c r="B101" s="587" t="s">
        <v>757</v>
      </c>
      <c r="C101" s="599">
        <f t="shared" si="10"/>
        <v>7.7978604552086193E-3</v>
      </c>
      <c r="D101" s="599">
        <f t="shared" si="10"/>
        <v>7.2384420331349413E-3</v>
      </c>
      <c r="E101" s="599">
        <f t="shared" si="11"/>
        <v>-5.5941842207367799E-4</v>
      </c>
    </row>
    <row r="102" spans="1:5" s="421" customFormat="1" x14ac:dyDescent="0.2">
      <c r="A102" s="588"/>
      <c r="B102" s="592" t="s">
        <v>798</v>
      </c>
      <c r="C102" s="600">
        <f>SUM(C96+C97+C100)</f>
        <v>0.28803148046783117</v>
      </c>
      <c r="D102" s="600">
        <f>SUM(D96+D97+D100)</f>
        <v>0.31668711571477831</v>
      </c>
      <c r="E102" s="601">
        <f t="shared" si="11"/>
        <v>2.8655635246947142E-2</v>
      </c>
    </row>
    <row r="103" spans="1:5" s="421" customFormat="1" x14ac:dyDescent="0.2">
      <c r="A103" s="588"/>
      <c r="B103" s="592" t="s">
        <v>799</v>
      </c>
      <c r="C103" s="600">
        <f>SUM(C95+C102)</f>
        <v>0.55508790117355089</v>
      </c>
      <c r="D103" s="600">
        <f>SUM(D95+D102)</f>
        <v>0.57455340323820048</v>
      </c>
      <c r="E103" s="601">
        <f t="shared" si="11"/>
        <v>1.9465502064649587E-2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800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801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655</v>
      </c>
      <c r="C109" s="599">
        <f t="shared" ref="C109:D115" si="12">IF(C$77=0,0,C47/C$77)</f>
        <v>0.17244947592561738</v>
      </c>
      <c r="D109" s="599">
        <f t="shared" si="12"/>
        <v>0.16464903437619618</v>
      </c>
      <c r="E109" s="599">
        <f t="shared" ref="E109:E117" si="13">D109-C109</f>
        <v>-7.8004415494211943E-3</v>
      </c>
    </row>
    <row r="110" spans="1:5" s="421" customFormat="1" x14ac:dyDescent="0.2">
      <c r="A110" s="588">
        <v>2</v>
      </c>
      <c r="B110" s="587" t="s">
        <v>634</v>
      </c>
      <c r="C110" s="599">
        <f t="shared" si="12"/>
        <v>0.27732550936270384</v>
      </c>
      <c r="D110" s="599">
        <f t="shared" si="12"/>
        <v>0.25036767679313088</v>
      </c>
      <c r="E110" s="599">
        <f t="shared" si="13"/>
        <v>-2.6957832569572959E-2</v>
      </c>
    </row>
    <row r="111" spans="1:5" s="421" customFormat="1" x14ac:dyDescent="0.2">
      <c r="A111" s="588">
        <v>3</v>
      </c>
      <c r="B111" s="587" t="s">
        <v>776</v>
      </c>
      <c r="C111" s="599">
        <f t="shared" si="12"/>
        <v>3.2787454494273484E-2</v>
      </c>
      <c r="D111" s="599">
        <f t="shared" si="12"/>
        <v>5.399487842203423E-2</v>
      </c>
      <c r="E111" s="599">
        <f t="shared" si="13"/>
        <v>2.1207423927760746E-2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3.2787454494273484E-2</v>
      </c>
      <c r="D112" s="599">
        <f t="shared" si="12"/>
        <v>5.399487842203423E-2</v>
      </c>
      <c r="E112" s="599">
        <f t="shared" si="13"/>
        <v>2.1207423927760746E-2</v>
      </c>
    </row>
    <row r="113" spans="1:5" s="421" customFormat="1" x14ac:dyDescent="0.2">
      <c r="A113" s="588">
        <v>5</v>
      </c>
      <c r="B113" s="587" t="s">
        <v>742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2.302126535786129E-4</v>
      </c>
      <c r="D114" s="599">
        <f t="shared" si="12"/>
        <v>2.7567039607029738E-4</v>
      </c>
      <c r="E114" s="599">
        <f t="shared" si="13"/>
        <v>4.5457742491684477E-5</v>
      </c>
    </row>
    <row r="115" spans="1:5" s="421" customFormat="1" x14ac:dyDescent="0.2">
      <c r="A115" s="588">
        <v>7</v>
      </c>
      <c r="B115" s="587" t="s">
        <v>757</v>
      </c>
      <c r="C115" s="599">
        <f t="shared" si="12"/>
        <v>3.1072378927907473E-3</v>
      </c>
      <c r="D115" s="599">
        <f t="shared" si="12"/>
        <v>3.1130790730599473E-3</v>
      </c>
      <c r="E115" s="599">
        <f t="shared" si="13"/>
        <v>5.8411802692000941E-6</v>
      </c>
    </row>
    <row r="116" spans="1:5" s="421" customFormat="1" x14ac:dyDescent="0.2">
      <c r="A116" s="588"/>
      <c r="B116" s="592" t="s">
        <v>795</v>
      </c>
      <c r="C116" s="600">
        <f>SUM(C110+C111+C114)</f>
        <v>0.31034317651055593</v>
      </c>
      <c r="D116" s="600">
        <f>SUM(D110+D111+D114)</f>
        <v>0.30463822561123538</v>
      </c>
      <c r="E116" s="601">
        <f t="shared" si="13"/>
        <v>-5.7049508993205489E-3</v>
      </c>
    </row>
    <row r="117" spans="1:5" s="421" customFormat="1" x14ac:dyDescent="0.2">
      <c r="A117" s="588"/>
      <c r="B117" s="592" t="s">
        <v>796</v>
      </c>
      <c r="C117" s="600">
        <f>SUM(C109+C116)</f>
        <v>0.48279265243617331</v>
      </c>
      <c r="D117" s="600">
        <f>SUM(D109+D116)</f>
        <v>0.46928725998743159</v>
      </c>
      <c r="E117" s="601">
        <f t="shared" si="13"/>
        <v>-1.3505392448741715E-2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802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655</v>
      </c>
      <c r="C121" s="599">
        <f t="shared" ref="C121:D127" si="14">IF(C$77=0,0,C58/C$77)</f>
        <v>0.32674866439792721</v>
      </c>
      <c r="D121" s="599">
        <f t="shared" si="14"/>
        <v>0.31804350048932717</v>
      </c>
      <c r="E121" s="599">
        <f t="shared" ref="E121:E129" si="15">D121-C121</f>
        <v>-8.7051639086000443E-3</v>
      </c>
    </row>
    <row r="122" spans="1:5" s="421" customFormat="1" x14ac:dyDescent="0.2">
      <c r="A122" s="588">
        <v>2</v>
      </c>
      <c r="B122" s="587" t="s">
        <v>634</v>
      </c>
      <c r="C122" s="599">
        <f t="shared" si="14"/>
        <v>0.12496782735047847</v>
      </c>
      <c r="D122" s="599">
        <f t="shared" si="14"/>
        <v>0.13522928143733848</v>
      </c>
      <c r="E122" s="599">
        <f t="shared" si="15"/>
        <v>1.0261454086860008E-2</v>
      </c>
    </row>
    <row r="123" spans="1:5" s="421" customFormat="1" x14ac:dyDescent="0.2">
      <c r="A123" s="588">
        <v>3</v>
      </c>
      <c r="B123" s="587" t="s">
        <v>776</v>
      </c>
      <c r="C123" s="599">
        <f t="shared" si="14"/>
        <v>6.5490855815421009E-2</v>
      </c>
      <c r="D123" s="599">
        <f t="shared" si="14"/>
        <v>7.6917247259502428E-2</v>
      </c>
      <c r="E123" s="599">
        <f t="shared" si="15"/>
        <v>1.1426391444081418E-2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6.5490855815421009E-2</v>
      </c>
      <c r="D124" s="599">
        <f t="shared" si="14"/>
        <v>7.6917247259502428E-2</v>
      </c>
      <c r="E124" s="599">
        <f t="shared" si="15"/>
        <v>1.1426391444081418E-2</v>
      </c>
    </row>
    <row r="125" spans="1:5" s="421" customFormat="1" x14ac:dyDescent="0.2">
      <c r="A125" s="588">
        <v>5</v>
      </c>
      <c r="B125" s="587" t="s">
        <v>742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0</v>
      </c>
      <c r="D126" s="599">
        <f t="shared" si="14"/>
        <v>5.2271082640032926E-4</v>
      </c>
      <c r="E126" s="599">
        <f t="shared" si="15"/>
        <v>5.2271082640032926E-4</v>
      </c>
    </row>
    <row r="127" spans="1:5" s="421" customFormat="1" x14ac:dyDescent="0.2">
      <c r="A127" s="588">
        <v>7</v>
      </c>
      <c r="B127" s="587" t="s">
        <v>757</v>
      </c>
      <c r="C127" s="599">
        <f t="shared" si="14"/>
        <v>3.2237524899882261E-3</v>
      </c>
      <c r="D127" s="599">
        <f t="shared" si="14"/>
        <v>2.764801760608409E-3</v>
      </c>
      <c r="E127" s="599">
        <f t="shared" si="15"/>
        <v>-4.5895072937981703E-4</v>
      </c>
    </row>
    <row r="128" spans="1:5" s="421" customFormat="1" x14ac:dyDescent="0.2">
      <c r="A128" s="588"/>
      <c r="B128" s="592" t="s">
        <v>798</v>
      </c>
      <c r="C128" s="600">
        <f>SUM(C122+C123+C126)</f>
        <v>0.19045868316589948</v>
      </c>
      <c r="D128" s="600">
        <f>SUM(D122+D123+D126)</f>
        <v>0.21266923952324124</v>
      </c>
      <c r="E128" s="601">
        <f t="shared" si="15"/>
        <v>2.221055635734176E-2</v>
      </c>
    </row>
    <row r="129" spans="1:5" s="421" customFormat="1" x14ac:dyDescent="0.2">
      <c r="A129" s="588"/>
      <c r="B129" s="592" t="s">
        <v>799</v>
      </c>
      <c r="C129" s="600">
        <f>SUM(C121+C128)</f>
        <v>0.51720734756382669</v>
      </c>
      <c r="D129" s="600">
        <f>SUM(D121+D128)</f>
        <v>0.53071274001256841</v>
      </c>
      <c r="E129" s="601">
        <f t="shared" si="15"/>
        <v>1.3505392448741715E-2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803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804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805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655</v>
      </c>
      <c r="C137" s="606">
        <v>2395</v>
      </c>
      <c r="D137" s="606">
        <v>2232</v>
      </c>
      <c r="E137" s="607">
        <f t="shared" ref="E137:E145" si="16">D137-C137</f>
        <v>-163</v>
      </c>
    </row>
    <row r="138" spans="1:5" s="421" customFormat="1" x14ac:dyDescent="0.2">
      <c r="A138" s="588">
        <v>2</v>
      </c>
      <c r="B138" s="587" t="s">
        <v>634</v>
      </c>
      <c r="C138" s="606">
        <v>3456</v>
      </c>
      <c r="D138" s="606">
        <v>3283</v>
      </c>
      <c r="E138" s="607">
        <f t="shared" si="16"/>
        <v>-173</v>
      </c>
    </row>
    <row r="139" spans="1:5" s="421" customFormat="1" x14ac:dyDescent="0.2">
      <c r="A139" s="588">
        <v>3</v>
      </c>
      <c r="B139" s="587" t="s">
        <v>776</v>
      </c>
      <c r="C139" s="606">
        <f>C140+C141</f>
        <v>1315</v>
      </c>
      <c r="D139" s="606">
        <f>D140+D141</f>
        <v>1416</v>
      </c>
      <c r="E139" s="607">
        <f t="shared" si="16"/>
        <v>101</v>
      </c>
    </row>
    <row r="140" spans="1:5" s="421" customFormat="1" x14ac:dyDescent="0.2">
      <c r="A140" s="588">
        <v>4</v>
      </c>
      <c r="B140" s="587" t="s">
        <v>115</v>
      </c>
      <c r="C140" s="606">
        <v>1315</v>
      </c>
      <c r="D140" s="606">
        <v>1416</v>
      </c>
      <c r="E140" s="607">
        <f t="shared" si="16"/>
        <v>101</v>
      </c>
    </row>
    <row r="141" spans="1:5" s="421" customFormat="1" x14ac:dyDescent="0.2">
      <c r="A141" s="588">
        <v>5</v>
      </c>
      <c r="B141" s="587" t="s">
        <v>742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10</v>
      </c>
      <c r="D142" s="606">
        <v>4</v>
      </c>
      <c r="E142" s="607">
        <f t="shared" si="16"/>
        <v>-6</v>
      </c>
    </row>
    <row r="143" spans="1:5" s="421" customFormat="1" x14ac:dyDescent="0.2">
      <c r="A143" s="588">
        <v>7</v>
      </c>
      <c r="B143" s="587" t="s">
        <v>757</v>
      </c>
      <c r="C143" s="606">
        <v>85</v>
      </c>
      <c r="D143" s="606">
        <v>81</v>
      </c>
      <c r="E143" s="607">
        <f t="shared" si="16"/>
        <v>-4</v>
      </c>
    </row>
    <row r="144" spans="1:5" s="421" customFormat="1" x14ac:dyDescent="0.2">
      <c r="A144" s="588"/>
      <c r="B144" s="592" t="s">
        <v>806</v>
      </c>
      <c r="C144" s="608">
        <f>SUM(C138+C139+C142)</f>
        <v>4781</v>
      </c>
      <c r="D144" s="608">
        <f>SUM(D138+D139+D142)</f>
        <v>4703</v>
      </c>
      <c r="E144" s="609">
        <f t="shared" si="16"/>
        <v>-78</v>
      </c>
    </row>
    <row r="145" spans="1:5" s="421" customFormat="1" x14ac:dyDescent="0.2">
      <c r="A145" s="588"/>
      <c r="B145" s="592" t="s">
        <v>138</v>
      </c>
      <c r="C145" s="608">
        <f>SUM(C137+C144)</f>
        <v>7176</v>
      </c>
      <c r="D145" s="608">
        <f>SUM(D137+D144)</f>
        <v>6935</v>
      </c>
      <c r="E145" s="609">
        <f t="shared" si="16"/>
        <v>-241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655</v>
      </c>
      <c r="C149" s="610">
        <v>8583</v>
      </c>
      <c r="D149" s="610">
        <v>8407</v>
      </c>
      <c r="E149" s="607">
        <f t="shared" ref="E149:E157" si="17">D149-C149</f>
        <v>-176</v>
      </c>
    </row>
    <row r="150" spans="1:5" s="421" customFormat="1" x14ac:dyDescent="0.2">
      <c r="A150" s="588">
        <v>2</v>
      </c>
      <c r="B150" s="587" t="s">
        <v>634</v>
      </c>
      <c r="C150" s="610">
        <v>17572</v>
      </c>
      <c r="D150" s="610">
        <v>16402</v>
      </c>
      <c r="E150" s="607">
        <f t="shared" si="17"/>
        <v>-1170</v>
      </c>
    </row>
    <row r="151" spans="1:5" s="421" customFormat="1" x14ac:dyDescent="0.2">
      <c r="A151" s="588">
        <v>3</v>
      </c>
      <c r="B151" s="587" t="s">
        <v>776</v>
      </c>
      <c r="C151" s="610">
        <f>C152+C153</f>
        <v>5093</v>
      </c>
      <c r="D151" s="610">
        <f>D152+D153</f>
        <v>5988</v>
      </c>
      <c r="E151" s="607">
        <f t="shared" si="17"/>
        <v>895</v>
      </c>
    </row>
    <row r="152" spans="1:5" s="421" customFormat="1" x14ac:dyDescent="0.2">
      <c r="A152" s="588">
        <v>4</v>
      </c>
      <c r="B152" s="587" t="s">
        <v>115</v>
      </c>
      <c r="C152" s="610">
        <v>5093</v>
      </c>
      <c r="D152" s="610">
        <v>5988</v>
      </c>
      <c r="E152" s="607">
        <f t="shared" si="17"/>
        <v>895</v>
      </c>
    </row>
    <row r="153" spans="1:5" s="421" customFormat="1" x14ac:dyDescent="0.2">
      <c r="A153" s="588">
        <v>5</v>
      </c>
      <c r="B153" s="587" t="s">
        <v>742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23</v>
      </c>
      <c r="D154" s="610">
        <v>9</v>
      </c>
      <c r="E154" s="607">
        <f t="shared" si="17"/>
        <v>-14</v>
      </c>
    </row>
    <row r="155" spans="1:5" s="421" customFormat="1" x14ac:dyDescent="0.2">
      <c r="A155" s="588">
        <v>7</v>
      </c>
      <c r="B155" s="587" t="s">
        <v>757</v>
      </c>
      <c r="C155" s="610">
        <v>326</v>
      </c>
      <c r="D155" s="610">
        <v>302</v>
      </c>
      <c r="E155" s="607">
        <f t="shared" si="17"/>
        <v>-24</v>
      </c>
    </row>
    <row r="156" spans="1:5" s="421" customFormat="1" x14ac:dyDescent="0.2">
      <c r="A156" s="588"/>
      <c r="B156" s="592" t="s">
        <v>807</v>
      </c>
      <c r="C156" s="608">
        <f>SUM(C150+C151+C154)</f>
        <v>22688</v>
      </c>
      <c r="D156" s="608">
        <f>SUM(D150+D151+D154)</f>
        <v>22399</v>
      </c>
      <c r="E156" s="609">
        <f t="shared" si="17"/>
        <v>-289</v>
      </c>
    </row>
    <row r="157" spans="1:5" s="421" customFormat="1" x14ac:dyDescent="0.2">
      <c r="A157" s="588"/>
      <c r="B157" s="592" t="s">
        <v>140</v>
      </c>
      <c r="C157" s="608">
        <f>SUM(C149+C156)</f>
        <v>31271</v>
      </c>
      <c r="D157" s="608">
        <f>SUM(D149+D156)</f>
        <v>30806</v>
      </c>
      <c r="E157" s="609">
        <f t="shared" si="17"/>
        <v>-465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808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655</v>
      </c>
      <c r="C161" s="612">
        <f t="shared" ref="C161:D169" si="18">IF(C137=0,0,C149/C137)</f>
        <v>3.5837160751565764</v>
      </c>
      <c r="D161" s="612">
        <f t="shared" si="18"/>
        <v>3.7665770609318998</v>
      </c>
      <c r="E161" s="613">
        <f t="shared" ref="E161:E169" si="19">D161-C161</f>
        <v>0.18286098577532339</v>
      </c>
    </row>
    <row r="162" spans="1:5" s="421" customFormat="1" x14ac:dyDescent="0.2">
      <c r="A162" s="588">
        <v>2</v>
      </c>
      <c r="B162" s="587" t="s">
        <v>634</v>
      </c>
      <c r="C162" s="612">
        <f t="shared" si="18"/>
        <v>5.0844907407407405</v>
      </c>
      <c r="D162" s="612">
        <f t="shared" si="18"/>
        <v>4.9960402071276269</v>
      </c>
      <c r="E162" s="613">
        <f t="shared" si="19"/>
        <v>-8.8450533613113613E-2</v>
      </c>
    </row>
    <row r="163" spans="1:5" s="421" customFormat="1" x14ac:dyDescent="0.2">
      <c r="A163" s="588">
        <v>3</v>
      </c>
      <c r="B163" s="587" t="s">
        <v>776</v>
      </c>
      <c r="C163" s="612">
        <f t="shared" si="18"/>
        <v>3.8730038022813686</v>
      </c>
      <c r="D163" s="612">
        <f t="shared" si="18"/>
        <v>4.2288135593220337</v>
      </c>
      <c r="E163" s="613">
        <f t="shared" si="19"/>
        <v>0.35580975704066509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3.8730038022813686</v>
      </c>
      <c r="D164" s="612">
        <f t="shared" si="18"/>
        <v>4.2288135593220337</v>
      </c>
      <c r="E164" s="613">
        <f t="shared" si="19"/>
        <v>0.35580975704066509</v>
      </c>
    </row>
    <row r="165" spans="1:5" s="421" customFormat="1" x14ac:dyDescent="0.2">
      <c r="A165" s="588">
        <v>5</v>
      </c>
      <c r="B165" s="587" t="s">
        <v>742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2.2999999999999998</v>
      </c>
      <c r="D166" s="612">
        <f t="shared" si="18"/>
        <v>2.25</v>
      </c>
      <c r="E166" s="613">
        <f t="shared" si="19"/>
        <v>-4.9999999999999822E-2</v>
      </c>
    </row>
    <row r="167" spans="1:5" s="421" customFormat="1" x14ac:dyDescent="0.2">
      <c r="A167" s="588">
        <v>7</v>
      </c>
      <c r="B167" s="587" t="s">
        <v>757</v>
      </c>
      <c r="C167" s="612">
        <f t="shared" si="18"/>
        <v>3.835294117647059</v>
      </c>
      <c r="D167" s="612">
        <f t="shared" si="18"/>
        <v>3.7283950617283952</v>
      </c>
      <c r="E167" s="613">
        <f t="shared" si="19"/>
        <v>-0.10689905591866378</v>
      </c>
    </row>
    <row r="168" spans="1:5" s="421" customFormat="1" x14ac:dyDescent="0.2">
      <c r="A168" s="588"/>
      <c r="B168" s="592" t="s">
        <v>809</v>
      </c>
      <c r="C168" s="614">
        <f t="shared" si="18"/>
        <v>4.7454507425224852</v>
      </c>
      <c r="D168" s="614">
        <f t="shared" si="18"/>
        <v>4.7627046566021685</v>
      </c>
      <c r="E168" s="615">
        <f t="shared" si="19"/>
        <v>1.7253914079683241E-2</v>
      </c>
    </row>
    <row r="169" spans="1:5" s="421" customFormat="1" x14ac:dyDescent="0.2">
      <c r="A169" s="588"/>
      <c r="B169" s="592" t="s">
        <v>743</v>
      </c>
      <c r="C169" s="614">
        <f t="shared" si="18"/>
        <v>4.357720178372352</v>
      </c>
      <c r="D169" s="614">
        <f t="shared" si="18"/>
        <v>4.4421052631578943</v>
      </c>
      <c r="E169" s="615">
        <f t="shared" si="19"/>
        <v>8.4385084785542297E-2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810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655</v>
      </c>
      <c r="C173" s="617">
        <f t="shared" ref="C173:D181" si="20">IF(C137=0,0,C203/C137)</f>
        <v>1.0626</v>
      </c>
      <c r="D173" s="617">
        <f t="shared" si="20"/>
        <v>1.0301499999999999</v>
      </c>
      <c r="E173" s="618">
        <f t="shared" ref="E173:E181" si="21">D173-C173</f>
        <v>-3.245000000000009E-2</v>
      </c>
    </row>
    <row r="174" spans="1:5" s="421" customFormat="1" x14ac:dyDescent="0.2">
      <c r="A174" s="588">
        <v>2</v>
      </c>
      <c r="B174" s="587" t="s">
        <v>634</v>
      </c>
      <c r="C174" s="617">
        <f t="shared" si="20"/>
        <v>1.3304</v>
      </c>
      <c r="D174" s="617">
        <f t="shared" si="20"/>
        <v>1.32358</v>
      </c>
      <c r="E174" s="618">
        <f t="shared" si="21"/>
        <v>-6.8200000000000482E-3</v>
      </c>
    </row>
    <row r="175" spans="1:5" s="421" customFormat="1" x14ac:dyDescent="0.2">
      <c r="A175" s="588">
        <v>3</v>
      </c>
      <c r="B175" s="587" t="s">
        <v>776</v>
      </c>
      <c r="C175" s="617">
        <f t="shared" si="20"/>
        <v>0.80500000000000005</v>
      </c>
      <c r="D175" s="617">
        <f t="shared" si="20"/>
        <v>0.84899000000000002</v>
      </c>
      <c r="E175" s="618">
        <f t="shared" si="21"/>
        <v>4.3989999999999974E-2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0.80500000000000005</v>
      </c>
      <c r="D176" s="617">
        <f t="shared" si="20"/>
        <v>0.84899000000000002</v>
      </c>
      <c r="E176" s="618">
        <f t="shared" si="21"/>
        <v>4.3989999999999974E-2</v>
      </c>
    </row>
    <row r="177" spans="1:5" s="421" customFormat="1" x14ac:dyDescent="0.2">
      <c r="A177" s="588">
        <v>5</v>
      </c>
      <c r="B177" s="587" t="s">
        <v>742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0.43909999999999999</v>
      </c>
      <c r="D178" s="617">
        <f t="shared" si="20"/>
        <v>1.24465</v>
      </c>
      <c r="E178" s="618">
        <f t="shared" si="21"/>
        <v>0.80554999999999999</v>
      </c>
    </row>
    <row r="179" spans="1:5" s="421" customFormat="1" x14ac:dyDescent="0.2">
      <c r="A179" s="588">
        <v>7</v>
      </c>
      <c r="B179" s="587" t="s">
        <v>757</v>
      </c>
      <c r="C179" s="617">
        <f t="shared" si="20"/>
        <v>1.0423</v>
      </c>
      <c r="D179" s="617">
        <f t="shared" si="20"/>
        <v>0.85394000000000003</v>
      </c>
      <c r="E179" s="618">
        <f t="shared" si="21"/>
        <v>-0.18835999999999997</v>
      </c>
    </row>
    <row r="180" spans="1:5" s="421" customFormat="1" x14ac:dyDescent="0.2">
      <c r="A180" s="588"/>
      <c r="B180" s="592" t="s">
        <v>811</v>
      </c>
      <c r="C180" s="619">
        <f t="shared" si="20"/>
        <v>1.1840260196611587</v>
      </c>
      <c r="D180" s="619">
        <f t="shared" si="20"/>
        <v>1.1806212162449503</v>
      </c>
      <c r="E180" s="620">
        <f t="shared" si="21"/>
        <v>-3.4048034162084129E-3</v>
      </c>
    </row>
    <row r="181" spans="1:5" s="421" customFormat="1" x14ac:dyDescent="0.2">
      <c r="A181" s="588"/>
      <c r="B181" s="592" t="s">
        <v>722</v>
      </c>
      <c r="C181" s="619">
        <f t="shared" si="20"/>
        <v>1.1434999163879598</v>
      </c>
      <c r="D181" s="619">
        <f t="shared" si="20"/>
        <v>1.1321927007930788</v>
      </c>
      <c r="E181" s="620">
        <f t="shared" si="21"/>
        <v>-1.1307215594881015E-2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812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ht="25.5" x14ac:dyDescent="0.2">
      <c r="A185" s="588">
        <v>1</v>
      </c>
      <c r="B185" s="587" t="s">
        <v>813</v>
      </c>
      <c r="C185" s="589">
        <v>168743461</v>
      </c>
      <c r="D185" s="589">
        <v>177406112</v>
      </c>
      <c r="E185" s="590">
        <f>D185-C185</f>
        <v>8662651</v>
      </c>
    </row>
    <row r="186" spans="1:5" s="421" customFormat="1" ht="25.5" x14ac:dyDescent="0.2">
      <c r="A186" s="588">
        <v>2</v>
      </c>
      <c r="B186" s="587" t="s">
        <v>814</v>
      </c>
      <c r="C186" s="589">
        <v>64824539</v>
      </c>
      <c r="D186" s="589">
        <v>67686329</v>
      </c>
      <c r="E186" s="590">
        <f>D186-C186</f>
        <v>2861790</v>
      </c>
    </row>
    <row r="187" spans="1:5" s="421" customFormat="1" x14ac:dyDescent="0.2">
      <c r="A187" s="588"/>
      <c r="B187" s="587" t="s">
        <v>667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746</v>
      </c>
      <c r="C188" s="622">
        <f>+C185-C186</f>
        <v>103918922</v>
      </c>
      <c r="D188" s="622">
        <f>+D185-D186</f>
        <v>109719783</v>
      </c>
      <c r="E188" s="590">
        <f t="shared" ref="E188:E197" si="22">D188-C188</f>
        <v>5800861</v>
      </c>
    </row>
    <row r="189" spans="1:5" s="421" customFormat="1" x14ac:dyDescent="0.2">
      <c r="A189" s="588">
        <v>4</v>
      </c>
      <c r="B189" s="587" t="s">
        <v>669</v>
      </c>
      <c r="C189" s="623">
        <f>IF(C185=0,0,+C188/C185)</f>
        <v>0.6158396976342686</v>
      </c>
      <c r="D189" s="623">
        <f>IF(D185=0,0,+D188/D185)</f>
        <v>0.61846675834934028</v>
      </c>
      <c r="E189" s="599">
        <f t="shared" si="22"/>
        <v>2.6270607150716829E-3</v>
      </c>
    </row>
    <row r="190" spans="1:5" s="421" customFormat="1" x14ac:dyDescent="0.2">
      <c r="A190" s="588">
        <v>5</v>
      </c>
      <c r="B190" s="587" t="s">
        <v>761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747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815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816</v>
      </c>
      <c r="C193" s="589">
        <v>4849739</v>
      </c>
      <c r="D193" s="589">
        <v>3784978</v>
      </c>
      <c r="E193" s="622">
        <f t="shared" si="22"/>
        <v>-1064761</v>
      </c>
    </row>
    <row r="194" spans="1:5" s="421" customFormat="1" x14ac:dyDescent="0.2">
      <c r="A194" s="588">
        <v>9</v>
      </c>
      <c r="B194" s="587" t="s">
        <v>817</v>
      </c>
      <c r="C194" s="589">
        <v>2373418</v>
      </c>
      <c r="D194" s="589">
        <v>1054556</v>
      </c>
      <c r="E194" s="622">
        <f t="shared" si="22"/>
        <v>-1318862</v>
      </c>
    </row>
    <row r="195" spans="1:5" s="421" customFormat="1" x14ac:dyDescent="0.2">
      <c r="A195" s="588">
        <v>10</v>
      </c>
      <c r="B195" s="587" t="s">
        <v>818</v>
      </c>
      <c r="C195" s="589">
        <f>+C193+C194</f>
        <v>7223157</v>
      </c>
      <c r="D195" s="589">
        <f>+D193+D194</f>
        <v>4839534</v>
      </c>
      <c r="E195" s="625">
        <f t="shared" si="22"/>
        <v>-2383623</v>
      </c>
    </row>
    <row r="196" spans="1:5" s="421" customFormat="1" x14ac:dyDescent="0.2">
      <c r="A196" s="588">
        <v>11</v>
      </c>
      <c r="B196" s="587" t="s">
        <v>819</v>
      </c>
      <c r="C196" s="589">
        <v>3603467</v>
      </c>
      <c r="D196" s="589">
        <v>3270624</v>
      </c>
      <c r="E196" s="622">
        <f t="shared" si="22"/>
        <v>-332843</v>
      </c>
    </row>
    <row r="197" spans="1:5" s="421" customFormat="1" x14ac:dyDescent="0.2">
      <c r="A197" s="588">
        <v>12</v>
      </c>
      <c r="B197" s="587" t="s">
        <v>709</v>
      </c>
      <c r="C197" s="589">
        <v>127376540</v>
      </c>
      <c r="D197" s="589">
        <v>130275487</v>
      </c>
      <c r="E197" s="622">
        <f t="shared" si="22"/>
        <v>2898947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820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821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655</v>
      </c>
      <c r="C203" s="629">
        <v>2544.9270000000001</v>
      </c>
      <c r="D203" s="629">
        <v>2299.2947999999997</v>
      </c>
      <c r="E203" s="630">
        <f t="shared" ref="E203:E211" si="23">D203-C203</f>
        <v>-245.63220000000047</v>
      </c>
    </row>
    <row r="204" spans="1:5" s="421" customFormat="1" x14ac:dyDescent="0.2">
      <c r="A204" s="588">
        <v>2</v>
      </c>
      <c r="B204" s="587" t="s">
        <v>634</v>
      </c>
      <c r="C204" s="629">
        <v>4597.8624</v>
      </c>
      <c r="D204" s="629">
        <v>4345.3131400000002</v>
      </c>
      <c r="E204" s="630">
        <f t="shared" si="23"/>
        <v>-252.54925999999978</v>
      </c>
    </row>
    <row r="205" spans="1:5" s="421" customFormat="1" x14ac:dyDescent="0.2">
      <c r="A205" s="588">
        <v>3</v>
      </c>
      <c r="B205" s="587" t="s">
        <v>776</v>
      </c>
      <c r="C205" s="629">
        <f>C206+C207</f>
        <v>1058.575</v>
      </c>
      <c r="D205" s="629">
        <f>D206+D207</f>
        <v>1202.16984</v>
      </c>
      <c r="E205" s="630">
        <f t="shared" si="23"/>
        <v>143.59483999999998</v>
      </c>
    </row>
    <row r="206" spans="1:5" s="421" customFormat="1" x14ac:dyDescent="0.2">
      <c r="A206" s="588">
        <v>4</v>
      </c>
      <c r="B206" s="587" t="s">
        <v>115</v>
      </c>
      <c r="C206" s="629">
        <v>1058.575</v>
      </c>
      <c r="D206" s="629">
        <v>1202.16984</v>
      </c>
      <c r="E206" s="630">
        <f t="shared" si="23"/>
        <v>143.59483999999998</v>
      </c>
    </row>
    <row r="207" spans="1:5" s="421" customFormat="1" x14ac:dyDescent="0.2">
      <c r="A207" s="588">
        <v>5</v>
      </c>
      <c r="B207" s="587" t="s">
        <v>742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4.391</v>
      </c>
      <c r="D208" s="629">
        <v>4.9786000000000001</v>
      </c>
      <c r="E208" s="630">
        <f t="shared" si="23"/>
        <v>0.58760000000000012</v>
      </c>
    </row>
    <row r="209" spans="1:5" s="421" customFormat="1" x14ac:dyDescent="0.2">
      <c r="A209" s="588">
        <v>7</v>
      </c>
      <c r="B209" s="587" t="s">
        <v>757</v>
      </c>
      <c r="C209" s="629">
        <v>88.595500000000001</v>
      </c>
      <c r="D209" s="629">
        <v>69.169139999999999</v>
      </c>
      <c r="E209" s="630">
        <f t="shared" si="23"/>
        <v>-19.426360000000003</v>
      </c>
    </row>
    <row r="210" spans="1:5" s="421" customFormat="1" x14ac:dyDescent="0.2">
      <c r="A210" s="588"/>
      <c r="B210" s="592" t="s">
        <v>822</v>
      </c>
      <c r="C210" s="631">
        <f>C204+C205+C208</f>
        <v>5660.8283999999994</v>
      </c>
      <c r="D210" s="631">
        <f>D204+D205+D208</f>
        <v>5552.461580000001</v>
      </c>
      <c r="E210" s="632">
        <f t="shared" si="23"/>
        <v>-108.36681999999837</v>
      </c>
    </row>
    <row r="211" spans="1:5" s="421" customFormat="1" x14ac:dyDescent="0.2">
      <c r="A211" s="588"/>
      <c r="B211" s="592" t="s">
        <v>723</v>
      </c>
      <c r="C211" s="631">
        <f>C210+C203</f>
        <v>8205.7554</v>
      </c>
      <c r="D211" s="631">
        <f>D210+D203</f>
        <v>7851.7563800000007</v>
      </c>
      <c r="E211" s="632">
        <f t="shared" si="23"/>
        <v>-353.99901999999929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823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655</v>
      </c>
      <c r="C215" s="633">
        <f>IF(C14*C137=0,0,C25/C14*C137)</f>
        <v>5090.6855408915981</v>
      </c>
      <c r="D215" s="633">
        <f>IF(D14*D137=0,0,D25/D14*D137)</f>
        <v>4863.5403402522579</v>
      </c>
      <c r="E215" s="633">
        <f t="shared" ref="E215:E223" si="24">D215-C215</f>
        <v>-227.14520063934015</v>
      </c>
    </row>
    <row r="216" spans="1:5" s="421" customFormat="1" x14ac:dyDescent="0.2">
      <c r="A216" s="588">
        <v>2</v>
      </c>
      <c r="B216" s="587" t="s">
        <v>634</v>
      </c>
      <c r="C216" s="633">
        <f>IF(C15*C138=0,0,C26/C15*C138)</f>
        <v>2416.7128344989201</v>
      </c>
      <c r="D216" s="633">
        <f>IF(D15*D138=0,0,D26/D15*D138)</f>
        <v>2685.7286742016927</v>
      </c>
      <c r="E216" s="633">
        <f t="shared" si="24"/>
        <v>269.01583970277261</v>
      </c>
    </row>
    <row r="217" spans="1:5" s="421" customFormat="1" x14ac:dyDescent="0.2">
      <c r="A217" s="588">
        <v>3</v>
      </c>
      <c r="B217" s="587" t="s">
        <v>776</v>
      </c>
      <c r="C217" s="633">
        <f>C218+C219</f>
        <v>2352.5651376956034</v>
      </c>
      <c r="D217" s="633">
        <f>D218+D219</f>
        <v>2529.8914539103412</v>
      </c>
      <c r="E217" s="633">
        <f t="shared" si="24"/>
        <v>177.32631621473774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2352.5651376956034</v>
      </c>
      <c r="D218" s="633">
        <f t="shared" si="25"/>
        <v>2529.8914539103412</v>
      </c>
      <c r="E218" s="633">
        <f t="shared" si="24"/>
        <v>177.32631621473774</v>
      </c>
    </row>
    <row r="219" spans="1:5" s="421" customFormat="1" x14ac:dyDescent="0.2">
      <c r="A219" s="588">
        <v>5</v>
      </c>
      <c r="B219" s="587" t="s">
        <v>742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60.951876499615196</v>
      </c>
      <c r="D220" s="633">
        <f t="shared" si="25"/>
        <v>11.846367289945489</v>
      </c>
      <c r="E220" s="633">
        <f t="shared" si="24"/>
        <v>-49.105509209669705</v>
      </c>
    </row>
    <row r="221" spans="1:5" s="421" customFormat="1" x14ac:dyDescent="0.2">
      <c r="A221" s="588">
        <v>7</v>
      </c>
      <c r="B221" s="587" t="s">
        <v>757</v>
      </c>
      <c r="C221" s="633">
        <f t="shared" si="25"/>
        <v>144.48304983573794</v>
      </c>
      <c r="D221" s="633">
        <f t="shared" si="25"/>
        <v>364.83805838603439</v>
      </c>
      <c r="E221" s="633">
        <f t="shared" si="24"/>
        <v>220.35500855029645</v>
      </c>
    </row>
    <row r="222" spans="1:5" s="421" customFormat="1" x14ac:dyDescent="0.2">
      <c r="A222" s="588"/>
      <c r="B222" s="592" t="s">
        <v>824</v>
      </c>
      <c r="C222" s="634">
        <f>C216+C218+C219+C220</f>
        <v>4830.229848694139</v>
      </c>
      <c r="D222" s="634">
        <f>D216+D218+D219+D220</f>
        <v>5227.466495401979</v>
      </c>
      <c r="E222" s="634">
        <f t="shared" si="24"/>
        <v>397.23664670784001</v>
      </c>
    </row>
    <row r="223" spans="1:5" s="421" customFormat="1" x14ac:dyDescent="0.2">
      <c r="A223" s="588"/>
      <c r="B223" s="592" t="s">
        <v>825</v>
      </c>
      <c r="C223" s="634">
        <f>C215+C222</f>
        <v>9920.915389585738</v>
      </c>
      <c r="D223" s="634">
        <f>D215+D222</f>
        <v>10091.006835654236</v>
      </c>
      <c r="E223" s="634">
        <f t="shared" si="24"/>
        <v>170.09144606849804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826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655</v>
      </c>
      <c r="C227" s="636">
        <f t="shared" ref="C227:D235" si="26">IF(C203=0,0,C47/C203)</f>
        <v>8564.8645324600657</v>
      </c>
      <c r="D227" s="636">
        <f t="shared" si="26"/>
        <v>9957.1690415687463</v>
      </c>
      <c r="E227" s="636">
        <f t="shared" ref="E227:E235" si="27">D227-C227</f>
        <v>1392.3045091086806</v>
      </c>
    </row>
    <row r="228" spans="1:5" s="421" customFormat="1" x14ac:dyDescent="0.2">
      <c r="A228" s="588">
        <v>2</v>
      </c>
      <c r="B228" s="587" t="s">
        <v>634</v>
      </c>
      <c r="C228" s="636">
        <f t="shared" si="26"/>
        <v>7623.7351078622969</v>
      </c>
      <c r="D228" s="636">
        <f t="shared" si="26"/>
        <v>8011.771045803157</v>
      </c>
      <c r="E228" s="636">
        <f t="shared" si="27"/>
        <v>388.03593794086009</v>
      </c>
    </row>
    <row r="229" spans="1:5" s="421" customFormat="1" x14ac:dyDescent="0.2">
      <c r="A229" s="588">
        <v>3</v>
      </c>
      <c r="B229" s="587" t="s">
        <v>776</v>
      </c>
      <c r="C229" s="636">
        <f t="shared" si="26"/>
        <v>3914.8940793047254</v>
      </c>
      <c r="D229" s="636">
        <f t="shared" si="26"/>
        <v>6245.3687908191077</v>
      </c>
      <c r="E229" s="636">
        <f t="shared" si="27"/>
        <v>2330.4747115143823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3914.8940793047254</v>
      </c>
      <c r="D230" s="636">
        <f t="shared" si="26"/>
        <v>6245.3687908191077</v>
      </c>
      <c r="E230" s="636">
        <f t="shared" si="27"/>
        <v>2330.4747115143823</v>
      </c>
    </row>
    <row r="231" spans="1:5" s="421" customFormat="1" x14ac:dyDescent="0.2">
      <c r="A231" s="588">
        <v>5</v>
      </c>
      <c r="B231" s="587" t="s">
        <v>742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6626.7365064905489</v>
      </c>
      <c r="D232" s="636">
        <f t="shared" si="26"/>
        <v>7699.3532318322414</v>
      </c>
      <c r="E232" s="636">
        <f t="shared" si="27"/>
        <v>1072.6167253416925</v>
      </c>
    </row>
    <row r="233" spans="1:5" s="421" customFormat="1" x14ac:dyDescent="0.2">
      <c r="A233" s="588">
        <v>7</v>
      </c>
      <c r="B233" s="587" t="s">
        <v>757</v>
      </c>
      <c r="C233" s="636">
        <f t="shared" si="26"/>
        <v>4432.9903889023708</v>
      </c>
      <c r="D233" s="636">
        <f t="shared" si="26"/>
        <v>6258.1954900697046</v>
      </c>
      <c r="E233" s="636">
        <f t="shared" si="27"/>
        <v>1825.2051011673339</v>
      </c>
    </row>
    <row r="234" spans="1:5" x14ac:dyDescent="0.2">
      <c r="A234" s="588"/>
      <c r="B234" s="592" t="s">
        <v>827</v>
      </c>
      <c r="C234" s="637">
        <f t="shared" si="26"/>
        <v>6929.4084236858344</v>
      </c>
      <c r="D234" s="637">
        <f t="shared" si="26"/>
        <v>7629.0451342483657</v>
      </c>
      <c r="E234" s="637">
        <f t="shared" si="27"/>
        <v>699.63671056253133</v>
      </c>
    </row>
    <row r="235" spans="1:5" s="421" customFormat="1" x14ac:dyDescent="0.2">
      <c r="A235" s="588"/>
      <c r="B235" s="592" t="s">
        <v>828</v>
      </c>
      <c r="C235" s="637">
        <f t="shared" si="26"/>
        <v>7436.6275894599539</v>
      </c>
      <c r="D235" s="637">
        <f t="shared" si="26"/>
        <v>8310.808925021689</v>
      </c>
      <c r="E235" s="637">
        <f t="shared" si="27"/>
        <v>874.18133556173507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829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655</v>
      </c>
      <c r="C239" s="636">
        <f t="shared" ref="C239:D247" si="28">IF(C215=0,0,C58/C215)</f>
        <v>8112.8136217124566</v>
      </c>
      <c r="D239" s="636">
        <f t="shared" si="28"/>
        <v>9092.9614860984639</v>
      </c>
      <c r="E239" s="638">
        <f t="shared" ref="E239:E247" si="29">D239-C239</f>
        <v>980.14786438600731</v>
      </c>
    </row>
    <row r="240" spans="1:5" s="421" customFormat="1" x14ac:dyDescent="0.2">
      <c r="A240" s="588">
        <v>2</v>
      </c>
      <c r="B240" s="587" t="s">
        <v>634</v>
      </c>
      <c r="C240" s="636">
        <f t="shared" si="28"/>
        <v>6535.9258967460328</v>
      </c>
      <c r="D240" s="636">
        <f t="shared" si="28"/>
        <v>7001.320416549228</v>
      </c>
      <c r="E240" s="638">
        <f t="shared" si="29"/>
        <v>465.39451980319518</v>
      </c>
    </row>
    <row r="241" spans="1:5" x14ac:dyDescent="0.2">
      <c r="A241" s="588">
        <v>3</v>
      </c>
      <c r="B241" s="587" t="s">
        <v>776</v>
      </c>
      <c r="C241" s="636">
        <f t="shared" si="28"/>
        <v>3518.6247842252337</v>
      </c>
      <c r="D241" s="636">
        <f t="shared" si="28"/>
        <v>4227.5932366460502</v>
      </c>
      <c r="E241" s="638">
        <f t="shared" si="29"/>
        <v>708.96845242081645</v>
      </c>
    </row>
    <row r="242" spans="1:5" x14ac:dyDescent="0.2">
      <c r="A242" s="588">
        <v>4</v>
      </c>
      <c r="B242" s="587" t="s">
        <v>115</v>
      </c>
      <c r="C242" s="636">
        <f t="shared" si="28"/>
        <v>3518.6247842252337</v>
      </c>
      <c r="D242" s="636">
        <f t="shared" si="28"/>
        <v>4227.5932366460502</v>
      </c>
      <c r="E242" s="638">
        <f t="shared" si="29"/>
        <v>708.96845242081645</v>
      </c>
    </row>
    <row r="243" spans="1:5" x14ac:dyDescent="0.2">
      <c r="A243" s="588">
        <v>5</v>
      </c>
      <c r="B243" s="587" t="s">
        <v>742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0</v>
      </c>
      <c r="D244" s="636">
        <f t="shared" si="28"/>
        <v>6135.4673733347036</v>
      </c>
      <c r="E244" s="638">
        <f t="shared" si="29"/>
        <v>6135.4673733347036</v>
      </c>
    </row>
    <row r="245" spans="1:5" x14ac:dyDescent="0.2">
      <c r="A245" s="588">
        <v>7</v>
      </c>
      <c r="B245" s="587" t="s">
        <v>757</v>
      </c>
      <c r="C245" s="636">
        <f t="shared" si="28"/>
        <v>2820.1924063981942</v>
      </c>
      <c r="D245" s="636">
        <f t="shared" si="28"/>
        <v>1053.7442329912262</v>
      </c>
      <c r="E245" s="638">
        <f t="shared" si="29"/>
        <v>-1766.448173406968</v>
      </c>
    </row>
    <row r="246" spans="1:5" ht="25.5" x14ac:dyDescent="0.2">
      <c r="A246" s="588"/>
      <c r="B246" s="592" t="s">
        <v>830</v>
      </c>
      <c r="C246" s="637">
        <f t="shared" si="28"/>
        <v>4983.8725597102266</v>
      </c>
      <c r="D246" s="637">
        <f t="shared" si="28"/>
        <v>5656.9816422565154</v>
      </c>
      <c r="E246" s="639">
        <f t="shared" si="29"/>
        <v>673.10908254628885</v>
      </c>
    </row>
    <row r="247" spans="1:5" x14ac:dyDescent="0.2">
      <c r="A247" s="588"/>
      <c r="B247" s="592" t="s">
        <v>831</v>
      </c>
      <c r="C247" s="637">
        <f t="shared" si="28"/>
        <v>6589.4154352554906</v>
      </c>
      <c r="D247" s="637">
        <f t="shared" si="28"/>
        <v>7313.0132802269145</v>
      </c>
      <c r="E247" s="639">
        <f t="shared" si="29"/>
        <v>723.59784497142391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759</v>
      </c>
      <c r="B249" s="626" t="s">
        <v>756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7098397.4072465906</v>
      </c>
      <c r="D251" s="622">
        <f>((IF((IF(D15=0,0,D26/D15)*D138)=0,0,D59/(IF(D15=0,0,D26/D15)*D138)))-(IF((IF(D17=0,0,D28/D17)*D140)=0,0,D61/(IF(D17=0,0,D28/D17)*D140))))*(IF(D17=0,0,D28/D17)*D140)</f>
        <v>7017228.6879158812</v>
      </c>
      <c r="E251" s="622">
        <f>D251-C251</f>
        <v>-81168.719330709428</v>
      </c>
    </row>
    <row r="252" spans="1:5" x14ac:dyDescent="0.2">
      <c r="A252" s="588">
        <v>2</v>
      </c>
      <c r="B252" s="587" t="s">
        <v>742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757</v>
      </c>
      <c r="C253" s="622">
        <f>IF(C233=0,0,(C228-C233)*C209+IF(C221=0,0,(C240-C245)*C221))</f>
        <v>819546.13081086148</v>
      </c>
      <c r="D253" s="622">
        <f>IF(D233=0,0,(D228-D233)*D209+IF(D221=0,0,(D240-D245)*D221))</f>
        <v>2291195.4600274269</v>
      </c>
      <c r="E253" s="622">
        <f>D253-C253</f>
        <v>1471649.3292165655</v>
      </c>
    </row>
    <row r="254" spans="1:5" ht="15" customHeight="1" x14ac:dyDescent="0.2">
      <c r="A254" s="588"/>
      <c r="B254" s="592" t="s">
        <v>758</v>
      </c>
      <c r="C254" s="640">
        <f>+C251+C252+C253</f>
        <v>7917943.5380574521</v>
      </c>
      <c r="D254" s="640">
        <f>+D251+D252+D253</f>
        <v>9308424.1479433086</v>
      </c>
      <c r="E254" s="640">
        <f>D254-C254</f>
        <v>1390480.6098858565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832</v>
      </c>
      <c r="B256" s="626" t="s">
        <v>833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724</v>
      </c>
      <c r="C258" s="622">
        <f>+C44</f>
        <v>443697091</v>
      </c>
      <c r="D258" s="625">
        <f>+D44</f>
        <v>482918974</v>
      </c>
      <c r="E258" s="622">
        <f t="shared" ref="E258:E271" si="30">D258-C258</f>
        <v>39221883</v>
      </c>
    </row>
    <row r="259" spans="1:5" x14ac:dyDescent="0.2">
      <c r="A259" s="588">
        <v>2</v>
      </c>
      <c r="B259" s="587" t="s">
        <v>741</v>
      </c>
      <c r="C259" s="622">
        <f>+(C43-C76)</f>
        <v>206158832</v>
      </c>
      <c r="D259" s="625">
        <f>+(D43-D76)</f>
        <v>229309543</v>
      </c>
      <c r="E259" s="622">
        <f t="shared" si="30"/>
        <v>23150711</v>
      </c>
    </row>
    <row r="260" spans="1:5" x14ac:dyDescent="0.2">
      <c r="A260" s="588">
        <v>3</v>
      </c>
      <c r="B260" s="587" t="s">
        <v>745</v>
      </c>
      <c r="C260" s="622">
        <f>C195</f>
        <v>7223157</v>
      </c>
      <c r="D260" s="622">
        <f>D195</f>
        <v>4839534</v>
      </c>
      <c r="E260" s="622">
        <f t="shared" si="30"/>
        <v>-2383623</v>
      </c>
    </row>
    <row r="261" spans="1:5" x14ac:dyDescent="0.2">
      <c r="A261" s="588">
        <v>4</v>
      </c>
      <c r="B261" s="587" t="s">
        <v>746</v>
      </c>
      <c r="C261" s="622">
        <f>C188</f>
        <v>103918922</v>
      </c>
      <c r="D261" s="622">
        <f>D188</f>
        <v>109719783</v>
      </c>
      <c r="E261" s="622">
        <f t="shared" si="30"/>
        <v>5800861</v>
      </c>
    </row>
    <row r="262" spans="1:5" x14ac:dyDescent="0.2">
      <c r="A262" s="588">
        <v>5</v>
      </c>
      <c r="B262" s="587" t="s">
        <v>747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748</v>
      </c>
      <c r="C263" s="622">
        <f>+C259+C260+C261+C262</f>
        <v>317300911</v>
      </c>
      <c r="D263" s="622">
        <f>+D259+D260+D261+D262</f>
        <v>343868860</v>
      </c>
      <c r="E263" s="622">
        <f t="shared" si="30"/>
        <v>26567949</v>
      </c>
    </row>
    <row r="264" spans="1:5" x14ac:dyDescent="0.2">
      <c r="A264" s="588">
        <v>7</v>
      </c>
      <c r="B264" s="587" t="s">
        <v>653</v>
      </c>
      <c r="C264" s="622">
        <f>+C258-C263</f>
        <v>126396180</v>
      </c>
      <c r="D264" s="622">
        <f>+D258-D263</f>
        <v>139050114</v>
      </c>
      <c r="E264" s="622">
        <f t="shared" si="30"/>
        <v>12653934</v>
      </c>
    </row>
    <row r="265" spans="1:5" x14ac:dyDescent="0.2">
      <c r="A265" s="588">
        <v>8</v>
      </c>
      <c r="B265" s="587" t="s">
        <v>834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835</v>
      </c>
      <c r="C266" s="622">
        <f>+C264+C265</f>
        <v>126396180</v>
      </c>
      <c r="D266" s="622">
        <f>+D264+D265</f>
        <v>139050114</v>
      </c>
      <c r="E266" s="641">
        <f t="shared" si="30"/>
        <v>12653934</v>
      </c>
    </row>
    <row r="267" spans="1:5" x14ac:dyDescent="0.2">
      <c r="A267" s="588">
        <v>10</v>
      </c>
      <c r="B267" s="587" t="s">
        <v>836</v>
      </c>
      <c r="C267" s="642">
        <f>IF(C258=0,0,C266/C258)</f>
        <v>0.28487042751425207</v>
      </c>
      <c r="D267" s="642">
        <f>IF(D258=0,0,D266/D258)</f>
        <v>0.28793673780976764</v>
      </c>
      <c r="E267" s="643">
        <f t="shared" si="30"/>
        <v>3.066310295515573E-3</v>
      </c>
    </row>
    <row r="268" spans="1:5" x14ac:dyDescent="0.2">
      <c r="A268" s="588">
        <v>11</v>
      </c>
      <c r="B268" s="587" t="s">
        <v>715</v>
      </c>
      <c r="C268" s="622">
        <f>+C260*C267</f>
        <v>2057663.8225925625</v>
      </c>
      <c r="D268" s="644">
        <f>+D260*D267</f>
        <v>1393479.632479456</v>
      </c>
      <c r="E268" s="622">
        <f t="shared" si="30"/>
        <v>-664184.19011310651</v>
      </c>
    </row>
    <row r="269" spans="1:5" x14ac:dyDescent="0.2">
      <c r="A269" s="588">
        <v>12</v>
      </c>
      <c r="B269" s="587" t="s">
        <v>837</v>
      </c>
      <c r="C269" s="622">
        <f>((C17+C18+C28+C29)*C267)-(C50+C51+C61+C62)</f>
        <v>8096545.0180877745</v>
      </c>
      <c r="D269" s="644">
        <f>((D17+D18+D28+D29)*D267)-(D50+D51+D61+D62)</f>
        <v>7783088.2677636966</v>
      </c>
      <c r="E269" s="622">
        <f t="shared" si="30"/>
        <v>-313456.7503240779</v>
      </c>
    </row>
    <row r="270" spans="1:5" s="648" customFormat="1" x14ac:dyDescent="0.2">
      <c r="A270" s="645">
        <v>13</v>
      </c>
      <c r="B270" s="646" t="s">
        <v>838</v>
      </c>
      <c r="C270" s="647">
        <v>0</v>
      </c>
      <c r="D270" s="647">
        <v>0</v>
      </c>
      <c r="E270" s="622">
        <f t="shared" si="30"/>
        <v>0</v>
      </c>
    </row>
    <row r="271" spans="1:5" ht="25.5" x14ac:dyDescent="0.2">
      <c r="A271" s="588">
        <v>14</v>
      </c>
      <c r="B271" s="587" t="s">
        <v>839</v>
      </c>
      <c r="C271" s="622">
        <f>+C268+C269+C270</f>
        <v>10154208.840680337</v>
      </c>
      <c r="D271" s="622">
        <f>+D268+D269+D270</f>
        <v>9176567.9002431519</v>
      </c>
      <c r="E271" s="625">
        <f t="shared" si="30"/>
        <v>-977640.94043718465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840</v>
      </c>
      <c r="B273" s="626" t="s">
        <v>841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842</v>
      </c>
      <c r="C275" s="425"/>
      <c r="D275" s="425"/>
      <c r="E275" s="596"/>
    </row>
    <row r="276" spans="1:5" x14ac:dyDescent="0.2">
      <c r="A276" s="588">
        <v>1</v>
      </c>
      <c r="B276" s="587" t="s">
        <v>655</v>
      </c>
      <c r="C276" s="623">
        <f t="shared" ref="C276:D284" si="31">IF(C14=0,0,+C47/C14)</f>
        <v>0.39100019624494098</v>
      </c>
      <c r="D276" s="623">
        <f t="shared" si="31"/>
        <v>0.40060838247979685</v>
      </c>
      <c r="E276" s="650">
        <f t="shared" ref="E276:E284" si="32">D276-C276</f>
        <v>9.6081862348558755E-3</v>
      </c>
    </row>
    <row r="277" spans="1:5" x14ac:dyDescent="0.2">
      <c r="A277" s="588">
        <v>2</v>
      </c>
      <c r="B277" s="587" t="s">
        <v>634</v>
      </c>
      <c r="C277" s="623">
        <f t="shared" si="31"/>
        <v>0.30290154413670106</v>
      </c>
      <c r="D277" s="623">
        <f t="shared" si="31"/>
        <v>0.30061400506992192</v>
      </c>
      <c r="E277" s="650">
        <f t="shared" si="32"/>
        <v>-2.2875390667791429E-3</v>
      </c>
    </row>
    <row r="278" spans="1:5" x14ac:dyDescent="0.2">
      <c r="A278" s="588">
        <v>3</v>
      </c>
      <c r="B278" s="587" t="s">
        <v>776</v>
      </c>
      <c r="C278" s="623">
        <f t="shared" si="31"/>
        <v>0.16047022995610485</v>
      </c>
      <c r="D278" s="623">
        <f t="shared" si="31"/>
        <v>0.23182282077651628</v>
      </c>
      <c r="E278" s="650">
        <f t="shared" si="32"/>
        <v>7.1352590820411427E-2</v>
      </c>
    </row>
    <row r="279" spans="1:5" x14ac:dyDescent="0.2">
      <c r="A279" s="588">
        <v>4</v>
      </c>
      <c r="B279" s="587" t="s">
        <v>115</v>
      </c>
      <c r="C279" s="623">
        <f t="shared" si="31"/>
        <v>0.16047022995610485</v>
      </c>
      <c r="D279" s="623">
        <f t="shared" si="31"/>
        <v>0.23182282077651628</v>
      </c>
      <c r="E279" s="650">
        <f t="shared" si="32"/>
        <v>7.1352590820411427E-2</v>
      </c>
    </row>
    <row r="280" spans="1:5" x14ac:dyDescent="0.2">
      <c r="A280" s="588">
        <v>5</v>
      </c>
      <c r="B280" s="587" t="s">
        <v>742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0.2634614514011499</v>
      </c>
      <c r="D281" s="623">
        <f t="shared" si="31"/>
        <v>0.34310469831097107</v>
      </c>
      <c r="E281" s="650">
        <f t="shared" si="32"/>
        <v>7.9643246909821164E-2</v>
      </c>
    </row>
    <row r="282" spans="1:5" x14ac:dyDescent="0.2">
      <c r="A282" s="588">
        <v>7</v>
      </c>
      <c r="B282" s="587" t="s">
        <v>757</v>
      </c>
      <c r="C282" s="623">
        <f t="shared" si="31"/>
        <v>0.19294982429093668</v>
      </c>
      <c r="D282" s="623">
        <f t="shared" si="31"/>
        <v>0.55777269236518068</v>
      </c>
      <c r="E282" s="650">
        <f t="shared" si="32"/>
        <v>0.36482286807424402</v>
      </c>
    </row>
    <row r="283" spans="1:5" ht="29.25" customHeight="1" x14ac:dyDescent="0.2">
      <c r="A283" s="588"/>
      <c r="B283" s="592" t="s">
        <v>843</v>
      </c>
      <c r="C283" s="651">
        <f t="shared" si="31"/>
        <v>0.27690468917505479</v>
      </c>
      <c r="D283" s="651">
        <f t="shared" si="31"/>
        <v>0.28562362820017623</v>
      </c>
      <c r="E283" s="652">
        <f t="shared" si="32"/>
        <v>8.7189390251214416E-3</v>
      </c>
    </row>
    <row r="284" spans="1:5" x14ac:dyDescent="0.2">
      <c r="A284" s="588"/>
      <c r="B284" s="592" t="s">
        <v>844</v>
      </c>
      <c r="C284" s="651">
        <f t="shared" si="31"/>
        <v>0.30912476793282545</v>
      </c>
      <c r="D284" s="651">
        <f t="shared" si="31"/>
        <v>0.31760752998130004</v>
      </c>
      <c r="E284" s="652">
        <f t="shared" si="32"/>
        <v>8.4827620484745903E-3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845</v>
      </c>
      <c r="C286" s="596"/>
      <c r="D286" s="596"/>
      <c r="E286" s="596"/>
    </row>
    <row r="287" spans="1:5" x14ac:dyDescent="0.2">
      <c r="A287" s="588">
        <v>1</v>
      </c>
      <c r="B287" s="587" t="s">
        <v>655</v>
      </c>
      <c r="C287" s="623">
        <f t="shared" ref="C287:D295" si="33">IF(C25=0,0,+C58/C25)</f>
        <v>0.34854444416941455</v>
      </c>
      <c r="D287" s="623">
        <f t="shared" si="33"/>
        <v>0.35513137018416252</v>
      </c>
      <c r="E287" s="650">
        <f t="shared" ref="E287:E295" si="34">D287-C287</f>
        <v>6.5869260147479736E-3</v>
      </c>
    </row>
    <row r="288" spans="1:5" x14ac:dyDescent="0.2">
      <c r="A288" s="588">
        <v>2</v>
      </c>
      <c r="B288" s="587" t="s">
        <v>634</v>
      </c>
      <c r="C288" s="623">
        <f t="shared" si="33"/>
        <v>0.19519045330107759</v>
      </c>
      <c r="D288" s="623">
        <f t="shared" si="33"/>
        <v>0.1984771144803901</v>
      </c>
      <c r="E288" s="650">
        <f t="shared" si="34"/>
        <v>3.2866611793125056E-3</v>
      </c>
    </row>
    <row r="289" spans="1:5" x14ac:dyDescent="0.2">
      <c r="A289" s="588">
        <v>3</v>
      </c>
      <c r="B289" s="587" t="s">
        <v>776</v>
      </c>
      <c r="C289" s="623">
        <f t="shared" si="33"/>
        <v>0.17916432415784125</v>
      </c>
      <c r="D289" s="623">
        <f t="shared" si="33"/>
        <v>0.18483691733483718</v>
      </c>
      <c r="E289" s="650">
        <f t="shared" si="34"/>
        <v>5.6725931769959215E-3</v>
      </c>
    </row>
    <row r="290" spans="1:5" x14ac:dyDescent="0.2">
      <c r="A290" s="588">
        <v>4</v>
      </c>
      <c r="B290" s="587" t="s">
        <v>115</v>
      </c>
      <c r="C290" s="623">
        <f t="shared" si="33"/>
        <v>0.17916432415784125</v>
      </c>
      <c r="D290" s="623">
        <f t="shared" si="33"/>
        <v>0.18483691733483718</v>
      </c>
      <c r="E290" s="650">
        <f t="shared" si="34"/>
        <v>5.6725931769959215E-3</v>
      </c>
    </row>
    <row r="291" spans="1:5" x14ac:dyDescent="0.2">
      <c r="A291" s="588">
        <v>5</v>
      </c>
      <c r="B291" s="587" t="s">
        <v>742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</v>
      </c>
      <c r="D292" s="623">
        <f t="shared" si="33"/>
        <v>0.21967105104088591</v>
      </c>
      <c r="E292" s="650">
        <f t="shared" si="34"/>
        <v>0.21967105104088591</v>
      </c>
    </row>
    <row r="293" spans="1:5" x14ac:dyDescent="0.2">
      <c r="A293" s="588">
        <v>7</v>
      </c>
      <c r="B293" s="587" t="s">
        <v>757</v>
      </c>
      <c r="C293" s="623">
        <f t="shared" si="33"/>
        <v>0.11776970815240262</v>
      </c>
      <c r="D293" s="623">
        <f t="shared" si="33"/>
        <v>0.10998057261439514</v>
      </c>
      <c r="E293" s="650">
        <f t="shared" si="34"/>
        <v>-7.7891355380074745E-3</v>
      </c>
    </row>
    <row r="294" spans="1:5" ht="29.25" customHeight="1" x14ac:dyDescent="0.2">
      <c r="A294" s="588"/>
      <c r="B294" s="592" t="s">
        <v>846</v>
      </c>
      <c r="C294" s="651">
        <f t="shared" si="33"/>
        <v>0.18836846031255552</v>
      </c>
      <c r="D294" s="651">
        <f t="shared" si="33"/>
        <v>0.19336210417842595</v>
      </c>
      <c r="E294" s="652">
        <f t="shared" si="34"/>
        <v>4.993643865870423E-3</v>
      </c>
    </row>
    <row r="295" spans="1:5" x14ac:dyDescent="0.2">
      <c r="A295" s="588"/>
      <c r="B295" s="592" t="s">
        <v>847</v>
      </c>
      <c r="C295" s="651">
        <f t="shared" si="33"/>
        <v>0.26543017403644331</v>
      </c>
      <c r="D295" s="651">
        <f t="shared" si="33"/>
        <v>0.26596604286398962</v>
      </c>
      <c r="E295" s="652">
        <f t="shared" si="34"/>
        <v>5.3586882754630416E-4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848</v>
      </c>
      <c r="B297" s="579" t="s">
        <v>849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850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653</v>
      </c>
      <c r="C301" s="590">
        <f>+C48+C47+C50+C51+C52+C59+C58+C61+C62+C63</f>
        <v>126396180</v>
      </c>
      <c r="D301" s="590">
        <f>+D48+D47+D50+D51+D52+D59+D58+D61+D62+D63</f>
        <v>139050114</v>
      </c>
      <c r="E301" s="590">
        <f>D301-C301</f>
        <v>12653934</v>
      </c>
    </row>
    <row r="302" spans="1:5" ht="25.5" x14ac:dyDescent="0.2">
      <c r="A302" s="588">
        <v>2</v>
      </c>
      <c r="B302" s="587" t="s">
        <v>851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852</v>
      </c>
      <c r="C303" s="593">
        <f>+C301+C302</f>
        <v>126396180</v>
      </c>
      <c r="D303" s="593">
        <f>+D301+D302</f>
        <v>139050114</v>
      </c>
      <c r="E303" s="593">
        <f>D303-C303</f>
        <v>12653934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853</v>
      </c>
      <c r="C305" s="589">
        <v>-590359</v>
      </c>
      <c r="D305" s="654">
        <v>-3152120</v>
      </c>
      <c r="E305" s="655">
        <f>D305-C305</f>
        <v>-2561761</v>
      </c>
    </row>
    <row r="306" spans="1:5" x14ac:dyDescent="0.2">
      <c r="A306" s="588">
        <v>4</v>
      </c>
      <c r="B306" s="592" t="s">
        <v>854</v>
      </c>
      <c r="C306" s="593">
        <f>+C303+C305+C194+C190-C191</f>
        <v>128179239</v>
      </c>
      <c r="D306" s="593">
        <f>+D303+D305</f>
        <v>135897994</v>
      </c>
      <c r="E306" s="656">
        <f>D306-C306</f>
        <v>7718755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855</v>
      </c>
      <c r="C308" s="589">
        <v>125805820</v>
      </c>
      <c r="D308" s="589">
        <v>135897993</v>
      </c>
      <c r="E308" s="590">
        <f>D308-C308</f>
        <v>10092173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856</v>
      </c>
      <c r="C310" s="657">
        <f>C306-C308</f>
        <v>2373419</v>
      </c>
      <c r="D310" s="658">
        <f>D306-D308</f>
        <v>1</v>
      </c>
      <c r="E310" s="656">
        <f>D310-C310</f>
        <v>-2373418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857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858</v>
      </c>
      <c r="C314" s="590">
        <f>+C14+C15+C16+C19+C25+C26+C27+C30</f>
        <v>443697091</v>
      </c>
      <c r="D314" s="590">
        <f>+D14+D15+D16+D19+D25+D26+D27+D30</f>
        <v>482918974</v>
      </c>
      <c r="E314" s="590">
        <f>D314-C314</f>
        <v>39221883</v>
      </c>
    </row>
    <row r="315" spans="1:5" x14ac:dyDescent="0.2">
      <c r="A315" s="588">
        <v>2</v>
      </c>
      <c r="B315" s="659" t="s">
        <v>859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860</v>
      </c>
      <c r="C316" s="657">
        <f>C314+C315</f>
        <v>443697091</v>
      </c>
      <c r="D316" s="657">
        <f>D314+D315</f>
        <v>482918974</v>
      </c>
      <c r="E316" s="593">
        <f>D316-C316</f>
        <v>39221883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861</v>
      </c>
      <c r="C318" s="589">
        <v>443697092</v>
      </c>
      <c r="D318" s="589">
        <v>482918974</v>
      </c>
      <c r="E318" s="590">
        <f>D318-C318</f>
        <v>39221882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856</v>
      </c>
      <c r="C320" s="657">
        <f>C316-C318</f>
        <v>-1</v>
      </c>
      <c r="D320" s="657">
        <f>D316-D318</f>
        <v>0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862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863</v>
      </c>
      <c r="C324" s="589">
        <f>+C193+C194</f>
        <v>7223157</v>
      </c>
      <c r="D324" s="589">
        <f>+D193+D194</f>
        <v>4839534</v>
      </c>
      <c r="E324" s="590">
        <f>D324-C324</f>
        <v>-2383623</v>
      </c>
    </row>
    <row r="325" spans="1:5" x14ac:dyDescent="0.2">
      <c r="A325" s="588">
        <v>2</v>
      </c>
      <c r="B325" s="587" t="s">
        <v>864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865</v>
      </c>
      <c r="C326" s="657">
        <f>C324+C325</f>
        <v>7223157</v>
      </c>
      <c r="D326" s="657">
        <f>D324+D325</f>
        <v>4839534</v>
      </c>
      <c r="E326" s="593">
        <f>D326-C326</f>
        <v>-2383623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866</v>
      </c>
      <c r="C328" s="589">
        <v>7223157</v>
      </c>
      <c r="D328" s="589">
        <v>4839534</v>
      </c>
      <c r="E328" s="590">
        <f>D328-C328</f>
        <v>-2383623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867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66" fitToHeight="0" orientation="portrait" horizontalDpi="1200" verticalDpi="1200" r:id="rId1"/>
  <headerFooter>
    <oddHeader>_x000D_
                &amp;LOFFICE OF HEALTH CARE ACCESS&amp;CTWELVE MONTHS ACTUAL FILING&amp;RGRIFFIN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628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868</v>
      </c>
      <c r="B5" s="824"/>
      <c r="C5" s="825"/>
      <c r="D5" s="661"/>
    </row>
    <row r="6" spans="1:58" s="662" customFormat="1" ht="15.75" customHeight="1" x14ac:dyDescent="0.25">
      <c r="A6" s="823" t="s">
        <v>869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870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871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775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655</v>
      </c>
      <c r="C14" s="589">
        <v>57149246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634</v>
      </c>
      <c r="C15" s="591">
        <v>115808490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776</v>
      </c>
      <c r="C16" s="591">
        <v>32386777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32386777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742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111721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757</v>
      </c>
      <c r="C20" s="591">
        <v>776076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777</v>
      </c>
      <c r="C21" s="593">
        <f>SUM(C15+C16+C19)</f>
        <v>148306988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205456234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778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655</v>
      </c>
      <c r="C25" s="589">
        <v>124528523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634</v>
      </c>
      <c r="C26" s="591">
        <v>94739623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776</v>
      </c>
      <c r="C27" s="591">
        <v>57863722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57863722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742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330872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757</v>
      </c>
      <c r="C31" s="594">
        <v>3495581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779</v>
      </c>
      <c r="C32" s="593">
        <f>SUM(C26+C27+C30)</f>
        <v>152934217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277462740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652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872</v>
      </c>
      <c r="C36" s="590">
        <f>SUM(C14+C25)</f>
        <v>181677769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873</v>
      </c>
      <c r="C37" s="594">
        <f>SUM(C21+C32)</f>
        <v>301241205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652</v>
      </c>
      <c r="C38" s="593">
        <f>SUM(+C36+C37)</f>
        <v>482918974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788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655</v>
      </c>
      <c r="C41" s="589">
        <v>22894467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634</v>
      </c>
      <c r="C42" s="591">
        <v>34813654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776</v>
      </c>
      <c r="C43" s="591">
        <v>7507994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7507994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742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38332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757</v>
      </c>
      <c r="C47" s="591">
        <v>432874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789</v>
      </c>
      <c r="C48" s="593">
        <f>SUM(C42+C43+C46)</f>
        <v>42359980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65254447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790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655</v>
      </c>
      <c r="C52" s="589">
        <v>44223985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634</v>
      </c>
      <c r="C53" s="591">
        <v>18803647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776</v>
      </c>
      <c r="C54" s="591">
        <v>10695352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10695352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742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72683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757</v>
      </c>
      <c r="C58" s="591">
        <v>384446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791</v>
      </c>
      <c r="C59" s="593">
        <f>SUM(C53+C54+C57)</f>
        <v>29571682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73795667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653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874</v>
      </c>
      <c r="C63" s="590">
        <f>SUM(C41+C52)</f>
        <v>67118452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875</v>
      </c>
      <c r="C64" s="594">
        <f>SUM(C48+C59)</f>
        <v>71931662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653</v>
      </c>
      <c r="C65" s="593">
        <f>SUM(+C63+C64)</f>
        <v>139050114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876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877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655</v>
      </c>
      <c r="C70" s="606">
        <v>2232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634</v>
      </c>
      <c r="C71" s="606">
        <v>3283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776</v>
      </c>
      <c r="C72" s="606">
        <v>1416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1416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742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4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757</v>
      </c>
      <c r="C76" s="621">
        <v>81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806</v>
      </c>
      <c r="C77" s="608">
        <f>SUM(C71+C72+C75)</f>
        <v>4703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6935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810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655</v>
      </c>
      <c r="C81" s="617">
        <v>1.0301499999999999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634</v>
      </c>
      <c r="C82" s="617">
        <v>1.32358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776</v>
      </c>
      <c r="C83" s="617">
        <f>((C73*C84)+(C74*C85))/(C73+C74)</f>
        <v>0.84899000000000002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0.84899000000000002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742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1.24465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757</v>
      </c>
      <c r="C87" s="617">
        <v>0.85394000000000003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811</v>
      </c>
      <c r="C88" s="619">
        <f>((C71*C82)+(C73*C84)+(C74*C85)+(C75*C86))/(C71+C73+C74+C75)</f>
        <v>1.1806212162449503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722</v>
      </c>
      <c r="C89" s="619">
        <f>((C70*C81)+(C71*C82)+(C73*C84)+(C74*C85)+(C75*C86))/(C70+C71+C73+C74+C75)</f>
        <v>1.1321927007930788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812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813</v>
      </c>
      <c r="C92" s="589">
        <v>177406112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814</v>
      </c>
      <c r="C93" s="622">
        <v>67686329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667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746</v>
      </c>
      <c r="C95" s="589">
        <f>+C92-C93</f>
        <v>109719783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669</v>
      </c>
      <c r="C96" s="681">
        <f>(+C92-C93)/C92</f>
        <v>0.61846675834934028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761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747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878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816</v>
      </c>
      <c r="C103" s="589">
        <v>3784978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817</v>
      </c>
      <c r="C104" s="589">
        <v>1054556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818</v>
      </c>
      <c r="C105" s="654">
        <f>+C103+C104</f>
        <v>4839534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819</v>
      </c>
      <c r="C107" s="589">
        <v>3270624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709</v>
      </c>
      <c r="C108" s="589">
        <v>130275487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849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850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653</v>
      </c>
      <c r="C114" s="590">
        <f>+C65</f>
        <v>139050114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851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852</v>
      </c>
      <c r="C116" s="593">
        <f>+C114+C115</f>
        <v>139050114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853</v>
      </c>
      <c r="C118" s="654">
        <v>-3152120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854</v>
      </c>
      <c r="C119" s="656">
        <f>+C116+C118</f>
        <v>135897994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855</v>
      </c>
      <c r="C121" s="589">
        <v>135897993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856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857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858</v>
      </c>
      <c r="C127" s="590">
        <f>C38</f>
        <v>482918974</v>
      </c>
      <c r="D127" s="664"/>
      <c r="AR127" s="485"/>
    </row>
    <row r="128" spans="1:58" s="421" customFormat="1" ht="12.75" x14ac:dyDescent="0.2">
      <c r="A128" s="588">
        <v>2</v>
      </c>
      <c r="B128" s="659" t="s">
        <v>859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860</v>
      </c>
      <c r="C129" s="657">
        <f>C127+C128</f>
        <v>482918974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861</v>
      </c>
      <c r="C131" s="589">
        <v>482918974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856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862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863</v>
      </c>
      <c r="C137" s="589">
        <f>C105</f>
        <v>4839534</v>
      </c>
      <c r="D137" s="664"/>
      <c r="AR137" s="485"/>
    </row>
    <row r="138" spans="1:44" s="421" customFormat="1" ht="12.75" x14ac:dyDescent="0.2">
      <c r="A138" s="588">
        <v>2</v>
      </c>
      <c r="B138" s="669" t="s">
        <v>879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865</v>
      </c>
      <c r="C139" s="657">
        <f>C137+C138</f>
        <v>4839534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880</v>
      </c>
      <c r="C141" s="589">
        <v>4839534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867</v>
      </c>
      <c r="C143" s="657">
        <f>C139-C141</f>
        <v>0</v>
      </c>
      <c r="D143" s="664"/>
      <c r="AR143" s="485"/>
    </row>
  </sheetData>
  <mergeCells count="6">
    <mergeCell ref="A2:C2"/>
    <mergeCell ref="A3:C3"/>
    <mergeCell ref="A4:C4"/>
    <mergeCell ref="A5:C5"/>
    <mergeCell ref="A6:C6"/>
    <mergeCell ref="A7:C7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FILING&amp;RGRIFFIN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6"/>
      <c r="B1" s="827"/>
      <c r="C1" s="827"/>
      <c r="D1" s="827"/>
      <c r="E1" s="827"/>
      <c r="F1" s="82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881</v>
      </c>
      <c r="B5" s="830"/>
      <c r="C5" s="830"/>
      <c r="D5" s="830"/>
      <c r="E5" s="830"/>
      <c r="F5" s="831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631</v>
      </c>
      <c r="D8" s="177" t="s">
        <v>631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882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883</v>
      </c>
      <c r="C12" s="185">
        <v>307</v>
      </c>
      <c r="D12" s="185">
        <v>278</v>
      </c>
      <c r="E12" s="185">
        <f>+D12-C12</f>
        <v>-29</v>
      </c>
      <c r="F12" s="77">
        <f>IF(C12=0,0,+E12/C12)</f>
        <v>-9.4462540716612378E-2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884</v>
      </c>
      <c r="C13" s="185">
        <v>248</v>
      </c>
      <c r="D13" s="185">
        <v>206</v>
      </c>
      <c r="E13" s="185">
        <f>+D13-C13</f>
        <v>-42</v>
      </c>
      <c r="F13" s="77">
        <f>IF(C13=0,0,+E13/C13)</f>
        <v>-0.16935483870967741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885</v>
      </c>
      <c r="C15" s="76">
        <v>4849739</v>
      </c>
      <c r="D15" s="76">
        <v>3784978</v>
      </c>
      <c r="E15" s="76">
        <f>+D15-C15</f>
        <v>-1064761</v>
      </c>
      <c r="F15" s="77">
        <f>IF(C15=0,0,+E15/C15)</f>
        <v>-0.21955016548313219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886</v>
      </c>
      <c r="C16" s="79">
        <f>IF(C13=0,0,+C15/+C13)</f>
        <v>19555.399193548386</v>
      </c>
      <c r="D16" s="79">
        <f>IF(D13=0,0,+D15/+D13)</f>
        <v>18373.679611650485</v>
      </c>
      <c r="E16" s="79">
        <f>+D16-C16</f>
        <v>-1181.7195818979017</v>
      </c>
      <c r="F16" s="80">
        <f>IF(C16=0,0,+E16/C16)</f>
        <v>-6.0429325436003795E-2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887</v>
      </c>
      <c r="C18" s="704">
        <v>0.304705</v>
      </c>
      <c r="D18" s="704">
        <v>0.28476699999999999</v>
      </c>
      <c r="E18" s="704">
        <f>+D18-C18</f>
        <v>-1.9938000000000011E-2</v>
      </c>
      <c r="F18" s="77">
        <f>IF(C18=0,0,+E18/C18)</f>
        <v>-6.5433780213649304E-2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888</v>
      </c>
      <c r="C19" s="79">
        <f>+C15*C18</f>
        <v>1477739.721995</v>
      </c>
      <c r="D19" s="79">
        <f>+D15*D18</f>
        <v>1077836.8301259999</v>
      </c>
      <c r="E19" s="79">
        <f>+D19-C19</f>
        <v>-399902.89186900016</v>
      </c>
      <c r="F19" s="80">
        <f>IF(C19=0,0,+E19/C19)</f>
        <v>-0.27061794842268794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889</v>
      </c>
      <c r="C20" s="79">
        <f>IF(C13=0,0,+C19/C13)</f>
        <v>5958.6279112701613</v>
      </c>
      <c r="D20" s="79">
        <f>IF(D13=0,0,+D19/D13)</f>
        <v>5232.2176219708736</v>
      </c>
      <c r="E20" s="79">
        <f>+D20-C20</f>
        <v>-726.4102892992878</v>
      </c>
      <c r="F20" s="80">
        <f>IF(C20=0,0,+E20/C20)</f>
        <v>-0.12190898645061456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890</v>
      </c>
      <c r="C22" s="76">
        <v>1309816</v>
      </c>
      <c r="D22" s="76">
        <v>879676</v>
      </c>
      <c r="E22" s="76">
        <f>+D22-C22</f>
        <v>-430140</v>
      </c>
      <c r="F22" s="77">
        <f>IF(C22=0,0,+E22/C22)</f>
        <v>-0.32839727106708116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891</v>
      </c>
      <c r="C23" s="185">
        <v>2466587</v>
      </c>
      <c r="D23" s="185">
        <v>1164329</v>
      </c>
      <c r="E23" s="185">
        <f>+D23-C23</f>
        <v>-1302258</v>
      </c>
      <c r="F23" s="77">
        <f>IF(C23=0,0,+E23/C23)</f>
        <v>-0.52795948409685123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892</v>
      </c>
      <c r="C24" s="185">
        <v>1073336</v>
      </c>
      <c r="D24" s="185">
        <v>1740973</v>
      </c>
      <c r="E24" s="185">
        <f>+D24-C24</f>
        <v>667637</v>
      </c>
      <c r="F24" s="77">
        <f>IF(C24=0,0,+E24/C24)</f>
        <v>0.62202050429688371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893</v>
      </c>
      <c r="C25" s="79">
        <f>+C22+C23+C24</f>
        <v>4849739</v>
      </c>
      <c r="D25" s="79">
        <f>+D22+D23+D24</f>
        <v>3784978</v>
      </c>
      <c r="E25" s="79">
        <f>+E22+E23+E24</f>
        <v>-1064761</v>
      </c>
      <c r="F25" s="80">
        <f>IF(C25=0,0,+E25/C25)</f>
        <v>-0.21955016548313219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894</v>
      </c>
      <c r="C27" s="185">
        <v>8403</v>
      </c>
      <c r="D27" s="185">
        <v>8491</v>
      </c>
      <c r="E27" s="185">
        <f>+D27-C27</f>
        <v>88</v>
      </c>
      <c r="F27" s="77">
        <f>IF(C27=0,0,+E27/C27)</f>
        <v>1.0472450315363561E-2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895</v>
      </c>
      <c r="C28" s="185">
        <v>717</v>
      </c>
      <c r="D28" s="185">
        <v>546</v>
      </c>
      <c r="E28" s="185">
        <f>+D28-C28</f>
        <v>-171</v>
      </c>
      <c r="F28" s="77">
        <f>IF(C28=0,0,+E28/C28)</f>
        <v>-0.2384937238493724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896</v>
      </c>
      <c r="C29" s="185">
        <v>4175</v>
      </c>
      <c r="D29" s="185">
        <v>4695</v>
      </c>
      <c r="E29" s="185">
        <f>+D29-C29</f>
        <v>520</v>
      </c>
      <c r="F29" s="77">
        <f>IF(C29=0,0,+E29/C29)</f>
        <v>0.12455089820359282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897</v>
      </c>
      <c r="C30" s="185">
        <v>3511</v>
      </c>
      <c r="D30" s="185">
        <v>3253</v>
      </c>
      <c r="E30" s="185">
        <f>+D30-C30</f>
        <v>-258</v>
      </c>
      <c r="F30" s="77">
        <f>IF(C30=0,0,+E30/C30)</f>
        <v>-7.3483338080318997E-2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898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899</v>
      </c>
      <c r="C33" s="76">
        <v>166139</v>
      </c>
      <c r="D33" s="76">
        <v>52728</v>
      </c>
      <c r="E33" s="76">
        <f>+D33-C33</f>
        <v>-113411</v>
      </c>
      <c r="F33" s="77">
        <f>IF(C33=0,0,+E33/C33)</f>
        <v>-0.68262719770794333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900</v>
      </c>
      <c r="C34" s="185">
        <v>901899</v>
      </c>
      <c r="D34" s="185">
        <v>495641</v>
      </c>
      <c r="E34" s="185">
        <f>+D34-C34</f>
        <v>-406258</v>
      </c>
      <c r="F34" s="77">
        <f>IF(C34=0,0,+E34/C34)</f>
        <v>-0.45044733390324193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901</v>
      </c>
      <c r="C35" s="185">
        <v>1305380</v>
      </c>
      <c r="D35" s="185">
        <v>506187</v>
      </c>
      <c r="E35" s="185">
        <f>+D35-C35</f>
        <v>-799193</v>
      </c>
      <c r="F35" s="77">
        <f>IF(C35=0,0,+E35/C35)</f>
        <v>-0.61223015520384871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902</v>
      </c>
      <c r="C36" s="79">
        <f>+C33+C34+C35</f>
        <v>2373418</v>
      </c>
      <c r="D36" s="79">
        <f>+D33+D34+D35</f>
        <v>1054556</v>
      </c>
      <c r="E36" s="79">
        <f>+E33+E34+E35</f>
        <v>-1318862</v>
      </c>
      <c r="F36" s="80">
        <f>IF(C36=0,0,+E36/C36)</f>
        <v>-0.55568045746682637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903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904</v>
      </c>
      <c r="C39" s="76">
        <f>+C25</f>
        <v>4849739</v>
      </c>
      <c r="D39" s="76">
        <f>+D25</f>
        <v>3784978</v>
      </c>
      <c r="E39" s="76">
        <f>+D39-C39</f>
        <v>-1064761</v>
      </c>
      <c r="F39" s="77">
        <f>IF(C39=0,0,+E39/C39)</f>
        <v>-0.21955016548313219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905</v>
      </c>
      <c r="C40" s="185">
        <f>+C36</f>
        <v>2373418</v>
      </c>
      <c r="D40" s="185">
        <f>+D36</f>
        <v>1054556</v>
      </c>
      <c r="E40" s="185">
        <f>+D40-C40</f>
        <v>-1318862</v>
      </c>
      <c r="F40" s="77">
        <f>IF(C40=0,0,+E40/C40)</f>
        <v>-0.55568045746682637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906</v>
      </c>
      <c r="C41" s="79">
        <f>+C39+C40</f>
        <v>7223157</v>
      </c>
      <c r="D41" s="79">
        <f>+D39+D40</f>
        <v>4839534</v>
      </c>
      <c r="E41" s="79">
        <f>+E39+E40</f>
        <v>-2383623</v>
      </c>
      <c r="F41" s="80">
        <f>IF(C41=0,0,+E41/C41)</f>
        <v>-0.32999739587551535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907</v>
      </c>
      <c r="C43" s="76">
        <f t="shared" ref="C43:D45" si="0">+C22+C33</f>
        <v>1475955</v>
      </c>
      <c r="D43" s="76">
        <f t="shared" si="0"/>
        <v>932404</v>
      </c>
      <c r="E43" s="76">
        <f>+D43-C43</f>
        <v>-543551</v>
      </c>
      <c r="F43" s="77">
        <f>IF(C43=0,0,+E43/C43)</f>
        <v>-0.36827071286048696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908</v>
      </c>
      <c r="C44" s="185">
        <f t="shared" si="0"/>
        <v>3368486</v>
      </c>
      <c r="D44" s="185">
        <f t="shared" si="0"/>
        <v>1659970</v>
      </c>
      <c r="E44" s="185">
        <f>+D44-C44</f>
        <v>-1708516</v>
      </c>
      <c r="F44" s="77">
        <f>IF(C44=0,0,+E44/C44)</f>
        <v>-0.50720590793608755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909</v>
      </c>
      <c r="C45" s="185">
        <f t="shared" si="0"/>
        <v>2378716</v>
      </c>
      <c r="D45" s="185">
        <f t="shared" si="0"/>
        <v>2247160</v>
      </c>
      <c r="E45" s="185">
        <f>+D45-C45</f>
        <v>-131556</v>
      </c>
      <c r="F45" s="77">
        <f>IF(C45=0,0,+E45/C45)</f>
        <v>-5.5305467319343715E-2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906</v>
      </c>
      <c r="C46" s="79">
        <f>+C43+C44+C45</f>
        <v>7223157</v>
      </c>
      <c r="D46" s="79">
        <f>+D43+D44+D45</f>
        <v>4839534</v>
      </c>
      <c r="E46" s="79">
        <f>+E43+E44+E45</f>
        <v>-2383623</v>
      </c>
      <c r="F46" s="80">
        <f>IF(C46=0,0,+E46/C46)</f>
        <v>-0.32999739587551535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32" t="s">
        <v>910</v>
      </c>
      <c r="B48" s="833"/>
      <c r="C48" s="833"/>
      <c r="D48" s="833"/>
      <c r="E48" s="833"/>
      <c r="F48" s="834"/>
    </row>
  </sheetData>
  <mergeCells count="6">
    <mergeCell ref="A1:F1"/>
    <mergeCell ref="A2:F2"/>
    <mergeCell ref="A3:F3"/>
    <mergeCell ref="A4:F4"/>
    <mergeCell ref="A5:F5"/>
    <mergeCell ref="A48:F48"/>
  </mergeCells>
  <pageMargins left="0.25" right="0.25" top="0.5" bottom="0.5" header="0.25" footer="0.25"/>
  <pageSetup paperSize="9" scale="73" orientation="portrait" horizontalDpi="1200" verticalDpi="1200" r:id="rId1"/>
  <headerFooter>
    <oddHeader>_x000D_
                  &amp;LOFFICE OF HEALTH CARE ACCESS&amp;CTWELVE MONTHS ACTUAL FILING&amp;RGRIFFIN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29" t="s">
        <v>0</v>
      </c>
      <c r="B2" s="830"/>
      <c r="C2" s="830"/>
      <c r="D2" s="830"/>
      <c r="E2" s="830"/>
      <c r="F2" s="831"/>
    </row>
    <row r="3" spans="1:14" ht="15.75" customHeight="1" x14ac:dyDescent="0.25">
      <c r="A3" s="829" t="s">
        <v>628</v>
      </c>
      <c r="B3" s="830"/>
      <c r="C3" s="830"/>
      <c r="D3" s="830"/>
      <c r="E3" s="830"/>
      <c r="F3" s="831"/>
    </row>
    <row r="4" spans="1:14" ht="15.75" customHeight="1" x14ac:dyDescent="0.25">
      <c r="A4" s="829" t="s">
        <v>2</v>
      </c>
      <c r="B4" s="830"/>
      <c r="C4" s="830"/>
      <c r="D4" s="830"/>
      <c r="E4" s="830"/>
      <c r="F4" s="831"/>
    </row>
    <row r="5" spans="1:14" ht="15.75" customHeight="1" x14ac:dyDescent="0.25">
      <c r="A5" s="829" t="s">
        <v>911</v>
      </c>
      <c r="B5" s="830"/>
      <c r="C5" s="830"/>
      <c r="D5" s="830"/>
      <c r="E5" s="830"/>
      <c r="F5" s="831"/>
    </row>
    <row r="6" spans="1:14" ht="15.75" customHeight="1" x14ac:dyDescent="0.25">
      <c r="A6" s="829" t="s">
        <v>912</v>
      </c>
      <c r="B6" s="830"/>
      <c r="C6" s="830"/>
      <c r="D6" s="830"/>
      <c r="E6" s="830"/>
      <c r="F6" s="831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913</v>
      </c>
      <c r="D10" s="177" t="s">
        <v>913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914</v>
      </c>
      <c r="D11" s="693" t="s">
        <v>914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915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168743461</v>
      </c>
      <c r="D15" s="76">
        <v>177406112</v>
      </c>
      <c r="E15" s="76">
        <f>+D15-C15</f>
        <v>8662651</v>
      </c>
      <c r="F15" s="77">
        <f>IF(C15=0,0,E15/C15)</f>
        <v>5.1336217407559274E-2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916</v>
      </c>
      <c r="C17" s="76">
        <v>103918922</v>
      </c>
      <c r="D17" s="76">
        <v>109719783</v>
      </c>
      <c r="E17" s="76">
        <f>+D17-C17</f>
        <v>5800861</v>
      </c>
      <c r="F17" s="77">
        <f>IF(C17=0,0,E17/C17)</f>
        <v>5.5821027473706861E-2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917</v>
      </c>
      <c r="C19" s="79">
        <f>+C15-C17</f>
        <v>64824539</v>
      </c>
      <c r="D19" s="79">
        <f>+D15-D17</f>
        <v>67686329</v>
      </c>
      <c r="E19" s="79">
        <f>+D19-C19</f>
        <v>2861790</v>
      </c>
      <c r="F19" s="80">
        <f>IF(C19=0,0,E19/C19)</f>
        <v>4.4146708085344037E-2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918</v>
      </c>
      <c r="C21" s="720">
        <f>IF(C15=0,0,C17/C15)</f>
        <v>0.6158396976342686</v>
      </c>
      <c r="D21" s="720">
        <f>IF(D15=0,0,D17/D15)</f>
        <v>0.61846675834934028</v>
      </c>
      <c r="E21" s="720">
        <f>+D21-C21</f>
        <v>2.6270607150716829E-3</v>
      </c>
      <c r="F21" s="80">
        <f>IF(C21=0,0,E21/C21)</f>
        <v>4.2658190518790277E-3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919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:F2"/>
    <mergeCell ref="A3:F3"/>
    <mergeCell ref="A4:F4"/>
    <mergeCell ref="A5:F5"/>
    <mergeCell ref="A6:F6"/>
    <mergeCell ref="A26:F26"/>
  </mergeCells>
  <pageMargins left="0.25" right="0.25" top="0.5" bottom="0.5" header="0.25" footer="0.5"/>
  <pageSetup scale="89" orientation="landscape" horizontalDpi="1200" verticalDpi="1200" r:id="rId1"/>
  <headerFooter>
    <oddHeader>&amp;L&amp;12OFFICE OF HEALTH CARE ACCESS&amp;C&amp;12TWELVE MONTHS ACTUAL FILING&amp;R&amp;12GRIFFIN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75" workbookViewId="0">
      <selection activeCell="A8" sqref="A8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920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921</v>
      </c>
      <c r="B6" s="734" t="s">
        <v>922</v>
      </c>
      <c r="C6" s="734" t="s">
        <v>923</v>
      </c>
      <c r="D6" s="734" t="s">
        <v>924</v>
      </c>
      <c r="E6" s="734" t="s">
        <v>925</v>
      </c>
    </row>
    <row r="7" spans="1:6" ht="37.5" customHeight="1" x14ac:dyDescent="0.25">
      <c r="A7" s="735" t="s">
        <v>8</v>
      </c>
      <c r="B7" s="736" t="s">
        <v>9</v>
      </c>
      <c r="C7" s="737" t="s">
        <v>926</v>
      </c>
      <c r="D7" s="737" t="s">
        <v>927</v>
      </c>
      <c r="E7" s="737" t="s">
        <v>928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929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930</v>
      </c>
      <c r="C10" s="744">
        <v>185170801</v>
      </c>
      <c r="D10" s="744">
        <v>197406204</v>
      </c>
      <c r="E10" s="744">
        <v>205456234</v>
      </c>
    </row>
    <row r="11" spans="1:6" ht="26.1" customHeight="1" x14ac:dyDescent="0.25">
      <c r="A11" s="742">
        <v>2</v>
      </c>
      <c r="B11" s="743" t="s">
        <v>931</v>
      </c>
      <c r="C11" s="744">
        <v>232820228</v>
      </c>
      <c r="D11" s="744">
        <v>246290887</v>
      </c>
      <c r="E11" s="744">
        <v>277462740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417991029</v>
      </c>
      <c r="D12" s="744">
        <f>+D11+D10</f>
        <v>443697091</v>
      </c>
      <c r="E12" s="744">
        <f>+E11+E10</f>
        <v>482918974</v>
      </c>
    </row>
    <row r="13" spans="1:6" ht="26.1" customHeight="1" x14ac:dyDescent="0.25">
      <c r="A13" s="742">
        <v>4</v>
      </c>
      <c r="B13" s="743" t="s">
        <v>507</v>
      </c>
      <c r="C13" s="744">
        <v>121061315</v>
      </c>
      <c r="D13" s="744">
        <v>125805820</v>
      </c>
      <c r="E13" s="744">
        <v>135897993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932</v>
      </c>
      <c r="C16" s="744">
        <v>129115712</v>
      </c>
      <c r="D16" s="744">
        <v>127376540</v>
      </c>
      <c r="E16" s="744">
        <v>130275487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933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29321</v>
      </c>
      <c r="D19" s="747">
        <v>31271</v>
      </c>
      <c r="E19" s="747">
        <v>30806</v>
      </c>
    </row>
    <row r="20" spans="1:5" ht="26.1" customHeight="1" x14ac:dyDescent="0.25">
      <c r="A20" s="742">
        <v>2</v>
      </c>
      <c r="B20" s="743" t="s">
        <v>381</v>
      </c>
      <c r="C20" s="748">
        <v>7063</v>
      </c>
      <c r="D20" s="748">
        <v>7176</v>
      </c>
      <c r="E20" s="748">
        <v>6935</v>
      </c>
    </row>
    <row r="21" spans="1:5" ht="26.1" customHeight="1" x14ac:dyDescent="0.25">
      <c r="A21" s="742">
        <v>3</v>
      </c>
      <c r="B21" s="743" t="s">
        <v>934</v>
      </c>
      <c r="C21" s="749">
        <f>IF(C20=0,0,+C19/C20)</f>
        <v>4.1513521166643068</v>
      </c>
      <c r="D21" s="749">
        <f>IF(D20=0,0,+D19/D20)</f>
        <v>4.357720178372352</v>
      </c>
      <c r="E21" s="749">
        <f>IF(E20=0,0,+E19/E20)</f>
        <v>4.4421052631578943</v>
      </c>
    </row>
    <row r="22" spans="1:5" ht="26.1" customHeight="1" x14ac:dyDescent="0.25">
      <c r="A22" s="742">
        <v>4</v>
      </c>
      <c r="B22" s="743" t="s">
        <v>935</v>
      </c>
      <c r="C22" s="748">
        <f>IF(C10=0,0,C19*(C12/C10))</f>
        <v>66187.081846176166</v>
      </c>
      <c r="D22" s="748">
        <f>IF(D10=0,0,D19*(D12/D10))</f>
        <v>70285.793716295768</v>
      </c>
      <c r="E22" s="748">
        <f>IF(E10=0,0,E19*(E12/E10))</f>
        <v>72408.617754786639</v>
      </c>
    </row>
    <row r="23" spans="1:5" ht="26.1" customHeight="1" x14ac:dyDescent="0.25">
      <c r="A23" s="742">
        <v>0</v>
      </c>
      <c r="B23" s="743" t="s">
        <v>936</v>
      </c>
      <c r="C23" s="748">
        <f>IF(C10=0,0,C20*(C12/C10))</f>
        <v>15943.49984923919</v>
      </c>
      <c r="D23" s="748">
        <f>IF(D10=0,0,D20*(D12/D10))</f>
        <v>16129.028675390568</v>
      </c>
      <c r="E23" s="748">
        <f>IF(E10=0,0,E20*(E12/E10))</f>
        <v>16300.518214940121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937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1.1348851762707066</v>
      </c>
      <c r="D26" s="750">
        <v>1.1434999163879598</v>
      </c>
      <c r="E26" s="750">
        <v>1.1321927007930788</v>
      </c>
    </row>
    <row r="27" spans="1:5" ht="26.1" customHeight="1" x14ac:dyDescent="0.25">
      <c r="A27" s="742">
        <v>2</v>
      </c>
      <c r="B27" s="743" t="s">
        <v>938</v>
      </c>
      <c r="C27" s="748">
        <f>C19*C26</f>
        <v>33275.968253433392</v>
      </c>
      <c r="D27" s="748">
        <f>D19*D26</f>
        <v>35758.38588536789</v>
      </c>
      <c r="E27" s="748">
        <f>E19*E26</f>
        <v>34878.328340631582</v>
      </c>
    </row>
    <row r="28" spans="1:5" ht="26.1" customHeight="1" x14ac:dyDescent="0.25">
      <c r="A28" s="742">
        <v>3</v>
      </c>
      <c r="B28" s="743" t="s">
        <v>939</v>
      </c>
      <c r="C28" s="748">
        <f>C20*C26</f>
        <v>8015.6940000000004</v>
      </c>
      <c r="D28" s="748">
        <f>D20*D26</f>
        <v>8205.7554</v>
      </c>
      <c r="E28" s="748">
        <f>E20*E26</f>
        <v>7851.7563800000016</v>
      </c>
    </row>
    <row r="29" spans="1:5" ht="26.1" customHeight="1" x14ac:dyDescent="0.25">
      <c r="A29" s="742">
        <v>4</v>
      </c>
      <c r="B29" s="743" t="s">
        <v>940</v>
      </c>
      <c r="C29" s="748">
        <f>C22*C26</f>
        <v>75114.738047841325</v>
      </c>
      <c r="D29" s="748">
        <f>D22*D26</f>
        <v>80371.799237845597</v>
      </c>
      <c r="E29" s="748">
        <f>E22*E26</f>
        <v>81980.508496485563</v>
      </c>
    </row>
    <row r="30" spans="1:5" ht="26.1" customHeight="1" x14ac:dyDescent="0.25">
      <c r="A30" s="742">
        <v>5</v>
      </c>
      <c r="B30" s="743" t="s">
        <v>941</v>
      </c>
      <c r="C30" s="748">
        <f>C23*C26</f>
        <v>18094.041636775801</v>
      </c>
      <c r="D30" s="748">
        <f>D23*D26</f>
        <v>18443.542941728119</v>
      </c>
      <c r="E30" s="748">
        <f>E23*E26</f>
        <v>18455.327742099831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942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943</v>
      </c>
      <c r="C33" s="744">
        <f>IF(C19=0,0,C12/C19)</f>
        <v>14255.688039289247</v>
      </c>
      <c r="D33" s="744">
        <f>IF(D19=0,0,D12/D19)</f>
        <v>14188.772057177577</v>
      </c>
      <c r="E33" s="744">
        <f>IF(E19=0,0,E12/E19)</f>
        <v>15676.133675258066</v>
      </c>
    </row>
    <row r="34" spans="1:5" ht="26.1" customHeight="1" x14ac:dyDescent="0.25">
      <c r="A34" s="742">
        <v>2</v>
      </c>
      <c r="B34" s="743" t="s">
        <v>944</v>
      </c>
      <c r="C34" s="744">
        <f>IF(C20=0,0,C12/C20)</f>
        <v>59180.380716409454</v>
      </c>
      <c r="D34" s="744">
        <f>IF(D20=0,0,D12/D20)</f>
        <v>61830.698299888514</v>
      </c>
      <c r="E34" s="744">
        <f>IF(E20=0,0,E12/E20)</f>
        <v>69635.035904830569</v>
      </c>
    </row>
    <row r="35" spans="1:5" ht="26.1" customHeight="1" x14ac:dyDescent="0.25">
      <c r="A35" s="742">
        <v>3</v>
      </c>
      <c r="B35" s="743" t="s">
        <v>945</v>
      </c>
      <c r="C35" s="744">
        <f>IF(C22=0,0,C12/C22)</f>
        <v>6315.2962381910575</v>
      </c>
      <c r="D35" s="744">
        <f>IF(D22=0,0,D12/D22)</f>
        <v>6312.7563557289495</v>
      </c>
      <c r="E35" s="744">
        <f>IF(E22=0,0,E12/E22)</f>
        <v>6669.3577225215877</v>
      </c>
    </row>
    <row r="36" spans="1:5" ht="26.1" customHeight="1" x14ac:dyDescent="0.25">
      <c r="A36" s="742">
        <v>4</v>
      </c>
      <c r="B36" s="743" t="s">
        <v>946</v>
      </c>
      <c r="C36" s="744">
        <f>IF(C23=0,0,C12/C23)</f>
        <v>26217.018405776584</v>
      </c>
      <c r="D36" s="744">
        <f>IF(D23=0,0,D12/D23)</f>
        <v>27509.225752508359</v>
      </c>
      <c r="E36" s="744">
        <f>IF(E23=0,0,E12/E23)</f>
        <v>29625.989041095894</v>
      </c>
    </row>
    <row r="37" spans="1:5" ht="26.1" customHeight="1" x14ac:dyDescent="0.25">
      <c r="A37" s="742">
        <v>5</v>
      </c>
      <c r="B37" s="743" t="s">
        <v>947</v>
      </c>
      <c r="C37" s="744">
        <f>IF(C29=0,0,C12/C29)</f>
        <v>5564.7006148617247</v>
      </c>
      <c r="D37" s="744">
        <f>IF(D29=0,0,D12/D29)</f>
        <v>5520.5569018924143</v>
      </c>
      <c r="E37" s="744">
        <f>IF(E29=0,0,E12/E29)</f>
        <v>5890.6559968544516</v>
      </c>
    </row>
    <row r="38" spans="1:5" ht="26.1" customHeight="1" x14ac:dyDescent="0.25">
      <c r="A38" s="742">
        <v>6</v>
      </c>
      <c r="B38" s="743" t="s">
        <v>948</v>
      </c>
      <c r="C38" s="744">
        <f>IF(C30=0,0,C12/C30)</f>
        <v>23101.031676109393</v>
      </c>
      <c r="D38" s="744">
        <f>IF(D30=0,0,D12/D30)</f>
        <v>24057.042207229333</v>
      </c>
      <c r="E38" s="744">
        <f>IF(E30=0,0,E12/E30)</f>
        <v>26166.914007079773</v>
      </c>
    </row>
    <row r="39" spans="1:5" ht="26.1" customHeight="1" x14ac:dyDescent="0.25">
      <c r="A39" s="742">
        <v>7</v>
      </c>
      <c r="B39" s="743" t="s">
        <v>949</v>
      </c>
      <c r="C39" s="744">
        <f>IF(C22=0,0,C10/C22)</f>
        <v>2797.687945063828</v>
      </c>
      <c r="D39" s="744">
        <f>IF(D22=0,0,D10/D22)</f>
        <v>2808.6216796073736</v>
      </c>
      <c r="E39" s="744">
        <f>IF(E22=0,0,E10/E22)</f>
        <v>2837.4555456338362</v>
      </c>
    </row>
    <row r="40" spans="1:5" ht="26.1" customHeight="1" x14ac:dyDescent="0.25">
      <c r="A40" s="742">
        <v>8</v>
      </c>
      <c r="B40" s="743" t="s">
        <v>950</v>
      </c>
      <c r="C40" s="744">
        <f>IF(C23=0,0,C10/C23)</f>
        <v>11614.187772506937</v>
      </c>
      <c r="D40" s="744">
        <f>IF(D23=0,0,D10/D23)</f>
        <v>12239.187366639098</v>
      </c>
      <c r="E40" s="744">
        <f>IF(E23=0,0,E10/E23)</f>
        <v>12604.276213236619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951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952</v>
      </c>
      <c r="C43" s="744">
        <f>IF(C19=0,0,C13/C19)</f>
        <v>4128.8262678626243</v>
      </c>
      <c r="D43" s="744">
        <f>IF(D19=0,0,D13/D19)</f>
        <v>4023.0827284065108</v>
      </c>
      <c r="E43" s="744">
        <f>IF(E19=0,0,E13/E19)</f>
        <v>4411.4131338051029</v>
      </c>
    </row>
    <row r="44" spans="1:5" ht="26.1" customHeight="1" x14ac:dyDescent="0.25">
      <c r="A44" s="742">
        <v>2</v>
      </c>
      <c r="B44" s="743" t="s">
        <v>953</v>
      </c>
      <c r="C44" s="744">
        <f>IF(C20=0,0,C13/C20)</f>
        <v>17140.211666430696</v>
      </c>
      <c r="D44" s="744">
        <f>IF(D20=0,0,D13/D20)</f>
        <v>17531.468784838351</v>
      </c>
      <c r="E44" s="744">
        <f>IF(E20=0,0,E13/E20)</f>
        <v>19595.96149963951</v>
      </c>
    </row>
    <row r="45" spans="1:5" ht="26.1" customHeight="1" x14ac:dyDescent="0.25">
      <c r="A45" s="742">
        <v>3</v>
      </c>
      <c r="B45" s="743" t="s">
        <v>954</v>
      </c>
      <c r="C45" s="744">
        <f>IF(C22=0,0,C13/C22)</f>
        <v>1829.0776934592122</v>
      </c>
      <c r="D45" s="744">
        <f>IF(D22=0,0,D13/D22)</f>
        <v>1789.9181804477782</v>
      </c>
      <c r="E45" s="744">
        <f>IF(E22=0,0,E13/E22)</f>
        <v>1876.8207046876867</v>
      </c>
    </row>
    <row r="46" spans="1:5" ht="26.1" customHeight="1" x14ac:dyDescent="0.25">
      <c r="A46" s="742">
        <v>4</v>
      </c>
      <c r="B46" s="743" t="s">
        <v>955</v>
      </c>
      <c r="C46" s="744">
        <f>IF(C23=0,0,C13/C23)</f>
        <v>7593.1455542853691</v>
      </c>
      <c r="D46" s="744">
        <f>IF(D23=0,0,D13/D23)</f>
        <v>7799.9625725728083</v>
      </c>
      <c r="E46" s="744">
        <f>IF(E23=0,0,E13/E23)</f>
        <v>8337.0351302968811</v>
      </c>
    </row>
    <row r="47" spans="1:5" ht="26.1" customHeight="1" x14ac:dyDescent="0.25">
      <c r="A47" s="742">
        <v>5</v>
      </c>
      <c r="B47" s="743" t="s">
        <v>956</v>
      </c>
      <c r="C47" s="744">
        <f>IF(C29=0,0,C13/C29)</f>
        <v>1611.6852450832598</v>
      </c>
      <c r="D47" s="744">
        <f>IF(D29=0,0,D13/D29)</f>
        <v>1565.2980422610765</v>
      </c>
      <c r="E47" s="744">
        <f>IF(E29=0,0,E13/E29)</f>
        <v>1657.6866317659621</v>
      </c>
    </row>
    <row r="48" spans="1:5" ht="26.1" customHeight="1" x14ac:dyDescent="0.25">
      <c r="A48" s="742">
        <v>6</v>
      </c>
      <c r="B48" s="743" t="s">
        <v>957</v>
      </c>
      <c r="C48" s="744">
        <f>IF(C30=0,0,C13/C30)</f>
        <v>6690.6729535730228</v>
      </c>
      <c r="D48" s="744">
        <f>IF(D30=0,0,D13/D30)</f>
        <v>6821.1308639278323</v>
      </c>
      <c r="E48" s="744">
        <f>IF(E30=0,0,E13/E30)</f>
        <v>7363.6185116340639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958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959</v>
      </c>
      <c r="C51" s="744">
        <f>IF(C19=0,0,C16/C19)</f>
        <v>4403.523481463797</v>
      </c>
      <c r="D51" s="744">
        <f>IF(D19=0,0,D16/D19)</f>
        <v>4073.3120143263727</v>
      </c>
      <c r="E51" s="744">
        <f>IF(E19=0,0,E16/E19)</f>
        <v>4228.8997922482631</v>
      </c>
    </row>
    <row r="52" spans="1:6" ht="26.1" customHeight="1" x14ac:dyDescent="0.25">
      <c r="A52" s="742">
        <v>2</v>
      </c>
      <c r="B52" s="743" t="s">
        <v>960</v>
      </c>
      <c r="C52" s="744">
        <f>IF(C20=0,0,C16/C20)</f>
        <v>18280.576525555713</v>
      </c>
      <c r="D52" s="744">
        <f>IF(D20=0,0,D16/D20)</f>
        <v>17750.353957636566</v>
      </c>
      <c r="E52" s="744">
        <f>IF(E20=0,0,E16/E20)</f>
        <v>18785.218024513339</v>
      </c>
    </row>
    <row r="53" spans="1:6" ht="26.1" customHeight="1" x14ac:dyDescent="0.25">
      <c r="A53" s="742">
        <v>3</v>
      </c>
      <c r="B53" s="743" t="s">
        <v>961</v>
      </c>
      <c r="C53" s="744">
        <f>IF(C22=0,0,C16/C22)</f>
        <v>1950.7690685030468</v>
      </c>
      <c r="D53" s="744">
        <f>IF(D22=0,0,D16/D22)</f>
        <v>1812.2657974689378</v>
      </c>
      <c r="E53" s="744">
        <f>IF(E22=0,0,E16/E22)</f>
        <v>1799.1710246587054</v>
      </c>
    </row>
    <row r="54" spans="1:6" ht="26.1" customHeight="1" x14ac:dyDescent="0.25">
      <c r="A54" s="742">
        <v>4</v>
      </c>
      <c r="B54" s="743" t="s">
        <v>962</v>
      </c>
      <c r="C54" s="744">
        <f>IF(C23=0,0,C16/C23)</f>
        <v>8098.3293016533817</v>
      </c>
      <c r="D54" s="744">
        <f>IF(D23=0,0,D16/D23)</f>
        <v>7897.3472342044524</v>
      </c>
      <c r="E54" s="744">
        <f>IF(E23=0,0,E16/E23)</f>
        <v>7992.1070779576166</v>
      </c>
    </row>
    <row r="55" spans="1:6" ht="26.1" customHeight="1" x14ac:dyDescent="0.25">
      <c r="A55" s="742">
        <v>5</v>
      </c>
      <c r="B55" s="743" t="s">
        <v>963</v>
      </c>
      <c r="C55" s="744">
        <f>IF(C29=0,0,C16/C29)</f>
        <v>1718.913163456217</v>
      </c>
      <c r="D55" s="744">
        <f>IF(D29=0,0,D16/D29)</f>
        <v>1584.8412155494054</v>
      </c>
      <c r="E55" s="744">
        <f>IF(E29=0,0,E16/E29)</f>
        <v>1589.1031830521617</v>
      </c>
    </row>
    <row r="56" spans="1:6" ht="26.1" customHeight="1" x14ac:dyDescent="0.25">
      <c r="A56" s="742">
        <v>6</v>
      </c>
      <c r="B56" s="743" t="s">
        <v>964</v>
      </c>
      <c r="C56" s="744">
        <f>IF(C30=0,0,C16/C30)</f>
        <v>7135.8137994761064</v>
      </c>
      <c r="D56" s="744">
        <f>IF(D30=0,0,D16/D30)</f>
        <v>6906.2945445158111</v>
      </c>
      <c r="E56" s="744">
        <f>IF(E30=0,0,E16/E30)</f>
        <v>7058.9636131369707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965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966</v>
      </c>
      <c r="C59" s="752">
        <v>19496313</v>
      </c>
      <c r="D59" s="752">
        <v>19389105</v>
      </c>
      <c r="E59" s="752">
        <v>20849734</v>
      </c>
    </row>
    <row r="60" spans="1:6" ht="26.1" customHeight="1" x14ac:dyDescent="0.25">
      <c r="A60" s="742">
        <v>2</v>
      </c>
      <c r="B60" s="743" t="s">
        <v>967</v>
      </c>
      <c r="C60" s="752">
        <v>7396230</v>
      </c>
      <c r="D60" s="752">
        <v>6978339</v>
      </c>
      <c r="E60" s="752">
        <v>6274634</v>
      </c>
    </row>
    <row r="61" spans="1:6" ht="26.1" customHeight="1" x14ac:dyDescent="0.25">
      <c r="A61" s="753">
        <v>3</v>
      </c>
      <c r="B61" s="754" t="s">
        <v>968</v>
      </c>
      <c r="C61" s="755">
        <f>C59+C60</f>
        <v>26892543</v>
      </c>
      <c r="D61" s="755">
        <f>D59+D60</f>
        <v>26367444</v>
      </c>
      <c r="E61" s="755">
        <f>E59+E60</f>
        <v>27124368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969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970</v>
      </c>
      <c r="C64" s="744">
        <v>4020152</v>
      </c>
      <c r="D64" s="744">
        <v>4057828</v>
      </c>
      <c r="E64" s="752">
        <v>3821225</v>
      </c>
      <c r="F64" s="756"/>
    </row>
    <row r="65" spans="1:6" ht="26.1" customHeight="1" x14ac:dyDescent="0.25">
      <c r="A65" s="742">
        <v>2</v>
      </c>
      <c r="B65" s="743" t="s">
        <v>971</v>
      </c>
      <c r="C65" s="752">
        <v>1525084</v>
      </c>
      <c r="D65" s="752">
        <v>1460456</v>
      </c>
      <c r="E65" s="752">
        <v>1149980</v>
      </c>
      <c r="F65" s="756"/>
    </row>
    <row r="66" spans="1:6" ht="26.1" customHeight="1" x14ac:dyDescent="0.25">
      <c r="A66" s="753">
        <v>3</v>
      </c>
      <c r="B66" s="754" t="s">
        <v>972</v>
      </c>
      <c r="C66" s="757">
        <f>C64+C65</f>
        <v>5545236</v>
      </c>
      <c r="D66" s="757">
        <f>D64+D65</f>
        <v>5518284</v>
      </c>
      <c r="E66" s="757">
        <f>E64+E65</f>
        <v>4971205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973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974</v>
      </c>
      <c r="C69" s="752">
        <v>29145626</v>
      </c>
      <c r="D69" s="752">
        <v>29791307</v>
      </c>
      <c r="E69" s="752">
        <v>31025618</v>
      </c>
    </row>
    <row r="70" spans="1:6" ht="26.1" customHeight="1" x14ac:dyDescent="0.25">
      <c r="A70" s="742">
        <v>2</v>
      </c>
      <c r="B70" s="743" t="s">
        <v>975</v>
      </c>
      <c r="C70" s="752">
        <v>11056564</v>
      </c>
      <c r="D70" s="752">
        <v>10725001</v>
      </c>
      <c r="E70" s="752">
        <v>9337021</v>
      </c>
    </row>
    <row r="71" spans="1:6" ht="26.1" customHeight="1" x14ac:dyDescent="0.25">
      <c r="A71" s="753">
        <v>3</v>
      </c>
      <c r="B71" s="754" t="s">
        <v>976</v>
      </c>
      <c r="C71" s="755">
        <f>C69+C70</f>
        <v>40202190</v>
      </c>
      <c r="D71" s="755">
        <f>D69+D70</f>
        <v>40516308</v>
      </c>
      <c r="E71" s="755">
        <f>E69+E70</f>
        <v>40362639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977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978</v>
      </c>
      <c r="C75" s="744">
        <f t="shared" ref="C75:E76" si="0">+C59+C64+C69</f>
        <v>52662091</v>
      </c>
      <c r="D75" s="744">
        <f t="shared" si="0"/>
        <v>53238240</v>
      </c>
      <c r="E75" s="744">
        <f t="shared" si="0"/>
        <v>55696577</v>
      </c>
    </row>
    <row r="76" spans="1:6" ht="26.1" customHeight="1" x14ac:dyDescent="0.25">
      <c r="A76" s="742">
        <v>2</v>
      </c>
      <c r="B76" s="743" t="s">
        <v>979</v>
      </c>
      <c r="C76" s="744">
        <f t="shared" si="0"/>
        <v>19977878</v>
      </c>
      <c r="D76" s="744">
        <f t="shared" si="0"/>
        <v>19163796</v>
      </c>
      <c r="E76" s="744">
        <f t="shared" si="0"/>
        <v>16761635</v>
      </c>
    </row>
    <row r="77" spans="1:6" ht="26.1" customHeight="1" x14ac:dyDescent="0.25">
      <c r="A77" s="753">
        <v>3</v>
      </c>
      <c r="B77" s="754" t="s">
        <v>977</v>
      </c>
      <c r="C77" s="757">
        <f>C75+C76</f>
        <v>72639969</v>
      </c>
      <c r="D77" s="757">
        <f>D75+D76</f>
        <v>72402036</v>
      </c>
      <c r="E77" s="757">
        <f>E75+E76</f>
        <v>72458212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980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357</v>
      </c>
      <c r="D80" s="749">
        <v>301.89999999999998</v>
      </c>
      <c r="E80" s="749">
        <v>315.7</v>
      </c>
    </row>
    <row r="81" spans="1:5" ht="26.1" customHeight="1" x14ac:dyDescent="0.25">
      <c r="A81" s="742">
        <v>2</v>
      </c>
      <c r="B81" s="743" t="s">
        <v>617</v>
      </c>
      <c r="C81" s="749">
        <v>45</v>
      </c>
      <c r="D81" s="749">
        <v>52.5</v>
      </c>
      <c r="E81" s="749">
        <v>49.7</v>
      </c>
    </row>
    <row r="82" spans="1:5" ht="26.1" customHeight="1" x14ac:dyDescent="0.25">
      <c r="A82" s="742">
        <v>3</v>
      </c>
      <c r="B82" s="743" t="s">
        <v>981</v>
      </c>
      <c r="C82" s="749">
        <v>571</v>
      </c>
      <c r="D82" s="749">
        <v>548</v>
      </c>
      <c r="E82" s="749">
        <v>558.79999999999995</v>
      </c>
    </row>
    <row r="83" spans="1:5" ht="26.1" customHeight="1" x14ac:dyDescent="0.25">
      <c r="A83" s="753">
        <v>4</v>
      </c>
      <c r="B83" s="754" t="s">
        <v>980</v>
      </c>
      <c r="C83" s="759">
        <f>C80+C81+C82</f>
        <v>973</v>
      </c>
      <c r="D83" s="759">
        <f>D80+D81+D82</f>
        <v>902.4</v>
      </c>
      <c r="E83" s="759">
        <f>E80+E81+E82</f>
        <v>924.19999999999993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982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983</v>
      </c>
      <c r="C86" s="752">
        <f>IF(C80=0,0,C59/C80)</f>
        <v>54611.521008403361</v>
      </c>
      <c r="D86" s="752">
        <f>IF(D80=0,0,D59/D80)</f>
        <v>64223.600529976815</v>
      </c>
      <c r="E86" s="752">
        <f>IF(E80=0,0,E59/E80)</f>
        <v>66042.869813113721</v>
      </c>
    </row>
    <row r="87" spans="1:5" ht="26.1" customHeight="1" x14ac:dyDescent="0.25">
      <c r="A87" s="742">
        <v>2</v>
      </c>
      <c r="B87" s="743" t="s">
        <v>984</v>
      </c>
      <c r="C87" s="752">
        <f>IF(C80=0,0,C60/C80)</f>
        <v>20717.731092436974</v>
      </c>
      <c r="D87" s="752">
        <f>IF(D80=0,0,D60/D80)</f>
        <v>23114.736667770787</v>
      </c>
      <c r="E87" s="752">
        <f>IF(E80=0,0,E60/E80)</f>
        <v>19875.305669939818</v>
      </c>
    </row>
    <row r="88" spans="1:5" ht="26.1" customHeight="1" x14ac:dyDescent="0.25">
      <c r="A88" s="753">
        <v>3</v>
      </c>
      <c r="B88" s="754" t="s">
        <v>985</v>
      </c>
      <c r="C88" s="755">
        <f>+C86+C87</f>
        <v>75329.252100840327</v>
      </c>
      <c r="D88" s="755">
        <f>+D86+D87</f>
        <v>87338.337197747605</v>
      </c>
      <c r="E88" s="755">
        <f>+E86+E87</f>
        <v>85918.175483053536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986</v>
      </c>
    </row>
    <row r="91" spans="1:5" ht="26.1" customHeight="1" x14ac:dyDescent="0.25">
      <c r="A91" s="742">
        <v>1</v>
      </c>
      <c r="B91" s="743" t="s">
        <v>987</v>
      </c>
      <c r="C91" s="744">
        <f>IF(C81=0,0,C64/C81)</f>
        <v>89336.711111111115</v>
      </c>
      <c r="D91" s="744">
        <f>IF(D81=0,0,D64/D81)</f>
        <v>77291.961904761905</v>
      </c>
      <c r="E91" s="744">
        <f>IF(E81=0,0,E64/E81)</f>
        <v>76885.814889336005</v>
      </c>
    </row>
    <row r="92" spans="1:5" ht="26.1" customHeight="1" x14ac:dyDescent="0.25">
      <c r="A92" s="742">
        <v>2</v>
      </c>
      <c r="B92" s="743" t="s">
        <v>988</v>
      </c>
      <c r="C92" s="744">
        <f>IF(C81=0,0,C65/C81)</f>
        <v>33890.755555555559</v>
      </c>
      <c r="D92" s="744">
        <f>IF(D81=0,0,D65/D81)</f>
        <v>27818.209523809524</v>
      </c>
      <c r="E92" s="744">
        <f>IF(E81=0,0,E65/E81)</f>
        <v>23138.430583501005</v>
      </c>
    </row>
    <row r="93" spans="1:5" ht="26.1" customHeight="1" x14ac:dyDescent="0.25">
      <c r="A93" s="753">
        <v>3</v>
      </c>
      <c r="B93" s="754" t="s">
        <v>989</v>
      </c>
      <c r="C93" s="757">
        <f>+C91+C92</f>
        <v>123227.46666666667</v>
      </c>
      <c r="D93" s="757">
        <f>+D91+D92</f>
        <v>105110.17142857143</v>
      </c>
      <c r="E93" s="757">
        <f>+E91+E92</f>
        <v>100024.24547283701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990</v>
      </c>
      <c r="B95" s="745" t="s">
        <v>991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992</v>
      </c>
      <c r="C96" s="752">
        <f>IF(C82=0,0,C69/C82)</f>
        <v>51043.12784588441</v>
      </c>
      <c r="D96" s="752">
        <f>IF(D82=0,0,D69/D82)</f>
        <v>54363.698905109486</v>
      </c>
      <c r="E96" s="752">
        <f>IF(E82=0,0,E69/E82)</f>
        <v>55521.864710093061</v>
      </c>
    </row>
    <row r="97" spans="1:5" ht="26.1" customHeight="1" x14ac:dyDescent="0.25">
      <c r="A97" s="742">
        <v>2</v>
      </c>
      <c r="B97" s="743" t="s">
        <v>993</v>
      </c>
      <c r="C97" s="752">
        <f>IF(C82=0,0,C70/C82)</f>
        <v>19363.50963222417</v>
      </c>
      <c r="D97" s="752">
        <f>IF(D82=0,0,D70/D82)</f>
        <v>19571.169708029196</v>
      </c>
      <c r="E97" s="752">
        <f>IF(E82=0,0,E70/E82)</f>
        <v>16709.056907659273</v>
      </c>
    </row>
    <row r="98" spans="1:5" ht="26.1" customHeight="1" x14ac:dyDescent="0.25">
      <c r="A98" s="753">
        <v>3</v>
      </c>
      <c r="B98" s="754" t="s">
        <v>994</v>
      </c>
      <c r="C98" s="757">
        <f>+C96+C97</f>
        <v>70406.637478108576</v>
      </c>
      <c r="D98" s="757">
        <f>+D96+D97</f>
        <v>73934.868613138678</v>
      </c>
      <c r="E98" s="757">
        <f>+E96+E97</f>
        <v>72230.921617752334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995</v>
      </c>
      <c r="B100" s="745" t="s">
        <v>996</v>
      </c>
    </row>
    <row r="101" spans="1:5" ht="26.1" customHeight="1" x14ac:dyDescent="0.25">
      <c r="A101" s="742">
        <v>1</v>
      </c>
      <c r="B101" s="743" t="s">
        <v>997</v>
      </c>
      <c r="C101" s="744">
        <f>IF(C83=0,0,C75/C83)</f>
        <v>54123.423432682423</v>
      </c>
      <c r="D101" s="744">
        <f>IF(D83=0,0,D75/D83)</f>
        <v>58996.276595744683</v>
      </c>
      <c r="E101" s="744">
        <f>IF(E83=0,0,E75/E83)</f>
        <v>60264.636442328505</v>
      </c>
    </row>
    <row r="102" spans="1:5" ht="26.1" customHeight="1" x14ac:dyDescent="0.25">
      <c r="A102" s="742">
        <v>2</v>
      </c>
      <c r="B102" s="743" t="s">
        <v>998</v>
      </c>
      <c r="C102" s="761">
        <f>IF(C83=0,0,C76/C83)</f>
        <v>20532.248715313464</v>
      </c>
      <c r="D102" s="761">
        <f>IF(D83=0,0,D76/D83)</f>
        <v>21236.476063829788</v>
      </c>
      <c r="E102" s="761">
        <f>IF(E83=0,0,E76/E83)</f>
        <v>18136.371997403159</v>
      </c>
    </row>
    <row r="103" spans="1:5" ht="26.1" customHeight="1" x14ac:dyDescent="0.25">
      <c r="A103" s="753">
        <v>3</v>
      </c>
      <c r="B103" s="754" t="s">
        <v>996</v>
      </c>
      <c r="C103" s="757">
        <f>+C101+C102</f>
        <v>74655.67214799588</v>
      </c>
      <c r="D103" s="757">
        <f>+D101+D102</f>
        <v>80232.752659574471</v>
      </c>
      <c r="E103" s="757">
        <f>+E101+E102</f>
        <v>78401.008439731668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999</v>
      </c>
      <c r="B107" s="736" t="s">
        <v>1000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1001</v>
      </c>
      <c r="C108" s="744">
        <f>IF(C19=0,0,C77/C19)</f>
        <v>2477.4042154087515</v>
      </c>
      <c r="D108" s="744">
        <f>IF(D19=0,0,D77/D19)</f>
        <v>2315.3092641744747</v>
      </c>
      <c r="E108" s="744">
        <f>IF(E19=0,0,E77/E19)</f>
        <v>2352.0811530221386</v>
      </c>
    </row>
    <row r="109" spans="1:5" ht="26.1" customHeight="1" x14ac:dyDescent="0.25">
      <c r="A109" s="742">
        <v>2</v>
      </c>
      <c r="B109" s="743" t="s">
        <v>1002</v>
      </c>
      <c r="C109" s="744">
        <f>IF(C20=0,0,C77/C20)</f>
        <v>10284.577233470196</v>
      </c>
      <c r="D109" s="744">
        <f>IF(D20=0,0,D77/D20)</f>
        <v>10089.469899665552</v>
      </c>
      <c r="E109" s="744">
        <f>IF(E20=0,0,E77/E20)</f>
        <v>10448.192069214132</v>
      </c>
    </row>
    <row r="110" spans="1:5" ht="26.1" customHeight="1" x14ac:dyDescent="0.25">
      <c r="A110" s="742">
        <v>3</v>
      </c>
      <c r="B110" s="743" t="s">
        <v>1003</v>
      </c>
      <c r="C110" s="744">
        <f>IF(C22=0,0,C77/C22)</f>
        <v>1097.4946617048449</v>
      </c>
      <c r="D110" s="744">
        <f>IF(D22=0,0,D77/D22)</f>
        <v>1030.1091041561872</v>
      </c>
      <c r="E110" s="744">
        <f>IF(E22=0,0,E77/E22)</f>
        <v>1000.6849218608386</v>
      </c>
    </row>
    <row r="111" spans="1:5" ht="26.1" customHeight="1" x14ac:dyDescent="0.25">
      <c r="A111" s="742">
        <v>4</v>
      </c>
      <c r="B111" s="743" t="s">
        <v>1004</v>
      </c>
      <c r="C111" s="744">
        <f>IF(C23=0,0,C77/C23)</f>
        <v>4556.0867868961859</v>
      </c>
      <c r="D111" s="744">
        <f>IF(D23=0,0,D77/D23)</f>
        <v>4488.9272291064835</v>
      </c>
      <c r="E111" s="744">
        <f>IF(E23=0,0,E77/E23)</f>
        <v>4445.1477581607778</v>
      </c>
    </row>
    <row r="112" spans="1:5" ht="26.1" customHeight="1" x14ac:dyDescent="0.25">
      <c r="A112" s="742">
        <v>5</v>
      </c>
      <c r="B112" s="743" t="s">
        <v>1005</v>
      </c>
      <c r="C112" s="744">
        <f>IF(C29=0,0,C77/C29)</f>
        <v>967.05348228379466</v>
      </c>
      <c r="D112" s="744">
        <f>IF(D29=0,0,D77/D29)</f>
        <v>900.8388102117691</v>
      </c>
      <c r="E112" s="744">
        <f>IF(E29=0,0,E77/E29)</f>
        <v>883.84682321293758</v>
      </c>
    </row>
    <row r="113" spans="1:7" ht="25.5" customHeight="1" x14ac:dyDescent="0.25">
      <c r="A113" s="742">
        <v>6</v>
      </c>
      <c r="B113" s="743" t="s">
        <v>1006</v>
      </c>
      <c r="C113" s="744">
        <f>IF(C30=0,0,C77/C30)</f>
        <v>4014.5795206064204</v>
      </c>
      <c r="D113" s="744">
        <f>IF(D30=0,0,D77/D30)</f>
        <v>3925.603460720768</v>
      </c>
      <c r="E113" s="744">
        <f>IF(E30=0,0,E77/E30)</f>
        <v>3926.1406252195752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FILING&amp;R&amp;"Arial,Bold"&amp;12GRIFFIN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443697092</v>
      </c>
      <c r="D12" s="76">
        <v>482918974</v>
      </c>
      <c r="E12" s="76">
        <f t="shared" ref="E12:E21" si="0">D12-C12</f>
        <v>39221882</v>
      </c>
      <c r="F12" s="77">
        <f t="shared" ref="F12:F21" si="1">IF(C12=0,0,E12/C12)</f>
        <v>8.8397879335210969E-2</v>
      </c>
    </row>
    <row r="13" spans="1:8" ht="23.1" customHeight="1" x14ac:dyDescent="0.2">
      <c r="A13" s="74">
        <v>2</v>
      </c>
      <c r="B13" s="75" t="s">
        <v>72</v>
      </c>
      <c r="C13" s="76">
        <v>310668115</v>
      </c>
      <c r="D13" s="76">
        <v>342181446</v>
      </c>
      <c r="E13" s="76">
        <f t="shared" si="0"/>
        <v>31513331</v>
      </c>
      <c r="F13" s="77">
        <f t="shared" si="1"/>
        <v>0.10143728782723647</v>
      </c>
    </row>
    <row r="14" spans="1:8" ht="23.1" customHeight="1" x14ac:dyDescent="0.2">
      <c r="A14" s="74">
        <v>3</v>
      </c>
      <c r="B14" s="75" t="s">
        <v>73</v>
      </c>
      <c r="C14" s="76">
        <v>4849739</v>
      </c>
      <c r="D14" s="76">
        <v>3784979</v>
      </c>
      <c r="E14" s="76">
        <f t="shared" si="0"/>
        <v>-1064760</v>
      </c>
      <c r="F14" s="77">
        <f t="shared" si="1"/>
        <v>-0.21954995928646881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128179238</v>
      </c>
      <c r="D16" s="79">
        <f>D12-D13-D14-D15</f>
        <v>136952549</v>
      </c>
      <c r="E16" s="79">
        <f t="shared" si="0"/>
        <v>8773311</v>
      </c>
      <c r="F16" s="80">
        <f t="shared" si="1"/>
        <v>6.8445647960553482E-2</v>
      </c>
    </row>
    <row r="17" spans="1:7" ht="23.1" customHeight="1" x14ac:dyDescent="0.2">
      <c r="A17" s="74">
        <v>5</v>
      </c>
      <c r="B17" s="75" t="s">
        <v>76</v>
      </c>
      <c r="C17" s="76">
        <v>2373418</v>
      </c>
      <c r="D17" s="76">
        <v>1054556</v>
      </c>
      <c r="E17" s="76">
        <f t="shared" si="0"/>
        <v>-1318862</v>
      </c>
      <c r="F17" s="77">
        <f t="shared" si="1"/>
        <v>-0.55568045746682637</v>
      </c>
      <c r="G17" s="65"/>
    </row>
    <row r="18" spans="1:7" ht="31.5" customHeight="1" x14ac:dyDescent="0.25">
      <c r="A18" s="71"/>
      <c r="B18" s="81" t="s">
        <v>77</v>
      </c>
      <c r="C18" s="79">
        <f>C16-C17</f>
        <v>125805820</v>
      </c>
      <c r="D18" s="79">
        <f>D16-D17</f>
        <v>135897993</v>
      </c>
      <c r="E18" s="79">
        <f t="shared" si="0"/>
        <v>10092173</v>
      </c>
      <c r="F18" s="80">
        <f t="shared" si="1"/>
        <v>8.0220239413407113E-2</v>
      </c>
    </row>
    <row r="19" spans="1:7" ht="23.1" customHeight="1" x14ac:dyDescent="0.2">
      <c r="A19" s="74">
        <v>6</v>
      </c>
      <c r="B19" s="75" t="s">
        <v>78</v>
      </c>
      <c r="C19" s="76">
        <v>3603467</v>
      </c>
      <c r="D19" s="76">
        <v>3270624</v>
      </c>
      <c r="E19" s="76">
        <f t="shared" si="0"/>
        <v>-332843</v>
      </c>
      <c r="F19" s="77">
        <f t="shared" si="1"/>
        <v>-9.236743391850126E-2</v>
      </c>
      <c r="G19" s="65"/>
    </row>
    <row r="20" spans="1:7" ht="33" customHeight="1" x14ac:dyDescent="0.2">
      <c r="A20" s="74">
        <v>7</v>
      </c>
      <c r="B20" s="82" t="s">
        <v>79</v>
      </c>
      <c r="C20" s="76">
        <v>110583</v>
      </c>
      <c r="D20" s="76">
        <v>0</v>
      </c>
      <c r="E20" s="76">
        <f t="shared" si="0"/>
        <v>-110583</v>
      </c>
      <c r="F20" s="77">
        <f t="shared" si="1"/>
        <v>-1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129519870</v>
      </c>
      <c r="D21" s="79">
        <f>SUM(D18:D20)</f>
        <v>139168617</v>
      </c>
      <c r="E21" s="79">
        <f t="shared" si="0"/>
        <v>9648747</v>
      </c>
      <c r="F21" s="80">
        <f t="shared" si="1"/>
        <v>7.4496268410399108E-2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53238240</v>
      </c>
      <c r="D24" s="76">
        <v>55696577</v>
      </c>
      <c r="E24" s="76">
        <f t="shared" ref="E24:E33" si="2">D24-C24</f>
        <v>2458337</v>
      </c>
      <c r="F24" s="77">
        <f t="shared" ref="F24:F33" si="3">IF(C24=0,0,E24/C24)</f>
        <v>4.6176150826924403E-2</v>
      </c>
    </row>
    <row r="25" spans="1:7" ht="23.1" customHeight="1" x14ac:dyDescent="0.2">
      <c r="A25" s="74">
        <v>2</v>
      </c>
      <c r="B25" s="75" t="s">
        <v>83</v>
      </c>
      <c r="C25" s="76">
        <v>19163796</v>
      </c>
      <c r="D25" s="76">
        <v>16761635</v>
      </c>
      <c r="E25" s="76">
        <f t="shared" si="2"/>
        <v>-2402161</v>
      </c>
      <c r="F25" s="77">
        <f t="shared" si="3"/>
        <v>-0.12534891312764965</v>
      </c>
    </row>
    <row r="26" spans="1:7" ht="23.1" customHeight="1" x14ac:dyDescent="0.2">
      <c r="A26" s="74">
        <v>3</v>
      </c>
      <c r="B26" s="75" t="s">
        <v>84</v>
      </c>
      <c r="C26" s="76">
        <v>2857151</v>
      </c>
      <c r="D26" s="76">
        <v>3514363</v>
      </c>
      <c r="E26" s="76">
        <f t="shared" si="2"/>
        <v>657212</v>
      </c>
      <c r="F26" s="77">
        <f t="shared" si="3"/>
        <v>0.23002354443289835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16775313</v>
      </c>
      <c r="D27" s="76">
        <v>19889030</v>
      </c>
      <c r="E27" s="76">
        <f t="shared" si="2"/>
        <v>3113717</v>
      </c>
      <c r="F27" s="77">
        <f t="shared" si="3"/>
        <v>0.18561304936605355</v>
      </c>
    </row>
    <row r="28" spans="1:7" ht="23.1" customHeight="1" x14ac:dyDescent="0.2">
      <c r="A28" s="74">
        <v>5</v>
      </c>
      <c r="B28" s="75" t="s">
        <v>86</v>
      </c>
      <c r="C28" s="76">
        <v>6099345</v>
      </c>
      <c r="D28" s="76">
        <v>5750673</v>
      </c>
      <c r="E28" s="76">
        <f t="shared" si="2"/>
        <v>-348672</v>
      </c>
      <c r="F28" s="77">
        <f t="shared" si="3"/>
        <v>-5.7165482523123382E-2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2450664</v>
      </c>
      <c r="D30" s="76">
        <v>3531142</v>
      </c>
      <c r="E30" s="76">
        <f t="shared" si="2"/>
        <v>1080478</v>
      </c>
      <c r="F30" s="77">
        <f t="shared" si="3"/>
        <v>0.44089193785847425</v>
      </c>
    </row>
    <row r="31" spans="1:7" ht="23.1" customHeight="1" x14ac:dyDescent="0.2">
      <c r="A31" s="74">
        <v>8</v>
      </c>
      <c r="B31" s="75" t="s">
        <v>89</v>
      </c>
      <c r="C31" s="76">
        <v>3082676</v>
      </c>
      <c r="D31" s="76">
        <v>563492</v>
      </c>
      <c r="E31" s="76">
        <f t="shared" si="2"/>
        <v>-2519184</v>
      </c>
      <c r="F31" s="77">
        <f t="shared" si="3"/>
        <v>-0.81720686831830525</v>
      </c>
    </row>
    <row r="32" spans="1:7" ht="23.1" customHeight="1" x14ac:dyDescent="0.2">
      <c r="A32" s="74">
        <v>9</v>
      </c>
      <c r="B32" s="75" t="s">
        <v>90</v>
      </c>
      <c r="C32" s="76">
        <v>23709355</v>
      </c>
      <c r="D32" s="76">
        <v>24568575</v>
      </c>
      <c r="E32" s="76">
        <f t="shared" si="2"/>
        <v>859220</v>
      </c>
      <c r="F32" s="77">
        <f t="shared" si="3"/>
        <v>3.6239703695018277E-2</v>
      </c>
    </row>
    <row r="33" spans="1:6" ht="23.1" customHeight="1" x14ac:dyDescent="0.25">
      <c r="A33" s="71"/>
      <c r="B33" s="78" t="s">
        <v>91</v>
      </c>
      <c r="C33" s="79">
        <f>SUM(C24:C32)</f>
        <v>127376540</v>
      </c>
      <c r="D33" s="79">
        <f>SUM(D24:D32)</f>
        <v>130275487</v>
      </c>
      <c r="E33" s="79">
        <f t="shared" si="2"/>
        <v>2898947</v>
      </c>
      <c r="F33" s="80">
        <f t="shared" si="3"/>
        <v>2.275887694861236E-2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2143330</v>
      </c>
      <c r="D35" s="79">
        <f>+D21-D33</f>
        <v>8893130</v>
      </c>
      <c r="E35" s="79">
        <f>D35-C35</f>
        <v>6749800</v>
      </c>
      <c r="F35" s="80">
        <f>IF(C35=0,0,E35/C35)</f>
        <v>3.149211740609239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436170</v>
      </c>
      <c r="D38" s="76">
        <v>750312</v>
      </c>
      <c r="E38" s="76">
        <f>D38-C38</f>
        <v>314142</v>
      </c>
      <c r="F38" s="77">
        <f>IF(C38=0,0,E38/C38)</f>
        <v>0.72022835133090313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0</v>
      </c>
      <c r="D40" s="76">
        <v>0</v>
      </c>
      <c r="E40" s="76">
        <f>D40-C40</f>
        <v>0</v>
      </c>
      <c r="F40" s="77">
        <f>IF(C40=0,0,E40/C40)</f>
        <v>0</v>
      </c>
    </row>
    <row r="41" spans="1:6" ht="23.1" customHeight="1" x14ac:dyDescent="0.25">
      <c r="A41" s="83"/>
      <c r="B41" s="78" t="s">
        <v>97</v>
      </c>
      <c r="C41" s="79">
        <f>SUM(C38:C40)</f>
        <v>436170</v>
      </c>
      <c r="D41" s="79">
        <f>SUM(D38:D40)</f>
        <v>750312</v>
      </c>
      <c r="E41" s="79">
        <f>D41-C41</f>
        <v>314142</v>
      </c>
      <c r="F41" s="80">
        <f>IF(C41=0,0,E41/C41)</f>
        <v>0.72022835133090313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2579500</v>
      </c>
      <c r="D43" s="79">
        <f>D35+D41</f>
        <v>9643442</v>
      </c>
      <c r="E43" s="79">
        <f>D43-C43</f>
        <v>7063942</v>
      </c>
      <c r="F43" s="80">
        <f>IF(C43=0,0,E43/C43)</f>
        <v>2.7384927311494476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1743496</v>
      </c>
      <c r="D47" s="76">
        <v>-1809312</v>
      </c>
      <c r="E47" s="76">
        <f>D47-C47</f>
        <v>-3552808</v>
      </c>
      <c r="F47" s="77">
        <f>IF(C47=0,0,E47/C47)</f>
        <v>-2.0377494413523176</v>
      </c>
    </row>
    <row r="48" spans="1:6" ht="23.1" customHeight="1" x14ac:dyDescent="0.25">
      <c r="A48" s="83"/>
      <c r="B48" s="78" t="s">
        <v>102</v>
      </c>
      <c r="C48" s="79">
        <f>SUM(C46:C47)</f>
        <v>1743496</v>
      </c>
      <c r="D48" s="79">
        <f>SUM(D46:D47)</f>
        <v>-1809312</v>
      </c>
      <c r="E48" s="79">
        <f>D48-C48</f>
        <v>-3552808</v>
      </c>
      <c r="F48" s="80">
        <f>IF(C48=0,0,E48/C48)</f>
        <v>-2.0377494413523176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4322996</v>
      </c>
      <c r="D50" s="79">
        <f>D43+D48</f>
        <v>7834130</v>
      </c>
      <c r="E50" s="79">
        <f>D50-C50</f>
        <v>3511134</v>
      </c>
      <c r="F50" s="80">
        <f>IF(C50=0,0,E50/C50)</f>
        <v>0.81219922479687701</v>
      </c>
    </row>
    <row r="51" spans="1:6" ht="23.1" customHeight="1" x14ac:dyDescent="0.2">
      <c r="A51" s="85"/>
      <c r="B51" s="75" t="s">
        <v>104</v>
      </c>
      <c r="C51" s="76">
        <v>1935000</v>
      </c>
      <c r="D51" s="76">
        <v>2040000</v>
      </c>
      <c r="E51" s="76">
        <f>D51-C51</f>
        <v>105000</v>
      </c>
      <c r="F51" s="77">
        <f>IF(C51=0,0,E51/C51)</f>
        <v>5.4263565891472867E-2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fitToHeight="0" orientation="portrait" horizontalDpi="1200" verticalDpi="1200" r:id="rId1"/>
  <headerFooter>
    <oddHeader>&amp;LOFFICE OF HEALTH CARE ACCESS&amp;CTWELVE MONTHS ACTUAL FILING&amp;RGRIFFIN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82084899</v>
      </c>
      <c r="D14" s="113">
        <v>78528962</v>
      </c>
      <c r="E14" s="113">
        <f t="shared" ref="E14:E25" si="0">D14-C14</f>
        <v>-3555937</v>
      </c>
      <c r="F14" s="114">
        <f t="shared" ref="F14:F25" si="1">IF(C14=0,0,E14/C14)</f>
        <v>-4.3320233603503615E-2</v>
      </c>
    </row>
    <row r="15" spans="1:6" x14ac:dyDescent="0.2">
      <c r="A15" s="115">
        <v>2</v>
      </c>
      <c r="B15" s="116" t="s">
        <v>114</v>
      </c>
      <c r="C15" s="113">
        <v>33638793</v>
      </c>
      <c r="D15" s="113">
        <v>37279528</v>
      </c>
      <c r="E15" s="113">
        <f t="shared" si="0"/>
        <v>3640735</v>
      </c>
      <c r="F15" s="114">
        <f t="shared" si="1"/>
        <v>0.10823025071083853</v>
      </c>
    </row>
    <row r="16" spans="1:6" x14ac:dyDescent="0.2">
      <c r="A16" s="115">
        <v>3</v>
      </c>
      <c r="B16" s="116" t="s">
        <v>115</v>
      </c>
      <c r="C16" s="113">
        <v>25825407</v>
      </c>
      <c r="D16" s="113">
        <v>32386777</v>
      </c>
      <c r="E16" s="113">
        <f t="shared" si="0"/>
        <v>6561370</v>
      </c>
      <c r="F16" s="114">
        <f t="shared" si="1"/>
        <v>0.2540664702786678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110445</v>
      </c>
      <c r="D18" s="113">
        <v>111721</v>
      </c>
      <c r="E18" s="113">
        <f t="shared" si="0"/>
        <v>1276</v>
      </c>
      <c r="F18" s="114">
        <f t="shared" si="1"/>
        <v>1.1553261804518086E-2</v>
      </c>
    </row>
    <row r="19" spans="1:6" x14ac:dyDescent="0.2">
      <c r="A19" s="115">
        <v>6</v>
      </c>
      <c r="B19" s="116" t="s">
        <v>118</v>
      </c>
      <c r="C19" s="113">
        <v>6250259</v>
      </c>
      <c r="D19" s="113">
        <v>6803869</v>
      </c>
      <c r="E19" s="113">
        <f t="shared" si="0"/>
        <v>553610</v>
      </c>
      <c r="F19" s="114">
        <f t="shared" si="1"/>
        <v>8.857392949636167E-2</v>
      </c>
    </row>
    <row r="20" spans="1:6" x14ac:dyDescent="0.2">
      <c r="A20" s="115">
        <v>7</v>
      </c>
      <c r="B20" s="116" t="s">
        <v>119</v>
      </c>
      <c r="C20" s="113">
        <v>45860321</v>
      </c>
      <c r="D20" s="113">
        <v>47866434</v>
      </c>
      <c r="E20" s="113">
        <f t="shared" si="0"/>
        <v>2006113</v>
      </c>
      <c r="F20" s="114">
        <f t="shared" si="1"/>
        <v>4.3743980771525783E-2</v>
      </c>
    </row>
    <row r="21" spans="1:6" x14ac:dyDescent="0.2">
      <c r="A21" s="115">
        <v>8</v>
      </c>
      <c r="B21" s="116" t="s">
        <v>120</v>
      </c>
      <c r="C21" s="113">
        <v>1600613</v>
      </c>
      <c r="D21" s="113">
        <v>1702867</v>
      </c>
      <c r="E21" s="113">
        <f t="shared" si="0"/>
        <v>102254</v>
      </c>
      <c r="F21" s="114">
        <f t="shared" si="1"/>
        <v>6.3884274337394492E-2</v>
      </c>
    </row>
    <row r="22" spans="1:6" x14ac:dyDescent="0.2">
      <c r="A22" s="115">
        <v>9</v>
      </c>
      <c r="B22" s="116" t="s">
        <v>121</v>
      </c>
      <c r="C22" s="113">
        <v>2035467</v>
      </c>
      <c r="D22" s="113">
        <v>776076</v>
      </c>
      <c r="E22" s="113">
        <f t="shared" si="0"/>
        <v>-1259391</v>
      </c>
      <c r="F22" s="114">
        <f t="shared" si="1"/>
        <v>-0.61872336913347159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197406204</v>
      </c>
      <c r="D25" s="119">
        <f>SUM(D14:D24)</f>
        <v>205456234</v>
      </c>
      <c r="E25" s="119">
        <f t="shared" si="0"/>
        <v>8050030</v>
      </c>
      <c r="F25" s="120">
        <f t="shared" si="1"/>
        <v>4.0779012193558013E-2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55055928</v>
      </c>
      <c r="D27" s="113">
        <v>65287070</v>
      </c>
      <c r="E27" s="113">
        <f t="shared" ref="E27:E38" si="2">D27-C27</f>
        <v>10231142</v>
      </c>
      <c r="F27" s="114">
        <f t="shared" ref="F27:F38" si="3">IF(C27=0,0,E27/C27)</f>
        <v>0.18583179635079441</v>
      </c>
    </row>
    <row r="28" spans="1:6" x14ac:dyDescent="0.2">
      <c r="A28" s="115">
        <v>2</v>
      </c>
      <c r="B28" s="116" t="s">
        <v>114</v>
      </c>
      <c r="C28" s="113">
        <v>25867374</v>
      </c>
      <c r="D28" s="113">
        <v>29452553</v>
      </c>
      <c r="E28" s="113">
        <f t="shared" si="2"/>
        <v>3585179</v>
      </c>
      <c r="F28" s="114">
        <f t="shared" si="3"/>
        <v>0.13859849090209156</v>
      </c>
    </row>
    <row r="29" spans="1:6" x14ac:dyDescent="0.2">
      <c r="A29" s="115">
        <v>3</v>
      </c>
      <c r="B29" s="116" t="s">
        <v>115</v>
      </c>
      <c r="C29" s="113">
        <v>46202245</v>
      </c>
      <c r="D29" s="113">
        <v>57863722</v>
      </c>
      <c r="E29" s="113">
        <f t="shared" si="2"/>
        <v>11661477</v>
      </c>
      <c r="F29" s="114">
        <f t="shared" si="3"/>
        <v>0.25240065715421406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673183</v>
      </c>
      <c r="D31" s="113">
        <v>330872</v>
      </c>
      <c r="E31" s="113">
        <f t="shared" si="2"/>
        <v>-342311</v>
      </c>
      <c r="F31" s="114">
        <f t="shared" si="3"/>
        <v>-0.50849620385541527</v>
      </c>
    </row>
    <row r="32" spans="1:6" x14ac:dyDescent="0.2">
      <c r="A32" s="115">
        <v>6</v>
      </c>
      <c r="B32" s="116" t="s">
        <v>118</v>
      </c>
      <c r="C32" s="113">
        <v>6337368</v>
      </c>
      <c r="D32" s="113">
        <v>7092712</v>
      </c>
      <c r="E32" s="113">
        <f t="shared" si="2"/>
        <v>755344</v>
      </c>
      <c r="F32" s="114">
        <f t="shared" si="3"/>
        <v>0.11918891249490325</v>
      </c>
    </row>
    <row r="33" spans="1:6" x14ac:dyDescent="0.2">
      <c r="A33" s="115">
        <v>7</v>
      </c>
      <c r="B33" s="116" t="s">
        <v>119</v>
      </c>
      <c r="C33" s="113">
        <v>103255701</v>
      </c>
      <c r="D33" s="113">
        <v>108055725</v>
      </c>
      <c r="E33" s="113">
        <f t="shared" si="2"/>
        <v>4800024</v>
      </c>
      <c r="F33" s="114">
        <f t="shared" si="3"/>
        <v>4.6486769771675852E-2</v>
      </c>
    </row>
    <row r="34" spans="1:6" x14ac:dyDescent="0.2">
      <c r="A34" s="115">
        <v>8</v>
      </c>
      <c r="B34" s="116" t="s">
        <v>120</v>
      </c>
      <c r="C34" s="113">
        <v>5439200</v>
      </c>
      <c r="D34" s="113">
        <v>5884505</v>
      </c>
      <c r="E34" s="113">
        <f t="shared" si="2"/>
        <v>445305</v>
      </c>
      <c r="F34" s="114">
        <f t="shared" si="3"/>
        <v>8.1869576408295341E-2</v>
      </c>
    </row>
    <row r="35" spans="1:6" x14ac:dyDescent="0.2">
      <c r="A35" s="115">
        <v>9</v>
      </c>
      <c r="B35" s="116" t="s">
        <v>121</v>
      </c>
      <c r="C35" s="113">
        <v>3459888</v>
      </c>
      <c r="D35" s="113">
        <v>3495581</v>
      </c>
      <c r="E35" s="113">
        <f t="shared" si="2"/>
        <v>35693</v>
      </c>
      <c r="F35" s="114">
        <f t="shared" si="3"/>
        <v>1.0316229889522435E-2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246290887</v>
      </c>
      <c r="D38" s="119">
        <f>SUM(D27:D37)</f>
        <v>277462740</v>
      </c>
      <c r="E38" s="119">
        <f t="shared" si="2"/>
        <v>31171853</v>
      </c>
      <c r="F38" s="120">
        <f t="shared" si="3"/>
        <v>0.1265651903718224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137140827</v>
      </c>
      <c r="D41" s="119">
        <f t="shared" si="4"/>
        <v>143816032</v>
      </c>
      <c r="E41" s="123">
        <f t="shared" ref="E41:E52" si="5">D41-C41</f>
        <v>6675205</v>
      </c>
      <c r="F41" s="124">
        <f t="shared" ref="F41:F52" si="6">IF(C41=0,0,E41/C41)</f>
        <v>4.8674090320309941E-2</v>
      </c>
    </row>
    <row r="42" spans="1:6" ht="15.75" x14ac:dyDescent="0.25">
      <c r="A42" s="121">
        <v>2</v>
      </c>
      <c r="B42" s="122" t="s">
        <v>114</v>
      </c>
      <c r="C42" s="119">
        <f t="shared" si="4"/>
        <v>59506167</v>
      </c>
      <c r="D42" s="119">
        <f t="shared" si="4"/>
        <v>66732081</v>
      </c>
      <c r="E42" s="123">
        <f t="shared" si="5"/>
        <v>7225914</v>
      </c>
      <c r="F42" s="124">
        <f t="shared" si="6"/>
        <v>0.12143134677116743</v>
      </c>
    </row>
    <row r="43" spans="1:6" ht="15.75" x14ac:dyDescent="0.25">
      <c r="A43" s="121">
        <v>3</v>
      </c>
      <c r="B43" s="122" t="s">
        <v>115</v>
      </c>
      <c r="C43" s="119">
        <f t="shared" si="4"/>
        <v>72027652</v>
      </c>
      <c r="D43" s="119">
        <f t="shared" si="4"/>
        <v>90250499</v>
      </c>
      <c r="E43" s="123">
        <f t="shared" si="5"/>
        <v>18222847</v>
      </c>
      <c r="F43" s="124">
        <f t="shared" si="6"/>
        <v>0.25299793196090858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783628</v>
      </c>
      <c r="D45" s="119">
        <f t="shared" si="4"/>
        <v>442593</v>
      </c>
      <c r="E45" s="123">
        <f t="shared" si="5"/>
        <v>-341035</v>
      </c>
      <c r="F45" s="124">
        <f t="shared" si="6"/>
        <v>-0.43520012046532286</v>
      </c>
    </row>
    <row r="46" spans="1:6" ht="15.75" x14ac:dyDescent="0.25">
      <c r="A46" s="121">
        <v>6</v>
      </c>
      <c r="B46" s="122" t="s">
        <v>118</v>
      </c>
      <c r="C46" s="119">
        <f t="shared" si="4"/>
        <v>12587627</v>
      </c>
      <c r="D46" s="119">
        <f t="shared" si="4"/>
        <v>13896581</v>
      </c>
      <c r="E46" s="123">
        <f t="shared" si="5"/>
        <v>1308954</v>
      </c>
      <c r="F46" s="124">
        <f t="shared" si="6"/>
        <v>0.1039873520243331</v>
      </c>
    </row>
    <row r="47" spans="1:6" ht="15.75" x14ac:dyDescent="0.25">
      <c r="A47" s="121">
        <v>7</v>
      </c>
      <c r="B47" s="122" t="s">
        <v>119</v>
      </c>
      <c r="C47" s="119">
        <f t="shared" si="4"/>
        <v>149116022</v>
      </c>
      <c r="D47" s="119">
        <f t="shared" si="4"/>
        <v>155922159</v>
      </c>
      <c r="E47" s="123">
        <f t="shared" si="5"/>
        <v>6806137</v>
      </c>
      <c r="F47" s="124">
        <f t="shared" si="6"/>
        <v>4.5643230745519757E-2</v>
      </c>
    </row>
    <row r="48" spans="1:6" ht="15.75" x14ac:dyDescent="0.25">
      <c r="A48" s="121">
        <v>8</v>
      </c>
      <c r="B48" s="122" t="s">
        <v>120</v>
      </c>
      <c r="C48" s="119">
        <f t="shared" si="4"/>
        <v>7039813</v>
      </c>
      <c r="D48" s="119">
        <f t="shared" si="4"/>
        <v>7587372</v>
      </c>
      <c r="E48" s="123">
        <f t="shared" si="5"/>
        <v>547559</v>
      </c>
      <c r="F48" s="124">
        <f t="shared" si="6"/>
        <v>7.7780333085552128E-2</v>
      </c>
    </row>
    <row r="49" spans="1:6" ht="15.75" x14ac:dyDescent="0.25">
      <c r="A49" s="121">
        <v>9</v>
      </c>
      <c r="B49" s="122" t="s">
        <v>121</v>
      </c>
      <c r="C49" s="119">
        <f t="shared" si="4"/>
        <v>5495355</v>
      </c>
      <c r="D49" s="119">
        <f t="shared" si="4"/>
        <v>4271657</v>
      </c>
      <c r="E49" s="123">
        <f t="shared" si="5"/>
        <v>-1223698</v>
      </c>
      <c r="F49" s="124">
        <f t="shared" si="6"/>
        <v>-0.22267860766046962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443697091</v>
      </c>
      <c r="D52" s="128">
        <f>SUM(D41:D51)</f>
        <v>482918974</v>
      </c>
      <c r="E52" s="127">
        <f t="shared" si="5"/>
        <v>39221883</v>
      </c>
      <c r="F52" s="129">
        <f t="shared" si="6"/>
        <v>8.8397881788231061E-2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26550991</v>
      </c>
      <c r="D57" s="113">
        <v>25040517</v>
      </c>
      <c r="E57" s="113">
        <f t="shared" ref="E57:E68" si="7">D57-C57</f>
        <v>-1510474</v>
      </c>
      <c r="F57" s="114">
        <f t="shared" ref="F57:F68" si="8">IF(C57=0,0,E57/C57)</f>
        <v>-5.6889552634777359E-2</v>
      </c>
    </row>
    <row r="58" spans="1:6" x14ac:dyDescent="0.2">
      <c r="A58" s="115">
        <v>2</v>
      </c>
      <c r="B58" s="116" t="s">
        <v>114</v>
      </c>
      <c r="C58" s="113">
        <v>8501894</v>
      </c>
      <c r="D58" s="113">
        <v>9773137</v>
      </c>
      <c r="E58" s="113">
        <f t="shared" si="7"/>
        <v>1271243</v>
      </c>
      <c r="F58" s="114">
        <f t="shared" si="8"/>
        <v>0.14952468238253735</v>
      </c>
    </row>
    <row r="59" spans="1:6" x14ac:dyDescent="0.2">
      <c r="A59" s="115">
        <v>3</v>
      </c>
      <c r="B59" s="116" t="s">
        <v>115</v>
      </c>
      <c r="C59" s="113">
        <v>4144209</v>
      </c>
      <c r="D59" s="113">
        <v>7507994</v>
      </c>
      <c r="E59" s="113">
        <f t="shared" si="7"/>
        <v>3363785</v>
      </c>
      <c r="F59" s="114">
        <f t="shared" si="8"/>
        <v>0.81168324280942394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29098</v>
      </c>
      <c r="D61" s="113">
        <v>38332</v>
      </c>
      <c r="E61" s="113">
        <f t="shared" si="7"/>
        <v>9234</v>
      </c>
      <c r="F61" s="114">
        <f t="shared" si="8"/>
        <v>0.31734139803422917</v>
      </c>
    </row>
    <row r="62" spans="1:6" x14ac:dyDescent="0.2">
      <c r="A62" s="115">
        <v>6</v>
      </c>
      <c r="B62" s="116" t="s">
        <v>118</v>
      </c>
      <c r="C62" s="113">
        <v>2723947</v>
      </c>
      <c r="D62" s="113">
        <v>2810575</v>
      </c>
      <c r="E62" s="113">
        <f t="shared" si="7"/>
        <v>86628</v>
      </c>
      <c r="F62" s="114">
        <f t="shared" si="8"/>
        <v>3.1802380883328492E-2</v>
      </c>
    </row>
    <row r="63" spans="1:6" x14ac:dyDescent="0.2">
      <c r="A63" s="115">
        <v>7</v>
      </c>
      <c r="B63" s="116" t="s">
        <v>119</v>
      </c>
      <c r="C63" s="113">
        <v>17560351</v>
      </c>
      <c r="D63" s="113">
        <v>18599912</v>
      </c>
      <c r="E63" s="113">
        <f t="shared" si="7"/>
        <v>1039561</v>
      </c>
      <c r="F63" s="114">
        <f t="shared" si="8"/>
        <v>5.9199329216141523E-2</v>
      </c>
    </row>
    <row r="64" spans="1:6" x14ac:dyDescent="0.2">
      <c r="A64" s="115">
        <v>8</v>
      </c>
      <c r="B64" s="116" t="s">
        <v>120</v>
      </c>
      <c r="C64" s="113">
        <v>1119914</v>
      </c>
      <c r="D64" s="113">
        <v>1051106</v>
      </c>
      <c r="E64" s="113">
        <f t="shared" si="7"/>
        <v>-68808</v>
      </c>
      <c r="F64" s="114">
        <f t="shared" si="8"/>
        <v>-6.1440432033173974E-2</v>
      </c>
    </row>
    <row r="65" spans="1:6" x14ac:dyDescent="0.2">
      <c r="A65" s="115">
        <v>9</v>
      </c>
      <c r="B65" s="116" t="s">
        <v>121</v>
      </c>
      <c r="C65" s="113">
        <v>392743</v>
      </c>
      <c r="D65" s="113">
        <v>432874</v>
      </c>
      <c r="E65" s="113">
        <f t="shared" si="7"/>
        <v>40131</v>
      </c>
      <c r="F65" s="114">
        <f t="shared" si="8"/>
        <v>0.10218132468306246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61023147</v>
      </c>
      <c r="D68" s="119">
        <f>SUM(D57:D67)</f>
        <v>65254447</v>
      </c>
      <c r="E68" s="119">
        <f t="shared" si="7"/>
        <v>4231300</v>
      </c>
      <c r="F68" s="120">
        <f t="shared" si="8"/>
        <v>6.9339262362198395E-2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10659489</v>
      </c>
      <c r="D70" s="113">
        <v>13128947</v>
      </c>
      <c r="E70" s="113">
        <f t="shared" ref="E70:E81" si="9">D70-C70</f>
        <v>2469458</v>
      </c>
      <c r="F70" s="114">
        <f t="shared" ref="F70:F81" si="10">IF(C70=0,0,E70/C70)</f>
        <v>0.23166757806119975</v>
      </c>
    </row>
    <row r="71" spans="1:6" x14ac:dyDescent="0.2">
      <c r="A71" s="115">
        <v>2</v>
      </c>
      <c r="B71" s="116" t="s">
        <v>114</v>
      </c>
      <c r="C71" s="113">
        <v>5135967</v>
      </c>
      <c r="D71" s="113">
        <v>5674700</v>
      </c>
      <c r="E71" s="113">
        <f t="shared" si="9"/>
        <v>538733</v>
      </c>
      <c r="F71" s="114">
        <f t="shared" si="10"/>
        <v>0.10489417085429092</v>
      </c>
    </row>
    <row r="72" spans="1:6" x14ac:dyDescent="0.2">
      <c r="A72" s="115">
        <v>3</v>
      </c>
      <c r="B72" s="116" t="s">
        <v>115</v>
      </c>
      <c r="C72" s="113">
        <v>8277794</v>
      </c>
      <c r="D72" s="113">
        <v>10695352</v>
      </c>
      <c r="E72" s="113">
        <f t="shared" si="9"/>
        <v>2417558</v>
      </c>
      <c r="F72" s="114">
        <f t="shared" si="10"/>
        <v>0.29205341423089293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0</v>
      </c>
      <c r="D74" s="113">
        <v>72683</v>
      </c>
      <c r="E74" s="113">
        <f t="shared" si="9"/>
        <v>72683</v>
      </c>
      <c r="F74" s="114">
        <f t="shared" si="10"/>
        <v>0</v>
      </c>
    </row>
    <row r="75" spans="1:6" x14ac:dyDescent="0.2">
      <c r="A75" s="115">
        <v>6</v>
      </c>
      <c r="B75" s="116" t="s">
        <v>118</v>
      </c>
      <c r="C75" s="113">
        <v>2778907</v>
      </c>
      <c r="D75" s="113">
        <v>3357822</v>
      </c>
      <c r="E75" s="113">
        <f t="shared" si="9"/>
        <v>578915</v>
      </c>
      <c r="F75" s="114">
        <f t="shared" si="10"/>
        <v>0.20832471183814355</v>
      </c>
    </row>
    <row r="76" spans="1:6" x14ac:dyDescent="0.2">
      <c r="A76" s="115">
        <v>7</v>
      </c>
      <c r="B76" s="116" t="s">
        <v>119</v>
      </c>
      <c r="C76" s="113">
        <v>35453215</v>
      </c>
      <c r="D76" s="113">
        <v>38119474</v>
      </c>
      <c r="E76" s="113">
        <f t="shared" si="9"/>
        <v>2666259</v>
      </c>
      <c r="F76" s="114">
        <f t="shared" si="10"/>
        <v>7.520499903887419E-2</v>
      </c>
    </row>
    <row r="77" spans="1:6" x14ac:dyDescent="0.2">
      <c r="A77" s="115">
        <v>8</v>
      </c>
      <c r="B77" s="116" t="s">
        <v>120</v>
      </c>
      <c r="C77" s="113">
        <v>2660191</v>
      </c>
      <c r="D77" s="113">
        <v>2362243</v>
      </c>
      <c r="E77" s="113">
        <f t="shared" si="9"/>
        <v>-297948</v>
      </c>
      <c r="F77" s="114">
        <f t="shared" si="10"/>
        <v>-0.11200248403216161</v>
      </c>
    </row>
    <row r="78" spans="1:6" x14ac:dyDescent="0.2">
      <c r="A78" s="115">
        <v>9</v>
      </c>
      <c r="B78" s="116" t="s">
        <v>121</v>
      </c>
      <c r="C78" s="113">
        <v>407470</v>
      </c>
      <c r="D78" s="113">
        <v>384446</v>
      </c>
      <c r="E78" s="113">
        <f t="shared" si="9"/>
        <v>-23024</v>
      </c>
      <c r="F78" s="114">
        <f t="shared" si="10"/>
        <v>-5.6504773357547798E-2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65373033</v>
      </c>
      <c r="D81" s="119">
        <f>SUM(D70:D80)</f>
        <v>73795667</v>
      </c>
      <c r="E81" s="119">
        <f t="shared" si="9"/>
        <v>8422634</v>
      </c>
      <c r="F81" s="120">
        <f t="shared" si="10"/>
        <v>0.12883957824015907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37210480</v>
      </c>
      <c r="D84" s="119">
        <f t="shared" si="11"/>
        <v>38169464</v>
      </c>
      <c r="E84" s="119">
        <f t="shared" ref="E84:E95" si="12">D84-C84</f>
        <v>958984</v>
      </c>
      <c r="F84" s="120">
        <f t="shared" ref="F84:F95" si="13">IF(C84=0,0,E84/C84)</f>
        <v>2.5771879320019522E-2</v>
      </c>
    </row>
    <row r="85" spans="1:6" ht="15.75" x14ac:dyDescent="0.25">
      <c r="A85" s="130">
        <v>2</v>
      </c>
      <c r="B85" s="122" t="s">
        <v>114</v>
      </c>
      <c r="C85" s="119">
        <f t="shared" si="11"/>
        <v>13637861</v>
      </c>
      <c r="D85" s="119">
        <f t="shared" si="11"/>
        <v>15447837</v>
      </c>
      <c r="E85" s="119">
        <f t="shared" si="12"/>
        <v>1809976</v>
      </c>
      <c r="F85" s="120">
        <f t="shared" si="13"/>
        <v>0.13271700012193993</v>
      </c>
    </row>
    <row r="86" spans="1:6" ht="15.75" x14ac:dyDescent="0.25">
      <c r="A86" s="130">
        <v>3</v>
      </c>
      <c r="B86" s="122" t="s">
        <v>115</v>
      </c>
      <c r="C86" s="119">
        <f t="shared" si="11"/>
        <v>12422003</v>
      </c>
      <c r="D86" s="119">
        <f t="shared" si="11"/>
        <v>18203346</v>
      </c>
      <c r="E86" s="119">
        <f t="shared" si="12"/>
        <v>5781343</v>
      </c>
      <c r="F86" s="120">
        <f t="shared" si="13"/>
        <v>0.46541149603650878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29098</v>
      </c>
      <c r="D88" s="119">
        <f t="shared" si="11"/>
        <v>111015</v>
      </c>
      <c r="E88" s="119">
        <f t="shared" si="12"/>
        <v>81917</v>
      </c>
      <c r="F88" s="120">
        <f t="shared" si="13"/>
        <v>2.8152106673998212</v>
      </c>
    </row>
    <row r="89" spans="1:6" ht="15.75" x14ac:dyDescent="0.25">
      <c r="A89" s="130">
        <v>6</v>
      </c>
      <c r="B89" s="122" t="s">
        <v>118</v>
      </c>
      <c r="C89" s="119">
        <f t="shared" si="11"/>
        <v>5502854</v>
      </c>
      <c r="D89" s="119">
        <f t="shared" si="11"/>
        <v>6168397</v>
      </c>
      <c r="E89" s="119">
        <f t="shared" si="12"/>
        <v>665543</v>
      </c>
      <c r="F89" s="120">
        <f t="shared" si="13"/>
        <v>0.1209450586913627</v>
      </c>
    </row>
    <row r="90" spans="1:6" ht="15.75" x14ac:dyDescent="0.25">
      <c r="A90" s="130">
        <v>7</v>
      </c>
      <c r="B90" s="122" t="s">
        <v>119</v>
      </c>
      <c r="C90" s="119">
        <f t="shared" si="11"/>
        <v>53013566</v>
      </c>
      <c r="D90" s="119">
        <f t="shared" si="11"/>
        <v>56719386</v>
      </c>
      <c r="E90" s="119">
        <f t="shared" si="12"/>
        <v>3705820</v>
      </c>
      <c r="F90" s="120">
        <f t="shared" si="13"/>
        <v>6.9903239484021884E-2</v>
      </c>
    </row>
    <row r="91" spans="1:6" ht="15.75" x14ac:dyDescent="0.25">
      <c r="A91" s="130">
        <v>8</v>
      </c>
      <c r="B91" s="122" t="s">
        <v>120</v>
      </c>
      <c r="C91" s="119">
        <f t="shared" si="11"/>
        <v>3780105</v>
      </c>
      <c r="D91" s="119">
        <f t="shared" si="11"/>
        <v>3413349</v>
      </c>
      <c r="E91" s="119">
        <f t="shared" si="12"/>
        <v>-366756</v>
      </c>
      <c r="F91" s="120">
        <f t="shared" si="13"/>
        <v>-9.7022701750348203E-2</v>
      </c>
    </row>
    <row r="92" spans="1:6" ht="15.75" x14ac:dyDescent="0.25">
      <c r="A92" s="130">
        <v>9</v>
      </c>
      <c r="B92" s="122" t="s">
        <v>121</v>
      </c>
      <c r="C92" s="119">
        <f t="shared" si="11"/>
        <v>800213</v>
      </c>
      <c r="D92" s="119">
        <f t="shared" si="11"/>
        <v>817320</v>
      </c>
      <c r="E92" s="119">
        <f t="shared" si="12"/>
        <v>17107</v>
      </c>
      <c r="F92" s="120">
        <f t="shared" si="13"/>
        <v>2.1378058092032998E-2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126396180</v>
      </c>
      <c r="D95" s="128">
        <f>SUM(D84:D94)</f>
        <v>139050114</v>
      </c>
      <c r="E95" s="128">
        <f t="shared" si="12"/>
        <v>12653934</v>
      </c>
      <c r="F95" s="129">
        <f t="shared" si="13"/>
        <v>0.10011326291664827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2419</v>
      </c>
      <c r="D100" s="133">
        <v>2317</v>
      </c>
      <c r="E100" s="133">
        <f t="shared" ref="E100:E111" si="14">D100-C100</f>
        <v>-102</v>
      </c>
      <c r="F100" s="114">
        <f t="shared" ref="F100:F111" si="15">IF(C100=0,0,E100/C100)</f>
        <v>-4.2166184373708143E-2</v>
      </c>
    </row>
    <row r="101" spans="1:6" x14ac:dyDescent="0.2">
      <c r="A101" s="115">
        <v>2</v>
      </c>
      <c r="B101" s="116" t="s">
        <v>114</v>
      </c>
      <c r="C101" s="133">
        <v>1037</v>
      </c>
      <c r="D101" s="133">
        <v>966</v>
      </c>
      <c r="E101" s="133">
        <f t="shared" si="14"/>
        <v>-71</v>
      </c>
      <c r="F101" s="114">
        <f t="shared" si="15"/>
        <v>-6.8466730954676952E-2</v>
      </c>
    </row>
    <row r="102" spans="1:6" x14ac:dyDescent="0.2">
      <c r="A102" s="115">
        <v>3</v>
      </c>
      <c r="B102" s="116" t="s">
        <v>115</v>
      </c>
      <c r="C102" s="133">
        <v>1315</v>
      </c>
      <c r="D102" s="133">
        <v>1416</v>
      </c>
      <c r="E102" s="133">
        <f t="shared" si="14"/>
        <v>101</v>
      </c>
      <c r="F102" s="114">
        <f t="shared" si="15"/>
        <v>7.6806083650190107E-2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10</v>
      </c>
      <c r="D104" s="133">
        <v>4</v>
      </c>
      <c r="E104" s="133">
        <f t="shared" si="14"/>
        <v>-6</v>
      </c>
      <c r="F104" s="114">
        <f t="shared" si="15"/>
        <v>-0.6</v>
      </c>
    </row>
    <row r="105" spans="1:6" x14ac:dyDescent="0.2">
      <c r="A105" s="115">
        <v>6</v>
      </c>
      <c r="B105" s="116" t="s">
        <v>118</v>
      </c>
      <c r="C105" s="133">
        <v>203</v>
      </c>
      <c r="D105" s="133">
        <v>172</v>
      </c>
      <c r="E105" s="133">
        <f t="shared" si="14"/>
        <v>-31</v>
      </c>
      <c r="F105" s="114">
        <f t="shared" si="15"/>
        <v>-0.15270935960591134</v>
      </c>
    </row>
    <row r="106" spans="1:6" x14ac:dyDescent="0.2">
      <c r="A106" s="115">
        <v>7</v>
      </c>
      <c r="B106" s="116" t="s">
        <v>119</v>
      </c>
      <c r="C106" s="133">
        <v>2078</v>
      </c>
      <c r="D106" s="133">
        <v>1952</v>
      </c>
      <c r="E106" s="133">
        <f t="shared" si="14"/>
        <v>-126</v>
      </c>
      <c r="F106" s="114">
        <f t="shared" si="15"/>
        <v>-6.0635226179018287E-2</v>
      </c>
    </row>
    <row r="107" spans="1:6" x14ac:dyDescent="0.2">
      <c r="A107" s="115">
        <v>8</v>
      </c>
      <c r="B107" s="116" t="s">
        <v>120</v>
      </c>
      <c r="C107" s="133">
        <v>29</v>
      </c>
      <c r="D107" s="133">
        <v>27</v>
      </c>
      <c r="E107" s="133">
        <f t="shared" si="14"/>
        <v>-2</v>
      </c>
      <c r="F107" s="114">
        <f t="shared" si="15"/>
        <v>-6.8965517241379309E-2</v>
      </c>
    </row>
    <row r="108" spans="1:6" x14ac:dyDescent="0.2">
      <c r="A108" s="115">
        <v>9</v>
      </c>
      <c r="B108" s="116" t="s">
        <v>121</v>
      </c>
      <c r="C108" s="133">
        <v>85</v>
      </c>
      <c r="D108" s="133">
        <v>81</v>
      </c>
      <c r="E108" s="133">
        <f t="shared" si="14"/>
        <v>-4</v>
      </c>
      <c r="F108" s="114">
        <f t="shared" si="15"/>
        <v>-4.7058823529411764E-2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7176</v>
      </c>
      <c r="D111" s="134">
        <f>SUM(D100:D110)</f>
        <v>6935</v>
      </c>
      <c r="E111" s="134">
        <f t="shared" si="14"/>
        <v>-241</v>
      </c>
      <c r="F111" s="120">
        <f t="shared" si="15"/>
        <v>-3.3584169453734672E-2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12806</v>
      </c>
      <c r="D113" s="133">
        <v>11693</v>
      </c>
      <c r="E113" s="133">
        <f t="shared" ref="E113:E124" si="16">D113-C113</f>
        <v>-1113</v>
      </c>
      <c r="F113" s="114">
        <f t="shared" ref="F113:F124" si="17">IF(C113=0,0,E113/C113)</f>
        <v>-8.6912384819615801E-2</v>
      </c>
    </row>
    <row r="114" spans="1:6" x14ac:dyDescent="0.2">
      <c r="A114" s="115">
        <v>2</v>
      </c>
      <c r="B114" s="116" t="s">
        <v>114</v>
      </c>
      <c r="C114" s="133">
        <v>4766</v>
      </c>
      <c r="D114" s="133">
        <v>4709</v>
      </c>
      <c r="E114" s="133">
        <f t="shared" si="16"/>
        <v>-57</v>
      </c>
      <c r="F114" s="114">
        <f t="shared" si="17"/>
        <v>-1.1959714645404951E-2</v>
      </c>
    </row>
    <row r="115" spans="1:6" x14ac:dyDescent="0.2">
      <c r="A115" s="115">
        <v>3</v>
      </c>
      <c r="B115" s="116" t="s">
        <v>115</v>
      </c>
      <c r="C115" s="133">
        <v>5093</v>
      </c>
      <c r="D115" s="133">
        <v>5988</v>
      </c>
      <c r="E115" s="133">
        <f t="shared" si="16"/>
        <v>895</v>
      </c>
      <c r="F115" s="114">
        <f t="shared" si="17"/>
        <v>0.17573139603377183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23</v>
      </c>
      <c r="D117" s="133">
        <v>9</v>
      </c>
      <c r="E117" s="133">
        <f t="shared" si="16"/>
        <v>-14</v>
      </c>
      <c r="F117" s="114">
        <f t="shared" si="17"/>
        <v>-0.60869565217391308</v>
      </c>
    </row>
    <row r="118" spans="1:6" x14ac:dyDescent="0.2">
      <c r="A118" s="115">
        <v>6</v>
      </c>
      <c r="B118" s="116" t="s">
        <v>118</v>
      </c>
      <c r="C118" s="133">
        <v>878</v>
      </c>
      <c r="D118" s="133">
        <v>638</v>
      </c>
      <c r="E118" s="133">
        <f t="shared" si="16"/>
        <v>-240</v>
      </c>
      <c r="F118" s="114">
        <f t="shared" si="17"/>
        <v>-0.27334851936218679</v>
      </c>
    </row>
    <row r="119" spans="1:6" x14ac:dyDescent="0.2">
      <c r="A119" s="115">
        <v>7</v>
      </c>
      <c r="B119" s="116" t="s">
        <v>119</v>
      </c>
      <c r="C119" s="133">
        <v>7312</v>
      </c>
      <c r="D119" s="133">
        <v>7386</v>
      </c>
      <c r="E119" s="133">
        <f t="shared" si="16"/>
        <v>74</v>
      </c>
      <c r="F119" s="114">
        <f t="shared" si="17"/>
        <v>1.012035010940919E-2</v>
      </c>
    </row>
    <row r="120" spans="1:6" x14ac:dyDescent="0.2">
      <c r="A120" s="115">
        <v>8</v>
      </c>
      <c r="B120" s="116" t="s">
        <v>120</v>
      </c>
      <c r="C120" s="133">
        <v>67</v>
      </c>
      <c r="D120" s="133">
        <v>81</v>
      </c>
      <c r="E120" s="133">
        <f t="shared" si="16"/>
        <v>14</v>
      </c>
      <c r="F120" s="114">
        <f t="shared" si="17"/>
        <v>0.20895522388059701</v>
      </c>
    </row>
    <row r="121" spans="1:6" x14ac:dyDescent="0.2">
      <c r="A121" s="115">
        <v>9</v>
      </c>
      <c r="B121" s="116" t="s">
        <v>121</v>
      </c>
      <c r="C121" s="133">
        <v>326</v>
      </c>
      <c r="D121" s="133">
        <v>302</v>
      </c>
      <c r="E121" s="133">
        <f t="shared" si="16"/>
        <v>-24</v>
      </c>
      <c r="F121" s="114">
        <f t="shared" si="17"/>
        <v>-7.3619631901840496E-2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31271</v>
      </c>
      <c r="D124" s="134">
        <f>SUM(D113:D123)</f>
        <v>30806</v>
      </c>
      <c r="E124" s="134">
        <f t="shared" si="16"/>
        <v>-465</v>
      </c>
      <c r="F124" s="120">
        <f t="shared" si="17"/>
        <v>-1.4870007355057401E-2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31307</v>
      </c>
      <c r="D126" s="133">
        <v>32429</v>
      </c>
      <c r="E126" s="133">
        <f t="shared" ref="E126:E137" si="18">D126-C126</f>
        <v>1122</v>
      </c>
      <c r="F126" s="114">
        <f t="shared" ref="F126:F137" si="19">IF(C126=0,0,E126/C126)</f>
        <v>3.5838630338263011E-2</v>
      </c>
    </row>
    <row r="127" spans="1:6" x14ac:dyDescent="0.2">
      <c r="A127" s="115">
        <v>2</v>
      </c>
      <c r="B127" s="116" t="s">
        <v>114</v>
      </c>
      <c r="C127" s="133">
        <v>13488</v>
      </c>
      <c r="D127" s="133">
        <v>13848</v>
      </c>
      <c r="E127" s="133">
        <f t="shared" si="18"/>
        <v>360</v>
      </c>
      <c r="F127" s="114">
        <f t="shared" si="19"/>
        <v>2.6690391459074734E-2</v>
      </c>
    </row>
    <row r="128" spans="1:6" x14ac:dyDescent="0.2">
      <c r="A128" s="115">
        <v>3</v>
      </c>
      <c r="B128" s="116" t="s">
        <v>115</v>
      </c>
      <c r="C128" s="133">
        <v>30599</v>
      </c>
      <c r="D128" s="133">
        <v>34149</v>
      </c>
      <c r="E128" s="133">
        <f t="shared" si="18"/>
        <v>3550</v>
      </c>
      <c r="F128" s="114">
        <f t="shared" si="19"/>
        <v>0.11601686329618616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214</v>
      </c>
      <c r="D130" s="133">
        <v>154</v>
      </c>
      <c r="E130" s="133">
        <f t="shared" si="18"/>
        <v>-60</v>
      </c>
      <c r="F130" s="114">
        <f t="shared" si="19"/>
        <v>-0.28037383177570091</v>
      </c>
    </row>
    <row r="131" spans="1:6" x14ac:dyDescent="0.2">
      <c r="A131" s="115">
        <v>6</v>
      </c>
      <c r="B131" s="116" t="s">
        <v>118</v>
      </c>
      <c r="C131" s="133">
        <v>3910</v>
      </c>
      <c r="D131" s="133">
        <v>3562</v>
      </c>
      <c r="E131" s="133">
        <f t="shared" si="18"/>
        <v>-348</v>
      </c>
      <c r="F131" s="114">
        <f t="shared" si="19"/>
        <v>-8.9002557544757027E-2</v>
      </c>
    </row>
    <row r="132" spans="1:6" x14ac:dyDescent="0.2">
      <c r="A132" s="115">
        <v>7</v>
      </c>
      <c r="B132" s="116" t="s">
        <v>119</v>
      </c>
      <c r="C132" s="133">
        <v>47770</v>
      </c>
      <c r="D132" s="133">
        <v>47199</v>
      </c>
      <c r="E132" s="133">
        <f t="shared" si="18"/>
        <v>-571</v>
      </c>
      <c r="F132" s="114">
        <f t="shared" si="19"/>
        <v>-1.1953108645593468E-2</v>
      </c>
    </row>
    <row r="133" spans="1:6" x14ac:dyDescent="0.2">
      <c r="A133" s="115">
        <v>8</v>
      </c>
      <c r="B133" s="116" t="s">
        <v>120</v>
      </c>
      <c r="C133" s="133">
        <v>2795</v>
      </c>
      <c r="D133" s="133">
        <v>2907</v>
      </c>
      <c r="E133" s="133">
        <f t="shared" si="18"/>
        <v>112</v>
      </c>
      <c r="F133" s="114">
        <f t="shared" si="19"/>
        <v>4.007155635062612E-2</v>
      </c>
    </row>
    <row r="134" spans="1:6" x14ac:dyDescent="0.2">
      <c r="A134" s="115">
        <v>9</v>
      </c>
      <c r="B134" s="116" t="s">
        <v>121</v>
      </c>
      <c r="C134" s="133">
        <v>4912</v>
      </c>
      <c r="D134" s="133">
        <v>3797</v>
      </c>
      <c r="E134" s="133">
        <f t="shared" si="18"/>
        <v>-1115</v>
      </c>
      <c r="F134" s="114">
        <f t="shared" si="19"/>
        <v>-0.22699511400651465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134995</v>
      </c>
      <c r="D137" s="134">
        <f>SUM(D126:D136)</f>
        <v>138045</v>
      </c>
      <c r="E137" s="134">
        <f t="shared" si="18"/>
        <v>3050</v>
      </c>
      <c r="F137" s="120">
        <f t="shared" si="19"/>
        <v>2.2593429386273567E-2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9937692</v>
      </c>
      <c r="D142" s="113">
        <v>9619389</v>
      </c>
      <c r="E142" s="113">
        <f t="shared" ref="E142:E153" si="20">D142-C142</f>
        <v>-318303</v>
      </c>
      <c r="F142" s="114">
        <f t="shared" ref="F142:F153" si="21">IF(C142=0,0,E142/C142)</f>
        <v>-3.2029871724742524E-2</v>
      </c>
    </row>
    <row r="143" spans="1:6" x14ac:dyDescent="0.2">
      <c r="A143" s="115">
        <v>2</v>
      </c>
      <c r="B143" s="116" t="s">
        <v>114</v>
      </c>
      <c r="C143" s="113">
        <v>3976851</v>
      </c>
      <c r="D143" s="113">
        <v>4333548</v>
      </c>
      <c r="E143" s="113">
        <f t="shared" si="20"/>
        <v>356697</v>
      </c>
      <c r="F143" s="114">
        <f t="shared" si="21"/>
        <v>8.9693327710794288E-2</v>
      </c>
    </row>
    <row r="144" spans="1:6" x14ac:dyDescent="0.2">
      <c r="A144" s="115">
        <v>3</v>
      </c>
      <c r="B144" s="116" t="s">
        <v>115</v>
      </c>
      <c r="C144" s="113">
        <v>22964021</v>
      </c>
      <c r="D144" s="113">
        <v>25957085</v>
      </c>
      <c r="E144" s="113">
        <f t="shared" si="20"/>
        <v>2993064</v>
      </c>
      <c r="F144" s="114">
        <f t="shared" si="21"/>
        <v>0.13033710429022863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264067</v>
      </c>
      <c r="D146" s="113">
        <v>164175</v>
      </c>
      <c r="E146" s="113">
        <f t="shared" si="20"/>
        <v>-99892</v>
      </c>
      <c r="F146" s="114">
        <f t="shared" si="21"/>
        <v>-0.37828278429338008</v>
      </c>
    </row>
    <row r="147" spans="1:6" x14ac:dyDescent="0.2">
      <c r="A147" s="115">
        <v>6</v>
      </c>
      <c r="B147" s="116" t="s">
        <v>118</v>
      </c>
      <c r="C147" s="113">
        <v>1372164</v>
      </c>
      <c r="D147" s="113">
        <v>1363149</v>
      </c>
      <c r="E147" s="113">
        <f t="shared" si="20"/>
        <v>-9015</v>
      </c>
      <c r="F147" s="114">
        <f t="shared" si="21"/>
        <v>-6.5699143834118956E-3</v>
      </c>
    </row>
    <row r="148" spans="1:6" x14ac:dyDescent="0.2">
      <c r="A148" s="115">
        <v>7</v>
      </c>
      <c r="B148" s="116" t="s">
        <v>119</v>
      </c>
      <c r="C148" s="113">
        <v>18956193</v>
      </c>
      <c r="D148" s="113">
        <v>18726648</v>
      </c>
      <c r="E148" s="113">
        <f t="shared" si="20"/>
        <v>-229545</v>
      </c>
      <c r="F148" s="114">
        <f t="shared" si="21"/>
        <v>-1.2109235224604433E-2</v>
      </c>
    </row>
    <row r="149" spans="1:6" x14ac:dyDescent="0.2">
      <c r="A149" s="115">
        <v>8</v>
      </c>
      <c r="B149" s="116" t="s">
        <v>120</v>
      </c>
      <c r="C149" s="113">
        <v>827424</v>
      </c>
      <c r="D149" s="113">
        <v>960497</v>
      </c>
      <c r="E149" s="113">
        <f t="shared" si="20"/>
        <v>133073</v>
      </c>
      <c r="F149" s="114">
        <f t="shared" si="21"/>
        <v>0.16082806396720423</v>
      </c>
    </row>
    <row r="150" spans="1:6" x14ac:dyDescent="0.2">
      <c r="A150" s="115">
        <v>9</v>
      </c>
      <c r="B150" s="116" t="s">
        <v>121</v>
      </c>
      <c r="C150" s="113">
        <v>4245010</v>
      </c>
      <c r="D150" s="113">
        <v>2973671</v>
      </c>
      <c r="E150" s="113">
        <f t="shared" si="20"/>
        <v>-1271339</v>
      </c>
      <c r="F150" s="114">
        <f t="shared" si="21"/>
        <v>-0.29949022499358069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62543422</v>
      </c>
      <c r="D153" s="119">
        <f>SUM(D142:D152)</f>
        <v>64098162</v>
      </c>
      <c r="E153" s="119">
        <f t="shared" si="20"/>
        <v>1554740</v>
      </c>
      <c r="F153" s="120">
        <f t="shared" si="21"/>
        <v>2.4858569459151117E-2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1965258</v>
      </c>
      <c r="D155" s="113">
        <v>1998374</v>
      </c>
      <c r="E155" s="113">
        <f t="shared" ref="E155:E166" si="22">D155-C155</f>
        <v>33116</v>
      </c>
      <c r="F155" s="114">
        <f t="shared" ref="F155:F166" si="23">IF(C155=0,0,E155/C155)</f>
        <v>1.6850713748525641E-2</v>
      </c>
    </row>
    <row r="156" spans="1:6" x14ac:dyDescent="0.2">
      <c r="A156" s="115">
        <v>2</v>
      </c>
      <c r="B156" s="116" t="s">
        <v>114</v>
      </c>
      <c r="C156" s="113">
        <v>795233</v>
      </c>
      <c r="D156" s="113">
        <v>900813</v>
      </c>
      <c r="E156" s="113">
        <f t="shared" si="22"/>
        <v>105580</v>
      </c>
      <c r="F156" s="114">
        <f t="shared" si="23"/>
        <v>0.13276612011825464</v>
      </c>
    </row>
    <row r="157" spans="1:6" x14ac:dyDescent="0.2">
      <c r="A157" s="115">
        <v>3</v>
      </c>
      <c r="B157" s="116" t="s">
        <v>115</v>
      </c>
      <c r="C157" s="113">
        <v>4335161</v>
      </c>
      <c r="D157" s="113">
        <v>4895624</v>
      </c>
      <c r="E157" s="113">
        <f t="shared" si="22"/>
        <v>560463</v>
      </c>
      <c r="F157" s="114">
        <f t="shared" si="23"/>
        <v>0.129283087756141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56868</v>
      </c>
      <c r="D159" s="113">
        <v>43794</v>
      </c>
      <c r="E159" s="113">
        <f t="shared" si="22"/>
        <v>-13074</v>
      </c>
      <c r="F159" s="114">
        <f t="shared" si="23"/>
        <v>-0.22990082295843006</v>
      </c>
    </row>
    <row r="160" spans="1:6" x14ac:dyDescent="0.2">
      <c r="A160" s="115">
        <v>6</v>
      </c>
      <c r="B160" s="116" t="s">
        <v>118</v>
      </c>
      <c r="C160" s="113">
        <v>550818</v>
      </c>
      <c r="D160" s="113">
        <v>588451</v>
      </c>
      <c r="E160" s="113">
        <f t="shared" si="22"/>
        <v>37633</v>
      </c>
      <c r="F160" s="114">
        <f t="shared" si="23"/>
        <v>6.8322022882331371E-2</v>
      </c>
    </row>
    <row r="161" spans="1:6" x14ac:dyDescent="0.2">
      <c r="A161" s="115">
        <v>7</v>
      </c>
      <c r="B161" s="116" t="s">
        <v>119</v>
      </c>
      <c r="C161" s="113">
        <v>7107131</v>
      </c>
      <c r="D161" s="113">
        <v>6948855</v>
      </c>
      <c r="E161" s="113">
        <f t="shared" si="22"/>
        <v>-158276</v>
      </c>
      <c r="F161" s="114">
        <f t="shared" si="23"/>
        <v>-2.2270027103763811E-2</v>
      </c>
    </row>
    <row r="162" spans="1:6" x14ac:dyDescent="0.2">
      <c r="A162" s="115">
        <v>8</v>
      </c>
      <c r="B162" s="116" t="s">
        <v>120</v>
      </c>
      <c r="C162" s="113">
        <v>553331</v>
      </c>
      <c r="D162" s="113">
        <v>648962</v>
      </c>
      <c r="E162" s="113">
        <f t="shared" si="22"/>
        <v>95631</v>
      </c>
      <c r="F162" s="114">
        <f t="shared" si="23"/>
        <v>0.17282783722581962</v>
      </c>
    </row>
    <row r="163" spans="1:6" x14ac:dyDescent="0.2">
      <c r="A163" s="115">
        <v>9</v>
      </c>
      <c r="B163" s="116" t="s">
        <v>121</v>
      </c>
      <c r="C163" s="113">
        <v>116300</v>
      </c>
      <c r="D163" s="113">
        <v>99739</v>
      </c>
      <c r="E163" s="113">
        <f t="shared" si="22"/>
        <v>-16561</v>
      </c>
      <c r="F163" s="114">
        <f t="shared" si="23"/>
        <v>-0.14239896818572656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15480100</v>
      </c>
      <c r="D166" s="119">
        <f>SUM(D155:D165)</f>
        <v>16124612</v>
      </c>
      <c r="E166" s="119">
        <f t="shared" si="22"/>
        <v>644512</v>
      </c>
      <c r="F166" s="120">
        <f t="shared" si="23"/>
        <v>4.1634873159734111E-2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4759</v>
      </c>
      <c r="D168" s="133">
        <v>4478</v>
      </c>
      <c r="E168" s="133">
        <f t="shared" ref="E168:E179" si="24">D168-C168</f>
        <v>-281</v>
      </c>
      <c r="F168" s="114">
        <f t="shared" ref="F168:F179" si="25">IF(C168=0,0,E168/C168)</f>
        <v>-5.9046018071023325E-2</v>
      </c>
    </row>
    <row r="169" spans="1:6" x14ac:dyDescent="0.2">
      <c r="A169" s="115">
        <v>2</v>
      </c>
      <c r="B169" s="116" t="s">
        <v>114</v>
      </c>
      <c r="C169" s="133">
        <v>1709</v>
      </c>
      <c r="D169" s="133">
        <v>1798</v>
      </c>
      <c r="E169" s="133">
        <f t="shared" si="24"/>
        <v>89</v>
      </c>
      <c r="F169" s="114">
        <f t="shared" si="25"/>
        <v>5.2077238150965474E-2</v>
      </c>
    </row>
    <row r="170" spans="1:6" x14ac:dyDescent="0.2">
      <c r="A170" s="115">
        <v>3</v>
      </c>
      <c r="B170" s="116" t="s">
        <v>115</v>
      </c>
      <c r="C170" s="133">
        <v>12610</v>
      </c>
      <c r="D170" s="133">
        <v>13145</v>
      </c>
      <c r="E170" s="133">
        <f t="shared" si="24"/>
        <v>535</v>
      </c>
      <c r="F170" s="114">
        <f t="shared" si="25"/>
        <v>4.2426645519429027E-2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155</v>
      </c>
      <c r="D172" s="133">
        <v>115</v>
      </c>
      <c r="E172" s="133">
        <f t="shared" si="24"/>
        <v>-40</v>
      </c>
      <c r="F172" s="114">
        <f t="shared" si="25"/>
        <v>-0.25806451612903225</v>
      </c>
    </row>
    <row r="173" spans="1:6" x14ac:dyDescent="0.2">
      <c r="A173" s="115">
        <v>6</v>
      </c>
      <c r="B173" s="116" t="s">
        <v>118</v>
      </c>
      <c r="C173" s="133">
        <v>734</v>
      </c>
      <c r="D173" s="133">
        <v>719</v>
      </c>
      <c r="E173" s="133">
        <f t="shared" si="24"/>
        <v>-15</v>
      </c>
      <c r="F173" s="114">
        <f t="shared" si="25"/>
        <v>-2.0435967302452316E-2</v>
      </c>
    </row>
    <row r="174" spans="1:6" x14ac:dyDescent="0.2">
      <c r="A174" s="115">
        <v>7</v>
      </c>
      <c r="B174" s="116" t="s">
        <v>119</v>
      </c>
      <c r="C174" s="133">
        <v>10916</v>
      </c>
      <c r="D174" s="133">
        <v>10103</v>
      </c>
      <c r="E174" s="133">
        <f t="shared" si="24"/>
        <v>-813</v>
      </c>
      <c r="F174" s="114">
        <f t="shared" si="25"/>
        <v>-7.4477830707218765E-2</v>
      </c>
    </row>
    <row r="175" spans="1:6" x14ac:dyDescent="0.2">
      <c r="A175" s="115">
        <v>8</v>
      </c>
      <c r="B175" s="116" t="s">
        <v>120</v>
      </c>
      <c r="C175" s="133">
        <v>752</v>
      </c>
      <c r="D175" s="133">
        <v>737</v>
      </c>
      <c r="E175" s="133">
        <f t="shared" si="24"/>
        <v>-15</v>
      </c>
      <c r="F175" s="114">
        <f t="shared" si="25"/>
        <v>-1.9946808510638299E-2</v>
      </c>
    </row>
    <row r="176" spans="1:6" x14ac:dyDescent="0.2">
      <c r="A176" s="115">
        <v>9</v>
      </c>
      <c r="B176" s="116" t="s">
        <v>121</v>
      </c>
      <c r="C176" s="133">
        <v>2907</v>
      </c>
      <c r="D176" s="133">
        <v>1968</v>
      </c>
      <c r="E176" s="133">
        <f t="shared" si="24"/>
        <v>-939</v>
      </c>
      <c r="F176" s="114">
        <f t="shared" si="25"/>
        <v>-0.32301341589267285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34542</v>
      </c>
      <c r="D179" s="134">
        <f>SUM(D168:D178)</f>
        <v>33063</v>
      </c>
      <c r="E179" s="134">
        <f t="shared" si="24"/>
        <v>-1479</v>
      </c>
      <c r="F179" s="120">
        <f t="shared" si="25"/>
        <v>-4.2817439638700709E-2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FILING&amp;RGRIFFIN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19389105</v>
      </c>
      <c r="D15" s="157">
        <v>20849734</v>
      </c>
      <c r="E15" s="157">
        <f>+D15-C15</f>
        <v>1460629</v>
      </c>
      <c r="F15" s="161">
        <f>IF(C15=0,0,E15/C15)</f>
        <v>7.5332461194057176E-2</v>
      </c>
    </row>
    <row r="16" spans="1:6" ht="15" customHeight="1" x14ac:dyDescent="0.2">
      <c r="A16" s="147">
        <v>2</v>
      </c>
      <c r="B16" s="160" t="s">
        <v>157</v>
      </c>
      <c r="C16" s="157">
        <v>4057828</v>
      </c>
      <c r="D16" s="157">
        <v>3821225</v>
      </c>
      <c r="E16" s="157">
        <f>+D16-C16</f>
        <v>-236603</v>
      </c>
      <c r="F16" s="161">
        <f>IF(C16=0,0,E16/C16)</f>
        <v>-5.8307794218976257E-2</v>
      </c>
    </row>
    <row r="17" spans="1:6" ht="15" customHeight="1" x14ac:dyDescent="0.2">
      <c r="A17" s="147">
        <v>3</v>
      </c>
      <c r="B17" s="160" t="s">
        <v>158</v>
      </c>
      <c r="C17" s="157">
        <v>29791307</v>
      </c>
      <c r="D17" s="157">
        <v>31025618</v>
      </c>
      <c r="E17" s="157">
        <f>+D17-C17</f>
        <v>1234311</v>
      </c>
      <c r="F17" s="161">
        <f>IF(C17=0,0,E17/C17)</f>
        <v>4.1431918378069144E-2</v>
      </c>
    </row>
    <row r="18" spans="1:6" ht="15.75" customHeight="1" x14ac:dyDescent="0.25">
      <c r="A18" s="147"/>
      <c r="B18" s="162" t="s">
        <v>159</v>
      </c>
      <c r="C18" s="158">
        <f>SUM(C15:C17)</f>
        <v>53238240</v>
      </c>
      <c r="D18" s="158">
        <f>SUM(D15:D17)</f>
        <v>55696577</v>
      </c>
      <c r="E18" s="158">
        <f>+D18-C18</f>
        <v>2458337</v>
      </c>
      <c r="F18" s="159">
        <f>IF(C18=0,0,E18/C18)</f>
        <v>4.6176150826924403E-2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6978339</v>
      </c>
      <c r="D21" s="157">
        <v>6274634</v>
      </c>
      <c r="E21" s="157">
        <f>+D21-C21</f>
        <v>-703705</v>
      </c>
      <c r="F21" s="161">
        <f>IF(C21=0,0,E21/C21)</f>
        <v>-0.10084133201324842</v>
      </c>
    </row>
    <row r="22" spans="1:6" ht="15" customHeight="1" x14ac:dyDescent="0.2">
      <c r="A22" s="147">
        <v>2</v>
      </c>
      <c r="B22" s="160" t="s">
        <v>162</v>
      </c>
      <c r="C22" s="157">
        <v>1460456</v>
      </c>
      <c r="D22" s="157">
        <v>1149980</v>
      </c>
      <c r="E22" s="157">
        <f>+D22-C22</f>
        <v>-310476</v>
      </c>
      <c r="F22" s="161">
        <f>IF(C22=0,0,E22/C22)</f>
        <v>-0.21258839704859303</v>
      </c>
    </row>
    <row r="23" spans="1:6" ht="15" customHeight="1" x14ac:dyDescent="0.2">
      <c r="A23" s="147">
        <v>3</v>
      </c>
      <c r="B23" s="160" t="s">
        <v>163</v>
      </c>
      <c r="C23" s="157">
        <v>10725001</v>
      </c>
      <c r="D23" s="157">
        <v>9337021</v>
      </c>
      <c r="E23" s="157">
        <f>+D23-C23</f>
        <v>-1387980</v>
      </c>
      <c r="F23" s="161">
        <f>IF(C23=0,0,E23/C23)</f>
        <v>-0.12941537254868321</v>
      </c>
    </row>
    <row r="24" spans="1:6" ht="15.75" customHeight="1" x14ac:dyDescent="0.25">
      <c r="A24" s="147"/>
      <c r="B24" s="162" t="s">
        <v>164</v>
      </c>
      <c r="C24" s="158">
        <f>SUM(C21:C23)</f>
        <v>19163796</v>
      </c>
      <c r="D24" s="158">
        <f>SUM(D21:D23)</f>
        <v>16761635</v>
      </c>
      <c r="E24" s="158">
        <f>+D24-C24</f>
        <v>-2402161</v>
      </c>
      <c r="F24" s="159">
        <f>IF(C24=0,0,E24/C24)</f>
        <v>-0.12534891312764965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169704</v>
      </c>
      <c r="D27" s="157">
        <v>315419</v>
      </c>
      <c r="E27" s="157">
        <f>+D27-C27</f>
        <v>145715</v>
      </c>
      <c r="F27" s="161">
        <f>IF(C27=0,0,E27/C27)</f>
        <v>0.858642106255598</v>
      </c>
    </row>
    <row r="28" spans="1:6" ht="15" customHeight="1" x14ac:dyDescent="0.2">
      <c r="A28" s="147">
        <v>2</v>
      </c>
      <c r="B28" s="160" t="s">
        <v>167</v>
      </c>
      <c r="C28" s="157">
        <v>2857151</v>
      </c>
      <c r="D28" s="157">
        <v>3514363</v>
      </c>
      <c r="E28" s="157">
        <f>+D28-C28</f>
        <v>657212</v>
      </c>
      <c r="F28" s="161">
        <f>IF(C28=0,0,E28/C28)</f>
        <v>0.23002354443289835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3026855</v>
      </c>
      <c r="D30" s="158">
        <f>SUM(D27:D29)</f>
        <v>3829782</v>
      </c>
      <c r="E30" s="158">
        <f>+D30-C30</f>
        <v>802927</v>
      </c>
      <c r="F30" s="159">
        <f>IF(C30=0,0,E30/C30)</f>
        <v>0.26526774490353849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12339651</v>
      </c>
      <c r="D33" s="157">
        <v>13101553</v>
      </c>
      <c r="E33" s="157">
        <f>+D33-C33</f>
        <v>761902</v>
      </c>
      <c r="F33" s="161">
        <f>IF(C33=0,0,E33/C33)</f>
        <v>6.174420978356681E-2</v>
      </c>
    </row>
    <row r="34" spans="1:6" ht="15" customHeight="1" x14ac:dyDescent="0.2">
      <c r="A34" s="147">
        <v>2</v>
      </c>
      <c r="B34" s="160" t="s">
        <v>173</v>
      </c>
      <c r="C34" s="157">
        <v>4435662</v>
      </c>
      <c r="D34" s="157">
        <v>6787477</v>
      </c>
      <c r="E34" s="157">
        <f>+D34-C34</f>
        <v>2351815</v>
      </c>
      <c r="F34" s="161">
        <f>IF(C34=0,0,E34/C34)</f>
        <v>0.53020608874165798</v>
      </c>
    </row>
    <row r="35" spans="1:6" ht="15.75" customHeight="1" x14ac:dyDescent="0.25">
      <c r="A35" s="147"/>
      <c r="B35" s="162" t="s">
        <v>174</v>
      </c>
      <c r="C35" s="158">
        <f>SUM(C33:C34)</f>
        <v>16775313</v>
      </c>
      <c r="D35" s="158">
        <f>SUM(D33:D34)</f>
        <v>19889030</v>
      </c>
      <c r="E35" s="158">
        <f>+D35-C35</f>
        <v>3113717</v>
      </c>
      <c r="F35" s="159">
        <f>IF(C35=0,0,E35/C35)</f>
        <v>0.18561304936605355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2391674</v>
      </c>
      <c r="D38" s="157">
        <v>2238806</v>
      </c>
      <c r="E38" s="157">
        <f>+D38-C38</f>
        <v>-152868</v>
      </c>
      <c r="F38" s="161">
        <f>IF(C38=0,0,E38/C38)</f>
        <v>-6.3916737816274286E-2</v>
      </c>
    </row>
    <row r="39" spans="1:6" ht="15" customHeight="1" x14ac:dyDescent="0.2">
      <c r="A39" s="147">
        <v>2</v>
      </c>
      <c r="B39" s="160" t="s">
        <v>178</v>
      </c>
      <c r="C39" s="157">
        <v>3707671</v>
      </c>
      <c r="D39" s="157">
        <v>3511867</v>
      </c>
      <c r="E39" s="157">
        <f>+D39-C39</f>
        <v>-195804</v>
      </c>
      <c r="F39" s="161">
        <f>IF(C39=0,0,E39/C39)</f>
        <v>-5.2810510964969651E-2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6099345</v>
      </c>
      <c r="D41" s="158">
        <f>SUM(D38:D40)</f>
        <v>5750673</v>
      </c>
      <c r="E41" s="158">
        <f>+D41-C41</f>
        <v>-348672</v>
      </c>
      <c r="F41" s="159">
        <f>IF(C41=0,0,E41/C41)</f>
        <v>-5.7165482523123382E-2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2450664</v>
      </c>
      <c r="D47" s="157">
        <v>3531142</v>
      </c>
      <c r="E47" s="157">
        <f>+D47-C47</f>
        <v>1080478</v>
      </c>
      <c r="F47" s="161">
        <f>IF(C47=0,0,E47/C47)</f>
        <v>0.44089193785847425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3082676</v>
      </c>
      <c r="D50" s="157">
        <v>563492</v>
      </c>
      <c r="E50" s="157">
        <f>+D50-C50</f>
        <v>-2519184</v>
      </c>
      <c r="F50" s="161">
        <f>IF(C50=0,0,E50/C50)</f>
        <v>-0.81720686831830525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351668</v>
      </c>
      <c r="D53" s="157">
        <v>388439</v>
      </c>
      <c r="E53" s="157">
        <f t="shared" ref="E53:E59" si="0">+D53-C53</f>
        <v>36771</v>
      </c>
      <c r="F53" s="161">
        <f t="shared" ref="F53:F59" si="1">IF(C53=0,0,E53/C53)</f>
        <v>0.10456168886563463</v>
      </c>
    </row>
    <row r="54" spans="1:6" ht="15" customHeight="1" x14ac:dyDescent="0.2">
      <c r="A54" s="147">
        <v>2</v>
      </c>
      <c r="B54" s="160" t="s">
        <v>189</v>
      </c>
      <c r="C54" s="157">
        <v>757626</v>
      </c>
      <c r="D54" s="157">
        <v>798258</v>
      </c>
      <c r="E54" s="157">
        <f t="shared" si="0"/>
        <v>40632</v>
      </c>
      <c r="F54" s="161">
        <f t="shared" si="1"/>
        <v>5.3630683213089309E-2</v>
      </c>
    </row>
    <row r="55" spans="1:6" ht="15" customHeight="1" x14ac:dyDescent="0.2">
      <c r="A55" s="147">
        <v>3</v>
      </c>
      <c r="B55" s="160" t="s">
        <v>190</v>
      </c>
      <c r="C55" s="157">
        <v>30617</v>
      </c>
      <c r="D55" s="157">
        <v>42445</v>
      </c>
      <c r="E55" s="157">
        <f t="shared" si="0"/>
        <v>11828</v>
      </c>
      <c r="F55" s="161">
        <f t="shared" si="1"/>
        <v>0.38632132475422148</v>
      </c>
    </row>
    <row r="56" spans="1:6" ht="15" customHeight="1" x14ac:dyDescent="0.2">
      <c r="A56" s="147">
        <v>4</v>
      </c>
      <c r="B56" s="160" t="s">
        <v>191</v>
      </c>
      <c r="C56" s="157">
        <v>1872138</v>
      </c>
      <c r="D56" s="157">
        <v>1864532</v>
      </c>
      <c r="E56" s="157">
        <f t="shared" si="0"/>
        <v>-7606</v>
      </c>
      <c r="F56" s="161">
        <f t="shared" si="1"/>
        <v>-4.0627346915665403E-3</v>
      </c>
    </row>
    <row r="57" spans="1:6" ht="15" customHeight="1" x14ac:dyDescent="0.2">
      <c r="A57" s="147">
        <v>5</v>
      </c>
      <c r="B57" s="160" t="s">
        <v>192</v>
      </c>
      <c r="C57" s="157">
        <v>427113</v>
      </c>
      <c r="D57" s="157">
        <v>371553</v>
      </c>
      <c r="E57" s="157">
        <f t="shared" si="0"/>
        <v>-55560</v>
      </c>
      <c r="F57" s="161">
        <f t="shared" si="1"/>
        <v>-0.13008267133053783</v>
      </c>
    </row>
    <row r="58" spans="1:6" ht="15" customHeight="1" x14ac:dyDescent="0.2">
      <c r="A58" s="147">
        <v>6</v>
      </c>
      <c r="B58" s="160" t="s">
        <v>193</v>
      </c>
      <c r="C58" s="157">
        <v>0</v>
      </c>
      <c r="D58" s="157">
        <v>0</v>
      </c>
      <c r="E58" s="157">
        <f t="shared" si="0"/>
        <v>0</v>
      </c>
      <c r="F58" s="161">
        <f t="shared" si="1"/>
        <v>0</v>
      </c>
    </row>
    <row r="59" spans="1:6" ht="15.75" customHeight="1" x14ac:dyDescent="0.25">
      <c r="A59" s="147"/>
      <c r="B59" s="162" t="s">
        <v>194</v>
      </c>
      <c r="C59" s="158">
        <f>SUM(C53:C58)</f>
        <v>3439162</v>
      </c>
      <c r="D59" s="158">
        <f>SUM(D53:D58)</f>
        <v>3465227</v>
      </c>
      <c r="E59" s="158">
        <f t="shared" si="0"/>
        <v>26065</v>
      </c>
      <c r="F59" s="159">
        <f t="shared" si="1"/>
        <v>7.5788811344158838E-3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256296</v>
      </c>
      <c r="D62" s="157">
        <v>269004</v>
      </c>
      <c r="E62" s="157">
        <f t="shared" ref="E62:E90" si="2">+D62-C62</f>
        <v>12708</v>
      </c>
      <c r="F62" s="161">
        <f t="shared" ref="F62:F90" si="3">IF(C62=0,0,E62/C62)</f>
        <v>4.9583294315947185E-2</v>
      </c>
    </row>
    <row r="63" spans="1:6" ht="15" customHeight="1" x14ac:dyDescent="0.2">
      <c r="A63" s="147">
        <v>2</v>
      </c>
      <c r="B63" s="160" t="s">
        <v>198</v>
      </c>
      <c r="C63" s="157">
        <v>259177</v>
      </c>
      <c r="D63" s="157">
        <v>169634</v>
      </c>
      <c r="E63" s="157">
        <f t="shared" si="2"/>
        <v>-89543</v>
      </c>
      <c r="F63" s="161">
        <f t="shared" si="3"/>
        <v>-0.34548976182300128</v>
      </c>
    </row>
    <row r="64" spans="1:6" ht="15" customHeight="1" x14ac:dyDescent="0.2">
      <c r="A64" s="147">
        <v>3</v>
      </c>
      <c r="B64" s="160" t="s">
        <v>199</v>
      </c>
      <c r="C64" s="157">
        <v>892001</v>
      </c>
      <c r="D64" s="157">
        <v>358104</v>
      </c>
      <c r="E64" s="157">
        <f t="shared" si="2"/>
        <v>-533897</v>
      </c>
      <c r="F64" s="161">
        <f t="shared" si="3"/>
        <v>-0.59853856666079974</v>
      </c>
    </row>
    <row r="65" spans="1:6" ht="15" customHeight="1" x14ac:dyDescent="0.2">
      <c r="A65" s="147">
        <v>4</v>
      </c>
      <c r="B65" s="160" t="s">
        <v>200</v>
      </c>
      <c r="C65" s="157">
        <v>378104</v>
      </c>
      <c r="D65" s="157">
        <v>386004</v>
      </c>
      <c r="E65" s="157">
        <f t="shared" si="2"/>
        <v>7900</v>
      </c>
      <c r="F65" s="161">
        <f t="shared" si="3"/>
        <v>2.0893722362101432E-2</v>
      </c>
    </row>
    <row r="66" spans="1:6" ht="15" customHeight="1" x14ac:dyDescent="0.2">
      <c r="A66" s="147">
        <v>5</v>
      </c>
      <c r="B66" s="160" t="s">
        <v>201</v>
      </c>
      <c r="C66" s="157">
        <v>1366399</v>
      </c>
      <c r="D66" s="157">
        <v>1463468</v>
      </c>
      <c r="E66" s="157">
        <f t="shared" si="2"/>
        <v>97069</v>
      </c>
      <c r="F66" s="161">
        <f t="shared" si="3"/>
        <v>7.1040011007033818E-2</v>
      </c>
    </row>
    <row r="67" spans="1:6" ht="15" customHeight="1" x14ac:dyDescent="0.2">
      <c r="A67" s="147">
        <v>6</v>
      </c>
      <c r="B67" s="160" t="s">
        <v>202</v>
      </c>
      <c r="C67" s="157">
        <v>329676</v>
      </c>
      <c r="D67" s="157">
        <v>348388</v>
      </c>
      <c r="E67" s="157">
        <f t="shared" si="2"/>
        <v>18712</v>
      </c>
      <c r="F67" s="161">
        <f t="shared" si="3"/>
        <v>5.6758757082711511E-2</v>
      </c>
    </row>
    <row r="68" spans="1:6" ht="15" customHeight="1" x14ac:dyDescent="0.2">
      <c r="A68" s="147">
        <v>7</v>
      </c>
      <c r="B68" s="160" t="s">
        <v>203</v>
      </c>
      <c r="C68" s="157">
        <v>2827860</v>
      </c>
      <c r="D68" s="157">
        <v>3263643</v>
      </c>
      <c r="E68" s="157">
        <f t="shared" si="2"/>
        <v>435783</v>
      </c>
      <c r="F68" s="161">
        <f t="shared" si="3"/>
        <v>0.15410345632386327</v>
      </c>
    </row>
    <row r="69" spans="1:6" ht="15" customHeight="1" x14ac:dyDescent="0.2">
      <c r="A69" s="147">
        <v>8</v>
      </c>
      <c r="B69" s="160" t="s">
        <v>204</v>
      </c>
      <c r="C69" s="157">
        <v>302696</v>
      </c>
      <c r="D69" s="157">
        <v>339128</v>
      </c>
      <c r="E69" s="157">
        <f t="shared" si="2"/>
        <v>36432</v>
      </c>
      <c r="F69" s="161">
        <f t="shared" si="3"/>
        <v>0.12035837936411449</v>
      </c>
    </row>
    <row r="70" spans="1:6" ht="15" customHeight="1" x14ac:dyDescent="0.2">
      <c r="A70" s="147">
        <v>9</v>
      </c>
      <c r="B70" s="160" t="s">
        <v>205</v>
      </c>
      <c r="C70" s="157">
        <v>190183</v>
      </c>
      <c r="D70" s="157">
        <v>240639</v>
      </c>
      <c r="E70" s="157">
        <f t="shared" si="2"/>
        <v>50456</v>
      </c>
      <c r="F70" s="161">
        <f t="shared" si="3"/>
        <v>0.26530236666789353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181520</v>
      </c>
      <c r="D72" s="157">
        <v>92095</v>
      </c>
      <c r="E72" s="157">
        <f t="shared" si="2"/>
        <v>-89425</v>
      </c>
      <c r="F72" s="161">
        <f t="shared" si="3"/>
        <v>-0.49264543851917142</v>
      </c>
    </row>
    <row r="73" spans="1:6" ht="15" customHeight="1" x14ac:dyDescent="0.2">
      <c r="A73" s="147">
        <v>12</v>
      </c>
      <c r="B73" s="160" t="s">
        <v>208</v>
      </c>
      <c r="C73" s="157">
        <v>714447</v>
      </c>
      <c r="D73" s="157">
        <v>788521</v>
      </c>
      <c r="E73" s="157">
        <f t="shared" si="2"/>
        <v>74074</v>
      </c>
      <c r="F73" s="161">
        <f t="shared" si="3"/>
        <v>0.10368018901332079</v>
      </c>
    </row>
    <row r="74" spans="1:6" ht="15" customHeight="1" x14ac:dyDescent="0.2">
      <c r="A74" s="147">
        <v>13</v>
      </c>
      <c r="B74" s="160" t="s">
        <v>209</v>
      </c>
      <c r="C74" s="157">
        <v>768102</v>
      </c>
      <c r="D74" s="157">
        <v>787136</v>
      </c>
      <c r="E74" s="157">
        <f t="shared" si="2"/>
        <v>19034</v>
      </c>
      <c r="F74" s="161">
        <f t="shared" si="3"/>
        <v>2.4780562998143477E-2</v>
      </c>
    </row>
    <row r="75" spans="1:6" ht="15" customHeight="1" x14ac:dyDescent="0.2">
      <c r="A75" s="147">
        <v>14</v>
      </c>
      <c r="B75" s="160" t="s">
        <v>210</v>
      </c>
      <c r="C75" s="157">
        <v>129728</v>
      </c>
      <c r="D75" s="157">
        <v>138737</v>
      </c>
      <c r="E75" s="157">
        <f t="shared" si="2"/>
        <v>9009</v>
      </c>
      <c r="F75" s="161">
        <f t="shared" si="3"/>
        <v>6.9445300937345827E-2</v>
      </c>
    </row>
    <row r="76" spans="1:6" ht="15" customHeight="1" x14ac:dyDescent="0.2">
      <c r="A76" s="147">
        <v>15</v>
      </c>
      <c r="B76" s="160" t="s">
        <v>211</v>
      </c>
      <c r="C76" s="157">
        <v>527046</v>
      </c>
      <c r="D76" s="157">
        <v>524120</v>
      </c>
      <c r="E76" s="157">
        <f t="shared" si="2"/>
        <v>-2926</v>
      </c>
      <c r="F76" s="161">
        <f t="shared" si="3"/>
        <v>-5.5516975747847436E-3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1222726</v>
      </c>
      <c r="D78" s="157">
        <v>1441112</v>
      </c>
      <c r="E78" s="157">
        <f t="shared" si="2"/>
        <v>218386</v>
      </c>
      <c r="F78" s="161">
        <f t="shared" si="3"/>
        <v>0.17860583646704167</v>
      </c>
    </row>
    <row r="79" spans="1:6" ht="15" customHeight="1" x14ac:dyDescent="0.2">
      <c r="A79" s="147">
        <v>18</v>
      </c>
      <c r="B79" s="160" t="s">
        <v>214</v>
      </c>
      <c r="C79" s="157">
        <v>76609</v>
      </c>
      <c r="D79" s="157">
        <v>99857</v>
      </c>
      <c r="E79" s="157">
        <f t="shared" si="2"/>
        <v>23248</v>
      </c>
      <c r="F79" s="161">
        <f t="shared" si="3"/>
        <v>0.30346303959064863</v>
      </c>
    </row>
    <row r="80" spans="1:6" ht="15" customHeight="1" x14ac:dyDescent="0.2">
      <c r="A80" s="147">
        <v>19</v>
      </c>
      <c r="B80" s="160" t="s">
        <v>215</v>
      </c>
      <c r="C80" s="157">
        <v>2087887</v>
      </c>
      <c r="D80" s="157">
        <v>2327414</v>
      </c>
      <c r="E80" s="157">
        <f t="shared" si="2"/>
        <v>239527</v>
      </c>
      <c r="F80" s="161">
        <f t="shared" si="3"/>
        <v>0.11472220479365024</v>
      </c>
    </row>
    <row r="81" spans="1:6" ht="15" customHeight="1" x14ac:dyDescent="0.2">
      <c r="A81" s="147">
        <v>20</v>
      </c>
      <c r="B81" s="160" t="s">
        <v>216</v>
      </c>
      <c r="C81" s="157">
        <v>1496835</v>
      </c>
      <c r="D81" s="157">
        <v>1612911</v>
      </c>
      <c r="E81" s="157">
        <f t="shared" si="2"/>
        <v>116076</v>
      </c>
      <c r="F81" s="161">
        <f t="shared" si="3"/>
        <v>7.7547625489783445E-2</v>
      </c>
    </row>
    <row r="82" spans="1:6" ht="15" customHeight="1" x14ac:dyDescent="0.2">
      <c r="A82" s="147">
        <v>21</v>
      </c>
      <c r="B82" s="160" t="s">
        <v>217</v>
      </c>
      <c r="C82" s="157">
        <v>832352</v>
      </c>
      <c r="D82" s="157">
        <v>803944</v>
      </c>
      <c r="E82" s="157">
        <f t="shared" si="2"/>
        <v>-28408</v>
      </c>
      <c r="F82" s="161">
        <f t="shared" si="3"/>
        <v>-3.4129791242166772E-2</v>
      </c>
    </row>
    <row r="83" spans="1:6" ht="15" customHeight="1" x14ac:dyDescent="0.2">
      <c r="A83" s="147">
        <v>22</v>
      </c>
      <c r="B83" s="160" t="s">
        <v>218</v>
      </c>
      <c r="C83" s="157">
        <v>125732</v>
      </c>
      <c r="D83" s="157">
        <v>166838</v>
      </c>
      <c r="E83" s="157">
        <f t="shared" si="2"/>
        <v>41106</v>
      </c>
      <c r="F83" s="161">
        <f t="shared" si="3"/>
        <v>0.32693347755543539</v>
      </c>
    </row>
    <row r="84" spans="1:6" ht="15" customHeight="1" x14ac:dyDescent="0.2">
      <c r="A84" s="147">
        <v>23</v>
      </c>
      <c r="B84" s="160" t="s">
        <v>219</v>
      </c>
      <c r="C84" s="157">
        <v>586778</v>
      </c>
      <c r="D84" s="157">
        <v>587250</v>
      </c>
      <c r="E84" s="157">
        <f t="shared" si="2"/>
        <v>472</v>
      </c>
      <c r="F84" s="161">
        <f t="shared" si="3"/>
        <v>8.0439280272948197E-4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147007</v>
      </c>
      <c r="D86" s="157">
        <v>150869</v>
      </c>
      <c r="E86" s="157">
        <f t="shared" si="2"/>
        <v>3862</v>
      </c>
      <c r="F86" s="161">
        <f t="shared" si="3"/>
        <v>2.6270857850306448E-2</v>
      </c>
    </row>
    <row r="87" spans="1:6" ht="15" customHeight="1" x14ac:dyDescent="0.2">
      <c r="A87" s="147">
        <v>26</v>
      </c>
      <c r="B87" s="160" t="s">
        <v>222</v>
      </c>
      <c r="C87" s="157">
        <v>1180464</v>
      </c>
      <c r="D87" s="157">
        <v>1251198</v>
      </c>
      <c r="E87" s="157">
        <f t="shared" si="2"/>
        <v>70734</v>
      </c>
      <c r="F87" s="161">
        <f t="shared" si="3"/>
        <v>5.9920505834993698E-2</v>
      </c>
    </row>
    <row r="88" spans="1:6" ht="15" customHeight="1" x14ac:dyDescent="0.2">
      <c r="A88" s="147">
        <v>27</v>
      </c>
      <c r="B88" s="160" t="s">
        <v>223</v>
      </c>
      <c r="C88" s="157">
        <v>1563240</v>
      </c>
      <c r="D88" s="157">
        <v>1611555</v>
      </c>
      <c r="E88" s="157">
        <f t="shared" si="2"/>
        <v>48315</v>
      </c>
      <c r="F88" s="161">
        <f t="shared" si="3"/>
        <v>3.0906962462577722E-2</v>
      </c>
    </row>
    <row r="89" spans="1:6" ht="15" customHeight="1" x14ac:dyDescent="0.2">
      <c r="A89" s="147">
        <v>28</v>
      </c>
      <c r="B89" s="160" t="s">
        <v>224</v>
      </c>
      <c r="C89" s="157">
        <v>1657590</v>
      </c>
      <c r="D89" s="157">
        <v>1565744</v>
      </c>
      <c r="E89" s="157">
        <f t="shared" si="2"/>
        <v>-91846</v>
      </c>
      <c r="F89" s="161">
        <f t="shared" si="3"/>
        <v>-5.5409359371135204E-2</v>
      </c>
    </row>
    <row r="90" spans="1:6" ht="15.75" customHeight="1" x14ac:dyDescent="0.25">
      <c r="A90" s="147"/>
      <c r="B90" s="162" t="s">
        <v>225</v>
      </c>
      <c r="C90" s="158">
        <f>SUM(C62:C89)</f>
        <v>20100455</v>
      </c>
      <c r="D90" s="158">
        <f>SUM(D62:D89)</f>
        <v>20787313</v>
      </c>
      <c r="E90" s="158">
        <f t="shared" si="2"/>
        <v>686858</v>
      </c>
      <c r="F90" s="159">
        <f t="shared" si="3"/>
        <v>3.417126627233065E-2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34</v>
      </c>
      <c r="D93" s="157">
        <v>616</v>
      </c>
      <c r="E93" s="157">
        <f>+D93-C93</f>
        <v>582</v>
      </c>
      <c r="F93" s="161">
        <f>IF(C93=0,0,E93/C93)</f>
        <v>17.117647058823529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127376540</v>
      </c>
      <c r="D95" s="158">
        <f>+D93+D90+D59+D50+D47+D44+D41+D35+D30+D24+D18</f>
        <v>130275487</v>
      </c>
      <c r="E95" s="158">
        <f>+D95-C95</f>
        <v>2898947</v>
      </c>
      <c r="F95" s="159">
        <f>IF(C95=0,0,E95/C95)</f>
        <v>2.275887694861236E-2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4017957</v>
      </c>
      <c r="D103" s="157">
        <v>3981966</v>
      </c>
      <c r="E103" s="157">
        <f t="shared" ref="E103:E121" si="4">D103-C103</f>
        <v>-35991</v>
      </c>
      <c r="F103" s="161">
        <f t="shared" ref="F103:F121" si="5">IF(C103=0,0,E103/C103)</f>
        <v>-8.9575373753377641E-3</v>
      </c>
    </row>
    <row r="104" spans="1:6" ht="15" customHeight="1" x14ac:dyDescent="0.2">
      <c r="A104" s="147">
        <v>2</v>
      </c>
      <c r="B104" s="169" t="s">
        <v>234</v>
      </c>
      <c r="C104" s="157">
        <v>1135614</v>
      </c>
      <c r="D104" s="157">
        <v>660902</v>
      </c>
      <c r="E104" s="157">
        <f t="shared" si="4"/>
        <v>-474712</v>
      </c>
      <c r="F104" s="161">
        <f t="shared" si="5"/>
        <v>-0.41802232096469399</v>
      </c>
    </row>
    <row r="105" spans="1:6" ht="15" customHeight="1" x14ac:dyDescent="0.2">
      <c r="A105" s="147">
        <v>3</v>
      </c>
      <c r="B105" s="169" t="s">
        <v>235</v>
      </c>
      <c r="C105" s="157">
        <v>1744858</v>
      </c>
      <c r="D105" s="157">
        <v>1860547</v>
      </c>
      <c r="E105" s="157">
        <f t="shared" si="4"/>
        <v>115689</v>
      </c>
      <c r="F105" s="161">
        <f t="shared" si="5"/>
        <v>6.6302816618888191E-2</v>
      </c>
    </row>
    <row r="106" spans="1:6" ht="15" customHeight="1" x14ac:dyDescent="0.2">
      <c r="A106" s="147">
        <v>4</v>
      </c>
      <c r="B106" s="169" t="s">
        <v>236</v>
      </c>
      <c r="C106" s="157">
        <v>1071532</v>
      </c>
      <c r="D106" s="157">
        <v>954376</v>
      </c>
      <c r="E106" s="157">
        <f t="shared" si="4"/>
        <v>-117156</v>
      </c>
      <c r="F106" s="161">
        <f t="shared" si="5"/>
        <v>-0.10933504552360546</v>
      </c>
    </row>
    <row r="107" spans="1:6" ht="15" customHeight="1" x14ac:dyDescent="0.2">
      <c r="A107" s="147">
        <v>5</v>
      </c>
      <c r="B107" s="169" t="s">
        <v>237</v>
      </c>
      <c r="C107" s="157">
        <v>2330802</v>
      </c>
      <c r="D107" s="157">
        <v>2352182</v>
      </c>
      <c r="E107" s="157">
        <f t="shared" si="4"/>
        <v>21380</v>
      </c>
      <c r="F107" s="161">
        <f t="shared" si="5"/>
        <v>9.1728083294934527E-3</v>
      </c>
    </row>
    <row r="108" spans="1:6" ht="15" customHeight="1" x14ac:dyDescent="0.2">
      <c r="A108" s="147">
        <v>6</v>
      </c>
      <c r="B108" s="169" t="s">
        <v>238</v>
      </c>
      <c r="C108" s="157">
        <v>95</v>
      </c>
      <c r="D108" s="157">
        <v>103</v>
      </c>
      <c r="E108" s="157">
        <f t="shared" si="4"/>
        <v>8</v>
      </c>
      <c r="F108" s="161">
        <f t="shared" si="5"/>
        <v>8.4210526315789472E-2</v>
      </c>
    </row>
    <row r="109" spans="1:6" ht="15" customHeight="1" x14ac:dyDescent="0.2">
      <c r="A109" s="147">
        <v>7</v>
      </c>
      <c r="B109" s="169" t="s">
        <v>239</v>
      </c>
      <c r="C109" s="157">
        <v>1353676</v>
      </c>
      <c r="D109" s="157">
        <v>1361364</v>
      </c>
      <c r="E109" s="157">
        <f t="shared" si="4"/>
        <v>7688</v>
      </c>
      <c r="F109" s="161">
        <f t="shared" si="5"/>
        <v>5.679350154689896E-3</v>
      </c>
    </row>
    <row r="110" spans="1:6" ht="15" customHeight="1" x14ac:dyDescent="0.2">
      <c r="A110" s="147">
        <v>8</v>
      </c>
      <c r="B110" s="169" t="s">
        <v>240</v>
      </c>
      <c r="C110" s="157">
        <v>1103783</v>
      </c>
      <c r="D110" s="157">
        <v>1069307</v>
      </c>
      <c r="E110" s="157">
        <f t="shared" si="4"/>
        <v>-34476</v>
      </c>
      <c r="F110" s="161">
        <f t="shared" si="5"/>
        <v>-3.1234400239902226E-2</v>
      </c>
    </row>
    <row r="111" spans="1:6" ht="15" customHeight="1" x14ac:dyDescent="0.2">
      <c r="A111" s="147">
        <v>9</v>
      </c>
      <c r="B111" s="169" t="s">
        <v>241</v>
      </c>
      <c r="C111" s="157">
        <v>421412</v>
      </c>
      <c r="D111" s="157">
        <v>457844</v>
      </c>
      <c r="E111" s="157">
        <f t="shared" si="4"/>
        <v>36432</v>
      </c>
      <c r="F111" s="161">
        <f t="shared" si="5"/>
        <v>8.645221303617362E-2</v>
      </c>
    </row>
    <row r="112" spans="1:6" ht="15" customHeight="1" x14ac:dyDescent="0.2">
      <c r="A112" s="147">
        <v>10</v>
      </c>
      <c r="B112" s="169" t="s">
        <v>242</v>
      </c>
      <c r="C112" s="157">
        <v>3453411</v>
      </c>
      <c r="D112" s="157">
        <v>3814644</v>
      </c>
      <c r="E112" s="157">
        <f t="shared" si="4"/>
        <v>361233</v>
      </c>
      <c r="F112" s="161">
        <f t="shared" si="5"/>
        <v>0.10460179804836435</v>
      </c>
    </row>
    <row r="113" spans="1:6" ht="15" customHeight="1" x14ac:dyDescent="0.2">
      <c r="A113" s="147">
        <v>11</v>
      </c>
      <c r="B113" s="169" t="s">
        <v>243</v>
      </c>
      <c r="C113" s="157">
        <v>2055893</v>
      </c>
      <c r="D113" s="157">
        <v>2147537</v>
      </c>
      <c r="E113" s="157">
        <f t="shared" si="4"/>
        <v>91644</v>
      </c>
      <c r="F113" s="161">
        <f t="shared" si="5"/>
        <v>4.4576249834013738E-2</v>
      </c>
    </row>
    <row r="114" spans="1:6" ht="15" customHeight="1" x14ac:dyDescent="0.2">
      <c r="A114" s="147">
        <v>12</v>
      </c>
      <c r="B114" s="169" t="s">
        <v>244</v>
      </c>
      <c r="C114" s="157">
        <v>441214</v>
      </c>
      <c r="D114" s="157">
        <v>435313</v>
      </c>
      <c r="E114" s="157">
        <f t="shared" si="4"/>
        <v>-5901</v>
      </c>
      <c r="F114" s="161">
        <f t="shared" si="5"/>
        <v>-1.3374462279075461E-2</v>
      </c>
    </row>
    <row r="115" spans="1:6" ht="15" customHeight="1" x14ac:dyDescent="0.2">
      <c r="A115" s="147">
        <v>13</v>
      </c>
      <c r="B115" s="169" t="s">
        <v>245</v>
      </c>
      <c r="C115" s="157">
        <v>4867013</v>
      </c>
      <c r="D115" s="157">
        <v>5369525</v>
      </c>
      <c r="E115" s="157">
        <f t="shared" si="4"/>
        <v>502512</v>
      </c>
      <c r="F115" s="161">
        <f t="shared" si="5"/>
        <v>0.10324854279205747</v>
      </c>
    </row>
    <row r="116" spans="1:6" ht="15" customHeight="1" x14ac:dyDescent="0.2">
      <c r="A116" s="147">
        <v>14</v>
      </c>
      <c r="B116" s="169" t="s">
        <v>246</v>
      </c>
      <c r="C116" s="157">
        <v>697289</v>
      </c>
      <c r="D116" s="157">
        <v>535098</v>
      </c>
      <c r="E116" s="157">
        <f t="shared" si="4"/>
        <v>-162191</v>
      </c>
      <c r="F116" s="161">
        <f t="shared" si="5"/>
        <v>-0.23260226391065972</v>
      </c>
    </row>
    <row r="117" spans="1:6" ht="15" customHeight="1" x14ac:dyDescent="0.2">
      <c r="A117" s="147">
        <v>15</v>
      </c>
      <c r="B117" s="169" t="s">
        <v>203</v>
      </c>
      <c r="C117" s="157">
        <v>252389</v>
      </c>
      <c r="D117" s="157">
        <v>252940</v>
      </c>
      <c r="E117" s="157">
        <f t="shared" si="4"/>
        <v>551</v>
      </c>
      <c r="F117" s="161">
        <f t="shared" si="5"/>
        <v>2.1831379339036171E-3</v>
      </c>
    </row>
    <row r="118" spans="1:6" ht="15" customHeight="1" x14ac:dyDescent="0.2">
      <c r="A118" s="147">
        <v>16</v>
      </c>
      <c r="B118" s="169" t="s">
        <v>247</v>
      </c>
      <c r="C118" s="157">
        <v>558945</v>
      </c>
      <c r="D118" s="157">
        <v>652563</v>
      </c>
      <c r="E118" s="157">
        <f t="shared" si="4"/>
        <v>93618</v>
      </c>
      <c r="F118" s="161">
        <f t="shared" si="5"/>
        <v>0.16749054021415344</v>
      </c>
    </row>
    <row r="119" spans="1:6" ht="15" customHeight="1" x14ac:dyDescent="0.2">
      <c r="A119" s="147">
        <v>17</v>
      </c>
      <c r="B119" s="169" t="s">
        <v>248</v>
      </c>
      <c r="C119" s="157">
        <v>5757793</v>
      </c>
      <c r="D119" s="157">
        <v>8233867</v>
      </c>
      <c r="E119" s="157">
        <f t="shared" si="4"/>
        <v>2476074</v>
      </c>
      <c r="F119" s="161">
        <f t="shared" si="5"/>
        <v>0.43003873185437547</v>
      </c>
    </row>
    <row r="120" spans="1:6" ht="15" customHeight="1" x14ac:dyDescent="0.2">
      <c r="A120" s="147">
        <v>18</v>
      </c>
      <c r="B120" s="169" t="s">
        <v>249</v>
      </c>
      <c r="C120" s="157">
        <v>33855854</v>
      </c>
      <c r="D120" s="157">
        <v>30105977</v>
      </c>
      <c r="E120" s="157">
        <f t="shared" si="4"/>
        <v>-3749877</v>
      </c>
      <c r="F120" s="161">
        <f t="shared" si="5"/>
        <v>-0.11076007711989778</v>
      </c>
    </row>
    <row r="121" spans="1:6" ht="15.75" customHeight="1" x14ac:dyDescent="0.25">
      <c r="A121" s="147"/>
      <c r="B121" s="165" t="s">
        <v>250</v>
      </c>
      <c r="C121" s="158">
        <f>SUM(C103:C120)</f>
        <v>65119530</v>
      </c>
      <c r="D121" s="158">
        <f>SUM(D103:D120)</f>
        <v>64246055</v>
      </c>
      <c r="E121" s="158">
        <f t="shared" si="4"/>
        <v>-873475</v>
      </c>
      <c r="F121" s="159">
        <f t="shared" si="5"/>
        <v>-1.3413410692614029E-2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615133</v>
      </c>
      <c r="D124" s="157">
        <v>662970</v>
      </c>
      <c r="E124" s="157">
        <f t="shared" ref="E124:E130" si="6">D124-C124</f>
        <v>47837</v>
      </c>
      <c r="F124" s="161">
        <f t="shared" ref="F124:F130" si="7">IF(C124=0,0,E124/C124)</f>
        <v>7.7766921950212398E-2</v>
      </c>
    </row>
    <row r="125" spans="1:6" ht="15" customHeight="1" x14ac:dyDescent="0.2">
      <c r="A125" s="147">
        <v>2</v>
      </c>
      <c r="B125" s="169" t="s">
        <v>253</v>
      </c>
      <c r="C125" s="157">
        <v>2700134</v>
      </c>
      <c r="D125" s="157">
        <v>2944769</v>
      </c>
      <c r="E125" s="157">
        <f t="shared" si="6"/>
        <v>244635</v>
      </c>
      <c r="F125" s="161">
        <f t="shared" si="7"/>
        <v>9.0601059058550426E-2</v>
      </c>
    </row>
    <row r="126" spans="1:6" ht="15" customHeight="1" x14ac:dyDescent="0.2">
      <c r="A126" s="147">
        <v>3</v>
      </c>
      <c r="B126" s="169" t="s">
        <v>254</v>
      </c>
      <c r="C126" s="157">
        <v>733743</v>
      </c>
      <c r="D126" s="157">
        <v>755432</v>
      </c>
      <c r="E126" s="157">
        <f t="shared" si="6"/>
        <v>21689</v>
      </c>
      <c r="F126" s="161">
        <f t="shared" si="7"/>
        <v>2.9559396137339641E-2</v>
      </c>
    </row>
    <row r="127" spans="1:6" ht="15" customHeight="1" x14ac:dyDescent="0.2">
      <c r="A127" s="147">
        <v>4</v>
      </c>
      <c r="B127" s="169" t="s">
        <v>255</v>
      </c>
      <c r="C127" s="157">
        <v>1745258</v>
      </c>
      <c r="D127" s="157">
        <v>1816120</v>
      </c>
      <c r="E127" s="157">
        <f t="shared" si="6"/>
        <v>70862</v>
      </c>
      <c r="F127" s="161">
        <f t="shared" si="7"/>
        <v>4.060259285446622E-2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2001085</v>
      </c>
      <c r="D129" s="157">
        <v>2196828</v>
      </c>
      <c r="E129" s="157">
        <f t="shared" si="6"/>
        <v>195743</v>
      </c>
      <c r="F129" s="161">
        <f t="shared" si="7"/>
        <v>9.7818433499826343E-2</v>
      </c>
    </row>
    <row r="130" spans="1:6" ht="15.75" customHeight="1" x14ac:dyDescent="0.25">
      <c r="A130" s="147"/>
      <c r="B130" s="165" t="s">
        <v>258</v>
      </c>
      <c r="C130" s="158">
        <f>SUM(C124:C129)</f>
        <v>7795353</v>
      </c>
      <c r="D130" s="158">
        <f>SUM(D124:D129)</f>
        <v>8376119</v>
      </c>
      <c r="E130" s="158">
        <f t="shared" si="6"/>
        <v>580766</v>
      </c>
      <c r="F130" s="159">
        <f t="shared" si="7"/>
        <v>7.4501565227386116E-2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10254147</v>
      </c>
      <c r="D133" s="157">
        <v>11353547</v>
      </c>
      <c r="E133" s="157">
        <f t="shared" ref="E133:E167" si="8">D133-C133</f>
        <v>1099400</v>
      </c>
      <c r="F133" s="161">
        <f t="shared" ref="F133:F167" si="9">IF(C133=0,0,E133/C133)</f>
        <v>0.1072151589010768</v>
      </c>
    </row>
    <row r="134" spans="1:6" ht="15" customHeight="1" x14ac:dyDescent="0.2">
      <c r="A134" s="147">
        <v>2</v>
      </c>
      <c r="B134" s="169" t="s">
        <v>261</v>
      </c>
      <c r="C134" s="157">
        <v>488258</v>
      </c>
      <c r="D134" s="157">
        <v>487085</v>
      </c>
      <c r="E134" s="157">
        <f t="shared" si="8"/>
        <v>-1173</v>
      </c>
      <c r="F134" s="161">
        <f t="shared" si="9"/>
        <v>-2.4024183935542273E-3</v>
      </c>
    </row>
    <row r="135" spans="1:6" ht="15" customHeight="1" x14ac:dyDescent="0.2">
      <c r="A135" s="147">
        <v>3</v>
      </c>
      <c r="B135" s="169" t="s">
        <v>262</v>
      </c>
      <c r="C135" s="157">
        <v>609035</v>
      </c>
      <c r="D135" s="157">
        <v>657925</v>
      </c>
      <c r="E135" s="157">
        <f t="shared" si="8"/>
        <v>48890</v>
      </c>
      <c r="F135" s="161">
        <f t="shared" si="9"/>
        <v>8.0274532662326467E-2</v>
      </c>
    </row>
    <row r="136" spans="1:6" ht="15" customHeight="1" x14ac:dyDescent="0.2">
      <c r="A136" s="147">
        <v>4</v>
      </c>
      <c r="B136" s="169" t="s">
        <v>263</v>
      </c>
      <c r="C136" s="157">
        <v>96417</v>
      </c>
      <c r="D136" s="157">
        <v>108271</v>
      </c>
      <c r="E136" s="157">
        <f t="shared" si="8"/>
        <v>11854</v>
      </c>
      <c r="F136" s="161">
        <f t="shared" si="9"/>
        <v>0.1229451237852246</v>
      </c>
    </row>
    <row r="137" spans="1:6" ht="15" customHeight="1" x14ac:dyDescent="0.2">
      <c r="A137" s="147">
        <v>5</v>
      </c>
      <c r="B137" s="169" t="s">
        <v>264</v>
      </c>
      <c r="C137" s="157">
        <v>3085559</v>
      </c>
      <c r="D137" s="157">
        <v>3392598</v>
      </c>
      <c r="E137" s="157">
        <f t="shared" si="8"/>
        <v>307039</v>
      </c>
      <c r="F137" s="161">
        <f t="shared" si="9"/>
        <v>9.9508387297082959E-2</v>
      </c>
    </row>
    <row r="138" spans="1:6" ht="15" customHeight="1" x14ac:dyDescent="0.2">
      <c r="A138" s="147">
        <v>6</v>
      </c>
      <c r="B138" s="169" t="s">
        <v>265</v>
      </c>
      <c r="C138" s="157">
        <v>552885</v>
      </c>
      <c r="D138" s="157">
        <v>599937</v>
      </c>
      <c r="E138" s="157">
        <f t="shared" si="8"/>
        <v>47052</v>
      </c>
      <c r="F138" s="161">
        <f t="shared" si="9"/>
        <v>8.5102688624216605E-2</v>
      </c>
    </row>
    <row r="139" spans="1:6" ht="15" customHeight="1" x14ac:dyDescent="0.2">
      <c r="A139" s="147">
        <v>7</v>
      </c>
      <c r="B139" s="169" t="s">
        <v>266</v>
      </c>
      <c r="C139" s="157">
        <v>1429833</v>
      </c>
      <c r="D139" s="157">
        <v>1416352</v>
      </c>
      <c r="E139" s="157">
        <f t="shared" si="8"/>
        <v>-13481</v>
      </c>
      <c r="F139" s="161">
        <f t="shared" si="9"/>
        <v>-9.4283738030944871E-3</v>
      </c>
    </row>
    <row r="140" spans="1:6" ht="15" customHeight="1" x14ac:dyDescent="0.2">
      <c r="A140" s="147">
        <v>8</v>
      </c>
      <c r="B140" s="169" t="s">
        <v>267</v>
      </c>
      <c r="C140" s="157">
        <v>348996</v>
      </c>
      <c r="D140" s="157">
        <v>344172</v>
      </c>
      <c r="E140" s="157">
        <f t="shared" si="8"/>
        <v>-4824</v>
      </c>
      <c r="F140" s="161">
        <f t="shared" si="9"/>
        <v>-1.3822507994360966E-2</v>
      </c>
    </row>
    <row r="141" spans="1:6" ht="15" customHeight="1" x14ac:dyDescent="0.2">
      <c r="A141" s="147">
        <v>9</v>
      </c>
      <c r="B141" s="169" t="s">
        <v>268</v>
      </c>
      <c r="C141" s="157">
        <v>877114</v>
      </c>
      <c r="D141" s="157">
        <v>936183</v>
      </c>
      <c r="E141" s="157">
        <f t="shared" si="8"/>
        <v>59069</v>
      </c>
      <c r="F141" s="161">
        <f t="shared" si="9"/>
        <v>6.7344723718923652E-2</v>
      </c>
    </row>
    <row r="142" spans="1:6" ht="15" customHeight="1" x14ac:dyDescent="0.2">
      <c r="A142" s="147">
        <v>10</v>
      </c>
      <c r="B142" s="169" t="s">
        <v>269</v>
      </c>
      <c r="C142" s="157">
        <v>7282191</v>
      </c>
      <c r="D142" s="157">
        <v>7520860</v>
      </c>
      <c r="E142" s="157">
        <f t="shared" si="8"/>
        <v>238669</v>
      </c>
      <c r="F142" s="161">
        <f t="shared" si="9"/>
        <v>3.2774339481071016E-2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733279</v>
      </c>
      <c r="D144" s="157">
        <v>821727</v>
      </c>
      <c r="E144" s="157">
        <f t="shared" si="8"/>
        <v>88448</v>
      </c>
      <c r="F144" s="161">
        <f t="shared" si="9"/>
        <v>0.12061984592494808</v>
      </c>
    </row>
    <row r="145" spans="1:6" ht="15" customHeight="1" x14ac:dyDescent="0.2">
      <c r="A145" s="147">
        <v>13</v>
      </c>
      <c r="B145" s="169" t="s">
        <v>272</v>
      </c>
      <c r="C145" s="157">
        <v>0</v>
      </c>
      <c r="D145" s="157">
        <v>0</v>
      </c>
      <c r="E145" s="157">
        <f t="shared" si="8"/>
        <v>0</v>
      </c>
      <c r="F145" s="161">
        <f t="shared" si="9"/>
        <v>0</v>
      </c>
    </row>
    <row r="146" spans="1:6" ht="15" customHeight="1" x14ac:dyDescent="0.2">
      <c r="A146" s="147">
        <v>14</v>
      </c>
      <c r="B146" s="169" t="s">
        <v>273</v>
      </c>
      <c r="C146" s="157">
        <v>49276</v>
      </c>
      <c r="D146" s="157">
        <v>62118</v>
      </c>
      <c r="E146" s="157">
        <f t="shared" si="8"/>
        <v>12842</v>
      </c>
      <c r="F146" s="161">
        <f t="shared" si="9"/>
        <v>0.26061368617582598</v>
      </c>
    </row>
    <row r="147" spans="1:6" ht="15" customHeight="1" x14ac:dyDescent="0.2">
      <c r="A147" s="147">
        <v>15</v>
      </c>
      <c r="B147" s="169" t="s">
        <v>274</v>
      </c>
      <c r="C147" s="157">
        <v>1018763</v>
      </c>
      <c r="D147" s="157">
        <v>1080910</v>
      </c>
      <c r="E147" s="157">
        <f t="shared" si="8"/>
        <v>62147</v>
      </c>
      <c r="F147" s="161">
        <f t="shared" si="9"/>
        <v>6.1002411748365418E-2</v>
      </c>
    </row>
    <row r="148" spans="1:6" ht="15" customHeight="1" x14ac:dyDescent="0.2">
      <c r="A148" s="147">
        <v>16</v>
      </c>
      <c r="B148" s="169" t="s">
        <v>275</v>
      </c>
      <c r="C148" s="157">
        <v>85719</v>
      </c>
      <c r="D148" s="157">
        <v>83126</v>
      </c>
      <c r="E148" s="157">
        <f t="shared" si="8"/>
        <v>-2593</v>
      </c>
      <c r="F148" s="161">
        <f t="shared" si="9"/>
        <v>-3.0250002916506258E-2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937054</v>
      </c>
      <c r="D150" s="157">
        <v>961687</v>
      </c>
      <c r="E150" s="157">
        <f t="shared" si="8"/>
        <v>24633</v>
      </c>
      <c r="F150" s="161">
        <f t="shared" si="9"/>
        <v>2.6287705937971556E-2</v>
      </c>
    </row>
    <row r="151" spans="1:6" ht="15" customHeight="1" x14ac:dyDescent="0.2">
      <c r="A151" s="147">
        <v>19</v>
      </c>
      <c r="B151" s="169" t="s">
        <v>278</v>
      </c>
      <c r="C151" s="157">
        <v>239169</v>
      </c>
      <c r="D151" s="157">
        <v>230382</v>
      </c>
      <c r="E151" s="157">
        <f t="shared" si="8"/>
        <v>-8787</v>
      </c>
      <c r="F151" s="161">
        <f t="shared" si="9"/>
        <v>-3.6739711250203831E-2</v>
      </c>
    </row>
    <row r="152" spans="1:6" ht="15" customHeight="1" x14ac:dyDescent="0.2">
      <c r="A152" s="147">
        <v>20</v>
      </c>
      <c r="B152" s="169" t="s">
        <v>279</v>
      </c>
      <c r="C152" s="157">
        <v>91753</v>
      </c>
      <c r="D152" s="157">
        <v>94671</v>
      </c>
      <c r="E152" s="157">
        <f t="shared" si="8"/>
        <v>2918</v>
      </c>
      <c r="F152" s="161">
        <f t="shared" si="9"/>
        <v>3.1802774841149607E-2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1699043</v>
      </c>
      <c r="D154" s="157">
        <v>1781858</v>
      </c>
      <c r="E154" s="157">
        <f t="shared" si="8"/>
        <v>82815</v>
      </c>
      <c r="F154" s="161">
        <f t="shared" si="9"/>
        <v>4.8742144842714399E-2</v>
      </c>
    </row>
    <row r="155" spans="1:6" ht="15" customHeight="1" x14ac:dyDescent="0.2">
      <c r="A155" s="147">
        <v>23</v>
      </c>
      <c r="B155" s="169" t="s">
        <v>282</v>
      </c>
      <c r="C155" s="157">
        <v>0</v>
      </c>
      <c r="D155" s="157">
        <v>0</v>
      </c>
      <c r="E155" s="157">
        <f t="shared" si="8"/>
        <v>0</v>
      </c>
      <c r="F155" s="161">
        <f t="shared" si="9"/>
        <v>0</v>
      </c>
    </row>
    <row r="156" spans="1:6" ht="15" customHeight="1" x14ac:dyDescent="0.2">
      <c r="A156" s="147">
        <v>24</v>
      </c>
      <c r="B156" s="169" t="s">
        <v>283</v>
      </c>
      <c r="C156" s="157">
        <v>5120536</v>
      </c>
      <c r="D156" s="157">
        <v>5261855</v>
      </c>
      <c r="E156" s="157">
        <f t="shared" si="8"/>
        <v>141319</v>
      </c>
      <c r="F156" s="161">
        <f t="shared" si="9"/>
        <v>2.7598477971837322E-2</v>
      </c>
    </row>
    <row r="157" spans="1:6" ht="15" customHeight="1" x14ac:dyDescent="0.2">
      <c r="A157" s="147">
        <v>25</v>
      </c>
      <c r="B157" s="169" t="s">
        <v>284</v>
      </c>
      <c r="C157" s="157">
        <v>1072190</v>
      </c>
      <c r="D157" s="157">
        <v>1135374</v>
      </c>
      <c r="E157" s="157">
        <f t="shared" si="8"/>
        <v>63184</v>
      </c>
      <c r="F157" s="161">
        <f t="shared" si="9"/>
        <v>5.892985385053022E-2</v>
      </c>
    </row>
    <row r="158" spans="1:6" ht="15" customHeight="1" x14ac:dyDescent="0.2">
      <c r="A158" s="147">
        <v>26</v>
      </c>
      <c r="B158" s="169" t="s">
        <v>285</v>
      </c>
      <c r="C158" s="157">
        <v>213201</v>
      </c>
      <c r="D158" s="157">
        <v>252041</v>
      </c>
      <c r="E158" s="157">
        <f t="shared" si="8"/>
        <v>38840</v>
      </c>
      <c r="F158" s="161">
        <f t="shared" si="9"/>
        <v>0.18217550574340646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1064302</v>
      </c>
      <c r="D160" s="157">
        <v>1108025</v>
      </c>
      <c r="E160" s="157">
        <f t="shared" si="8"/>
        <v>43723</v>
      </c>
      <c r="F160" s="161">
        <f t="shared" si="9"/>
        <v>4.1081384794917235E-2</v>
      </c>
    </row>
    <row r="161" spans="1:6" ht="15" customHeight="1" x14ac:dyDescent="0.2">
      <c r="A161" s="147">
        <v>29</v>
      </c>
      <c r="B161" s="169" t="s">
        <v>288</v>
      </c>
      <c r="C161" s="157">
        <v>364943</v>
      </c>
      <c r="D161" s="157">
        <v>361933</v>
      </c>
      <c r="E161" s="157">
        <f t="shared" si="8"/>
        <v>-3010</v>
      </c>
      <c r="F161" s="161">
        <f t="shared" si="9"/>
        <v>-8.2478633649638432E-3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1040101</v>
      </c>
      <c r="D164" s="157">
        <v>1052849</v>
      </c>
      <c r="E164" s="157">
        <f t="shared" si="8"/>
        <v>12748</v>
      </c>
      <c r="F164" s="161">
        <f t="shared" si="9"/>
        <v>1.2256502012785296E-2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1511786</v>
      </c>
      <c r="D166" s="157">
        <v>1642910</v>
      </c>
      <c r="E166" s="157">
        <f t="shared" si="8"/>
        <v>131124</v>
      </c>
      <c r="F166" s="161">
        <f t="shared" si="9"/>
        <v>8.6734498136641039E-2</v>
      </c>
    </row>
    <row r="167" spans="1:6" ht="15.75" customHeight="1" x14ac:dyDescent="0.25">
      <c r="A167" s="147"/>
      <c r="B167" s="165" t="s">
        <v>294</v>
      </c>
      <c r="C167" s="158">
        <f>SUM(C133:C166)</f>
        <v>40265550</v>
      </c>
      <c r="D167" s="158">
        <f>SUM(D133:D166)</f>
        <v>42748396</v>
      </c>
      <c r="E167" s="158">
        <f t="shared" si="8"/>
        <v>2482846</v>
      </c>
      <c r="F167" s="159">
        <f t="shared" si="9"/>
        <v>6.166179277322674E-2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7432675</v>
      </c>
      <c r="D170" s="157">
        <v>7807662</v>
      </c>
      <c r="E170" s="157">
        <f t="shared" ref="E170:E183" si="10">D170-C170</f>
        <v>374987</v>
      </c>
      <c r="F170" s="161">
        <f t="shared" ref="F170:F183" si="11">IF(C170=0,0,E170/C170)</f>
        <v>5.0451149821564914E-2</v>
      </c>
    </row>
    <row r="171" spans="1:6" ht="15" customHeight="1" x14ac:dyDescent="0.2">
      <c r="A171" s="147">
        <v>2</v>
      </c>
      <c r="B171" s="169" t="s">
        <v>297</v>
      </c>
      <c r="C171" s="157">
        <v>2393288</v>
      </c>
      <c r="D171" s="157">
        <v>2348342</v>
      </c>
      <c r="E171" s="157">
        <f t="shared" si="10"/>
        <v>-44946</v>
      </c>
      <c r="F171" s="161">
        <f t="shared" si="11"/>
        <v>-1.8780021460016512E-2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1052545</v>
      </c>
      <c r="D173" s="157">
        <v>1127336</v>
      </c>
      <c r="E173" s="157">
        <f t="shared" si="10"/>
        <v>74791</v>
      </c>
      <c r="F173" s="161">
        <f t="shared" si="11"/>
        <v>7.1057294462469542E-2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1779840</v>
      </c>
      <c r="D175" s="157">
        <v>1770852</v>
      </c>
      <c r="E175" s="157">
        <f t="shared" si="10"/>
        <v>-8988</v>
      </c>
      <c r="F175" s="161">
        <f t="shared" si="11"/>
        <v>-5.0498921251348437E-3</v>
      </c>
    </row>
    <row r="176" spans="1:6" ht="15" customHeight="1" x14ac:dyDescent="0.2">
      <c r="A176" s="147">
        <v>7</v>
      </c>
      <c r="B176" s="169" t="s">
        <v>302</v>
      </c>
      <c r="C176" s="157">
        <v>124084</v>
      </c>
      <c r="D176" s="157">
        <v>113768</v>
      </c>
      <c r="E176" s="157">
        <f t="shared" si="10"/>
        <v>-10316</v>
      </c>
      <c r="F176" s="161">
        <f t="shared" si="11"/>
        <v>-8.3137229618645433E-2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529438</v>
      </c>
      <c r="D179" s="157">
        <v>573562</v>
      </c>
      <c r="E179" s="157">
        <f t="shared" si="10"/>
        <v>44124</v>
      </c>
      <c r="F179" s="161">
        <f t="shared" si="11"/>
        <v>8.3341203313702455E-2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350757</v>
      </c>
      <c r="D181" s="157">
        <v>595420</v>
      </c>
      <c r="E181" s="157">
        <f t="shared" si="10"/>
        <v>244663</v>
      </c>
      <c r="F181" s="161">
        <f t="shared" si="11"/>
        <v>0.69752848838369585</v>
      </c>
    </row>
    <row r="182" spans="1:6" ht="15" customHeight="1" x14ac:dyDescent="0.2">
      <c r="A182" s="147">
        <v>13</v>
      </c>
      <c r="B182" s="169" t="s">
        <v>308</v>
      </c>
      <c r="C182" s="157">
        <v>533463</v>
      </c>
      <c r="D182" s="157">
        <v>567305</v>
      </c>
      <c r="E182" s="157">
        <f t="shared" si="10"/>
        <v>33842</v>
      </c>
      <c r="F182" s="161">
        <f t="shared" si="11"/>
        <v>6.343832655685587E-2</v>
      </c>
    </row>
    <row r="183" spans="1:6" ht="15.75" customHeight="1" x14ac:dyDescent="0.25">
      <c r="A183" s="147"/>
      <c r="B183" s="165" t="s">
        <v>309</v>
      </c>
      <c r="C183" s="158">
        <f>SUM(C170:C182)</f>
        <v>14196090</v>
      </c>
      <c r="D183" s="158">
        <f>SUM(D170:D182)</f>
        <v>14904247</v>
      </c>
      <c r="E183" s="158">
        <f t="shared" si="10"/>
        <v>708157</v>
      </c>
      <c r="F183" s="159">
        <f t="shared" si="11"/>
        <v>4.9883946917778067E-2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17</v>
      </c>
      <c r="D186" s="157">
        <v>670</v>
      </c>
      <c r="E186" s="157">
        <f>D186-C186</f>
        <v>653</v>
      </c>
      <c r="F186" s="161">
        <f>IF(C186=0,0,E186/C186)</f>
        <v>38.411764705882355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127376540</v>
      </c>
      <c r="D188" s="158">
        <f>+D186+D183+D167+D130+D121</f>
        <v>130275487</v>
      </c>
      <c r="E188" s="158">
        <f>D188-C188</f>
        <v>2898947</v>
      </c>
      <c r="F188" s="159">
        <f>IF(C188=0,0,E188/C188)</f>
        <v>2.275887694861236E-2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FILING&amp;RGRIFFIN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121061315</v>
      </c>
      <c r="D11" s="183">
        <v>125805820</v>
      </c>
      <c r="E11" s="76">
        <v>135897993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5748384</v>
      </c>
      <c r="D12" s="185">
        <v>3714050</v>
      </c>
      <c r="E12" s="185">
        <v>3270624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126809699</v>
      </c>
      <c r="D13" s="76">
        <f>+D11+D12</f>
        <v>129519870</v>
      </c>
      <c r="E13" s="76">
        <f>+E11+E12</f>
        <v>139168617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129115712</v>
      </c>
      <c r="D14" s="185">
        <v>127376540</v>
      </c>
      <c r="E14" s="185">
        <v>130275487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-2306013</v>
      </c>
      <c r="D15" s="76">
        <f>+D13-D14</f>
        <v>2143330</v>
      </c>
      <c r="E15" s="76">
        <f>+E13-E14</f>
        <v>8893130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-1549682</v>
      </c>
      <c r="D16" s="185">
        <v>2179666</v>
      </c>
      <c r="E16" s="185">
        <v>-1059000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-3855695</v>
      </c>
      <c r="D17" s="76">
        <f>D15+D16</f>
        <v>4322996</v>
      </c>
      <c r="E17" s="76">
        <f>E15+E16</f>
        <v>7834130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-1.8409809093351791E-2</v>
      </c>
      <c r="D20" s="189">
        <f>IF(+D27=0,0,+D24/+D27)</f>
        <v>1.6274392948506668E-2</v>
      </c>
      <c r="E20" s="189">
        <f>IF(+E27=0,0,+E24/+E27)</f>
        <v>6.4391822909768845E-2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-1.2371721137479967E-2</v>
      </c>
      <c r="D21" s="189">
        <f>IF(D27=0,0,+D26/D27)</f>
        <v>1.6550293692758341E-2</v>
      </c>
      <c r="E21" s="189">
        <f>IF(E27=0,0,+E26/E27)</f>
        <v>-7.6678222922014188E-3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-3.0781530230831758E-2</v>
      </c>
      <c r="D22" s="189">
        <f>IF(D27=0,0,+D28/D27)</f>
        <v>3.2824686641265005E-2</v>
      </c>
      <c r="E22" s="189">
        <f>IF(E27=0,0,+E28/E27)</f>
        <v>5.6724000617567424E-2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-2306013</v>
      </c>
      <c r="D24" s="76">
        <f>+D15</f>
        <v>2143330</v>
      </c>
      <c r="E24" s="76">
        <f>+E15</f>
        <v>8893130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126809699</v>
      </c>
      <c r="D25" s="76">
        <f>+D13</f>
        <v>129519870</v>
      </c>
      <c r="E25" s="76">
        <f>+E13</f>
        <v>139168617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-1549682</v>
      </c>
      <c r="D26" s="76">
        <f>+D16</f>
        <v>2179666</v>
      </c>
      <c r="E26" s="76">
        <f>+E16</f>
        <v>-1059000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125260017</v>
      </c>
      <c r="D27" s="76">
        <f>+D25+D26</f>
        <v>131699536</v>
      </c>
      <c r="E27" s="76">
        <f>+E25+E26</f>
        <v>138109617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-3855695</v>
      </c>
      <c r="D28" s="76">
        <f>+D17</f>
        <v>4322996</v>
      </c>
      <c r="E28" s="76">
        <f>+E17</f>
        <v>7834130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-38049002</v>
      </c>
      <c r="D31" s="76">
        <v>-22179759</v>
      </c>
      <c r="E31" s="76">
        <v>-26106535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-30035645</v>
      </c>
      <c r="D32" s="76">
        <v>-13707175</v>
      </c>
      <c r="E32" s="76">
        <v>-16666559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2222209</v>
      </c>
      <c r="D33" s="76">
        <f>+D32-C32</f>
        <v>16328470</v>
      </c>
      <c r="E33" s="76">
        <f>+E32-D32</f>
        <v>-2959384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0.93110000000000004</v>
      </c>
      <c r="D34" s="193">
        <f>IF(C32=0,0,+D33/C32)</f>
        <v>-0.54363640268088131</v>
      </c>
      <c r="E34" s="193">
        <f>IF(D32=0,0,+E33/D32)</f>
        <v>0.21590035875371841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0.30470545821046863</v>
      </c>
      <c r="D38" s="195">
        <f>IF((D40+D41)=0,0,+D39/(D40+D41))</f>
        <v>0.28476722803462273</v>
      </c>
      <c r="E38" s="195">
        <f>IF((E40+E41)=0,0,+E39/(E40+E41))</f>
        <v>0.26795202434586024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129115712</v>
      </c>
      <c r="D39" s="76">
        <v>127376540</v>
      </c>
      <c r="E39" s="196">
        <v>130275487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417991029</v>
      </c>
      <c r="D40" s="76">
        <v>443697091</v>
      </c>
      <c r="E40" s="196">
        <v>482918974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5748384</v>
      </c>
      <c r="D41" s="76">
        <v>3603467</v>
      </c>
      <c r="E41" s="196">
        <v>3270624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1.2342333841792315</v>
      </c>
      <c r="D43" s="197">
        <f>IF(D38=0,0,IF((D46-D47)=0,0,((+D44-D45)/(D46-D47)/D38)))</f>
        <v>1.2964233928823623</v>
      </c>
      <c r="E43" s="197">
        <f>IF(E38=0,0,IF((E46-E47)=0,0,((+E44-E45)/(E46-E47)/E38)))</f>
        <v>1.394746637045575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62192240</v>
      </c>
      <c r="D44" s="76">
        <v>63096738</v>
      </c>
      <c r="E44" s="196">
        <v>67118452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548236</v>
      </c>
      <c r="D45" s="76">
        <v>800213</v>
      </c>
      <c r="E45" s="196">
        <v>817320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171204804</v>
      </c>
      <c r="D46" s="76">
        <v>174238817</v>
      </c>
      <c r="E46" s="196">
        <v>181677769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7291835</v>
      </c>
      <c r="D47" s="76">
        <v>5495355</v>
      </c>
      <c r="E47" s="76">
        <v>4271657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0.84891027299418398</v>
      </c>
      <c r="D49" s="198">
        <f>IF(D38=0,0,IF(D51=0,0,(D50/D51)/D38))</f>
        <v>0.90802847571077339</v>
      </c>
      <c r="E49" s="198">
        <f>IF(E38=0,0,IF(E51=0,0,(E50/E51)/E38))</f>
        <v>0.95037839007329894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47496512</v>
      </c>
      <c r="D50" s="199">
        <v>50848341</v>
      </c>
      <c r="E50" s="199">
        <v>53617301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183619878</v>
      </c>
      <c r="D51" s="199">
        <v>196646994</v>
      </c>
      <c r="E51" s="199">
        <v>210548113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0.60974936723189421</v>
      </c>
      <c r="D53" s="198">
        <f>IF(D38=0,0,IF(D55=0,0,(D54/D55)/D38))</f>
        <v>0.60562300586704065</v>
      </c>
      <c r="E53" s="198">
        <f>IF(E38=0,0,IF(E55=0,0,(E54/E55)/E38))</f>
        <v>0.75273926345778397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11530590</v>
      </c>
      <c r="D54" s="199">
        <v>12422003</v>
      </c>
      <c r="E54" s="199">
        <v>18203346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62061167</v>
      </c>
      <c r="D55" s="199">
        <v>72027652</v>
      </c>
      <c r="E55" s="199">
        <v>90250499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2367751.5465012644</v>
      </c>
      <c r="D57" s="88">
        <f>+D60*D38</f>
        <v>2056918.3965488814</v>
      </c>
      <c r="E57" s="88">
        <f>+E60*E38</f>
        <v>1296762.9321906185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6785012</v>
      </c>
      <c r="D58" s="199">
        <v>4849739</v>
      </c>
      <c r="E58" s="199">
        <v>3784978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985612</v>
      </c>
      <c r="D59" s="199">
        <v>2373418</v>
      </c>
      <c r="E59" s="199">
        <v>1054556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7770624</v>
      </c>
      <c r="D60" s="76">
        <v>7223157</v>
      </c>
      <c r="E60" s="201">
        <v>4839534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1.8338213915447134E-2</v>
      </c>
      <c r="D62" s="202">
        <f>IF(D63=0,0,+D57/D63)</f>
        <v>1.6148329955805688E-2</v>
      </c>
      <c r="E62" s="202">
        <f>IF(E63=0,0,+E57/E63)</f>
        <v>9.9540056387631727E-3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129115712</v>
      </c>
      <c r="D63" s="199">
        <v>127376540</v>
      </c>
      <c r="E63" s="199">
        <v>130275487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0.90817804160347371</v>
      </c>
      <c r="D67" s="203">
        <f>IF(D69=0,0,D68/D69)</f>
        <v>1.0646149637952866</v>
      </c>
      <c r="E67" s="203">
        <f>IF(E69=0,0,E68/E69)</f>
        <v>1.0844109388106191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32456228</v>
      </c>
      <c r="D68" s="204">
        <v>34639590</v>
      </c>
      <c r="E68" s="204">
        <v>33998532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35737737</v>
      </c>
      <c r="D69" s="204">
        <v>32537200</v>
      </c>
      <c r="E69" s="204">
        <v>31352074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39.826828792494595</v>
      </c>
      <c r="D71" s="203">
        <f>IF((D77/365)=0,0,+D74/(D77/365))</f>
        <v>42.793893114035164</v>
      </c>
      <c r="E71" s="203">
        <f>IF((E77/365)=0,0,+E74/(E77/365))</f>
        <v>45.594634094374157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8071213</v>
      </c>
      <c r="D72" s="183">
        <v>5178405</v>
      </c>
      <c r="E72" s="183">
        <v>7492599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5371978</v>
      </c>
      <c r="D73" s="206">
        <v>9040563</v>
      </c>
      <c r="E73" s="206">
        <v>8062643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13443191</v>
      </c>
      <c r="D74" s="204">
        <f>+D72+D73</f>
        <v>14218968</v>
      </c>
      <c r="E74" s="204">
        <f>+E72+E73</f>
        <v>15555242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129115712</v>
      </c>
      <c r="D75" s="204">
        <f>+D14</f>
        <v>127376540</v>
      </c>
      <c r="E75" s="204">
        <f>+E14</f>
        <v>130275487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5913216</v>
      </c>
      <c r="D76" s="204">
        <v>6099345</v>
      </c>
      <c r="E76" s="204">
        <v>5750673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123202496</v>
      </c>
      <c r="D77" s="204">
        <f>+D75-D76</f>
        <v>121277195</v>
      </c>
      <c r="E77" s="204">
        <f>+E75-E76</f>
        <v>124524814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38.456300057536957</v>
      </c>
      <c r="D79" s="203">
        <f>IF((D84/365)=0,0,+D83/(D84/365))</f>
        <v>41.835023173013781</v>
      </c>
      <c r="E79" s="203">
        <f>IF((E84/365)=0,0,+E83/(E84/365))</f>
        <v>33.979055489068188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12754987</v>
      </c>
      <c r="D80" s="212">
        <v>14419423</v>
      </c>
      <c r="E80" s="212">
        <v>12651193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12754987</v>
      </c>
      <c r="D83" s="212">
        <f>+D80+D81-D82</f>
        <v>14419423</v>
      </c>
      <c r="E83" s="212">
        <f>+E80+E81-E82</f>
        <v>12651193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121061315</v>
      </c>
      <c r="D84" s="204">
        <f>+D11</f>
        <v>125805820</v>
      </c>
      <c r="E84" s="204">
        <f>+E11</f>
        <v>135897993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105.87670240869147</v>
      </c>
      <c r="D86" s="203">
        <f>IF((D90/365)=0,0,+D87/(D90/365))</f>
        <v>97.925071568484086</v>
      </c>
      <c r="E86" s="203">
        <f>IF((E90/365)=0,0,+E87/(E90/365))</f>
        <v>91.897402954562949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35737737</v>
      </c>
      <c r="D87" s="76">
        <f>+D69</f>
        <v>32537200</v>
      </c>
      <c r="E87" s="76">
        <f>+E69</f>
        <v>31352074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129115712</v>
      </c>
      <c r="D88" s="76">
        <f t="shared" si="0"/>
        <v>127376540</v>
      </c>
      <c r="E88" s="76">
        <f t="shared" si="0"/>
        <v>130275487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5913216</v>
      </c>
      <c r="D89" s="201">
        <f t="shared" si="0"/>
        <v>6099345</v>
      </c>
      <c r="E89" s="201">
        <f t="shared" si="0"/>
        <v>5750673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123202496</v>
      </c>
      <c r="D90" s="76">
        <f>+D88-D89</f>
        <v>121277195</v>
      </c>
      <c r="E90" s="76">
        <f>+E88-E89</f>
        <v>124524814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-23.118530505533251</v>
      </c>
      <c r="D94" s="214">
        <f>IF(D96=0,0,(D95/D96)*100)</f>
        <v>-11.436281406957194</v>
      </c>
      <c r="E94" s="214">
        <f>IF(E96=0,0,(E95/E96)*100)</f>
        <v>-13.994331939877913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-30035645</v>
      </c>
      <c r="D95" s="76">
        <f>+D32</f>
        <v>-13707175</v>
      </c>
      <c r="E95" s="76">
        <f>+E32</f>
        <v>-16666559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129920217</v>
      </c>
      <c r="D96" s="76">
        <v>119856923</v>
      </c>
      <c r="E96" s="76">
        <v>119095067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2.4880737834105449</v>
      </c>
      <c r="D98" s="214">
        <f>IF(D104=0,0,(D101/D104)*100)</f>
        <v>13.635487436111418</v>
      </c>
      <c r="E98" s="214">
        <f>IF(E104=0,0,(E101/E104)*100)</f>
        <v>18.421918302645331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-3855695</v>
      </c>
      <c r="D99" s="76">
        <f>+D28</f>
        <v>4322996</v>
      </c>
      <c r="E99" s="76">
        <f>+E28</f>
        <v>7834130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5913216</v>
      </c>
      <c r="D100" s="201">
        <f>+D76</f>
        <v>6099345</v>
      </c>
      <c r="E100" s="201">
        <f>+E76</f>
        <v>5750673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2057521</v>
      </c>
      <c r="D101" s="76">
        <f>+D99+D100</f>
        <v>10422341</v>
      </c>
      <c r="E101" s="76">
        <f>+E99+E100</f>
        <v>13584803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35737737</v>
      </c>
      <c r="D102" s="204">
        <f>+D69</f>
        <v>32537200</v>
      </c>
      <c r="E102" s="204">
        <f>+E69</f>
        <v>31352074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46957600</v>
      </c>
      <c r="D103" s="216">
        <v>43898212</v>
      </c>
      <c r="E103" s="216">
        <v>42390534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82695337</v>
      </c>
      <c r="D104" s="204">
        <f>+D102+D103</f>
        <v>76435412</v>
      </c>
      <c r="E104" s="204">
        <f>+E102+E103</f>
        <v>73742608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277.49512393810289</v>
      </c>
      <c r="D106" s="214">
        <f>IF(D109=0,0,(D107/D109)*100)</f>
        <v>145.40147130421522</v>
      </c>
      <c r="E106" s="214">
        <f>IF(E109=0,0,(E107/E109)*100)</f>
        <v>164.78998288561547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46957600</v>
      </c>
      <c r="D107" s="204">
        <f>+D103</f>
        <v>43898212</v>
      </c>
      <c r="E107" s="204">
        <f>+E103</f>
        <v>42390534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-30035645</v>
      </c>
      <c r="D108" s="204">
        <f>+D32</f>
        <v>-13707175</v>
      </c>
      <c r="E108" s="204">
        <f>+E32</f>
        <v>-16666559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16921955</v>
      </c>
      <c r="D109" s="204">
        <f>+D107+D108</f>
        <v>30191037</v>
      </c>
      <c r="E109" s="204">
        <f>+E107+E108</f>
        <v>25723975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1.0341715713508164</v>
      </c>
      <c r="D111" s="214">
        <f>IF((+D113+D115)=0,0,((+D112+D113+D114)/(+D113+D115)))</f>
        <v>2.9352465213933399</v>
      </c>
      <c r="E111" s="214">
        <f>IF((+E113+E115)=0,0,((+E112+E113+E114)/(+E113+E115)))</f>
        <v>3.0722507162804322</v>
      </c>
    </row>
    <row r="112" spans="1:6" ht="24" customHeight="1" x14ac:dyDescent="0.2">
      <c r="A112" s="85">
        <v>16</v>
      </c>
      <c r="B112" s="75" t="s">
        <v>373</v>
      </c>
      <c r="C112" s="218">
        <f>+C17</f>
        <v>-3855695</v>
      </c>
      <c r="D112" s="76">
        <f>+D17</f>
        <v>4322996</v>
      </c>
      <c r="E112" s="76">
        <f>+E17</f>
        <v>7834130</v>
      </c>
    </row>
    <row r="113" spans="1:8" ht="24" customHeight="1" x14ac:dyDescent="0.2">
      <c r="A113" s="85">
        <v>17</v>
      </c>
      <c r="B113" s="75" t="s">
        <v>88</v>
      </c>
      <c r="C113" s="218">
        <v>2709709</v>
      </c>
      <c r="D113" s="76">
        <v>2450664</v>
      </c>
      <c r="E113" s="76">
        <v>3531142</v>
      </c>
    </row>
    <row r="114" spans="1:8" ht="24" customHeight="1" x14ac:dyDescent="0.2">
      <c r="A114" s="85">
        <v>18</v>
      </c>
      <c r="B114" s="75" t="s">
        <v>374</v>
      </c>
      <c r="C114" s="218">
        <v>5913216</v>
      </c>
      <c r="D114" s="76">
        <v>6099345</v>
      </c>
      <c r="E114" s="76">
        <v>5750673</v>
      </c>
    </row>
    <row r="115" spans="1:8" ht="24" customHeight="1" x14ac:dyDescent="0.2">
      <c r="A115" s="85">
        <v>19</v>
      </c>
      <c r="B115" s="75" t="s">
        <v>104</v>
      </c>
      <c r="C115" s="218">
        <v>1900000</v>
      </c>
      <c r="D115" s="76">
        <v>1935000</v>
      </c>
      <c r="E115" s="76">
        <v>2040000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14.92898449845228</v>
      </c>
      <c r="D119" s="214">
        <f>IF(+D121=0,0,(+D120)/(+D121))</f>
        <v>15.465300618345085</v>
      </c>
      <c r="E119" s="214">
        <f>IF(+E121=0,0,(+E120)/(+E121))</f>
        <v>17.209894215859606</v>
      </c>
    </row>
    <row r="120" spans="1:8" ht="24" customHeight="1" x14ac:dyDescent="0.2">
      <c r="A120" s="85">
        <v>21</v>
      </c>
      <c r="B120" s="75" t="s">
        <v>378</v>
      </c>
      <c r="C120" s="218">
        <v>88278310</v>
      </c>
      <c r="D120" s="218">
        <v>94328204</v>
      </c>
      <c r="E120" s="218">
        <v>98968474</v>
      </c>
    </row>
    <row r="121" spans="1:8" ht="24" customHeight="1" x14ac:dyDescent="0.2">
      <c r="A121" s="85">
        <v>22</v>
      </c>
      <c r="B121" s="75" t="s">
        <v>374</v>
      </c>
      <c r="C121" s="218">
        <v>5913216</v>
      </c>
      <c r="D121" s="218">
        <v>6099345</v>
      </c>
      <c r="E121" s="218">
        <v>5750673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29321</v>
      </c>
      <c r="D124" s="218">
        <v>31271</v>
      </c>
      <c r="E124" s="218">
        <v>30806</v>
      </c>
    </row>
    <row r="125" spans="1:8" ht="24" customHeight="1" x14ac:dyDescent="0.2">
      <c r="A125" s="85">
        <v>2</v>
      </c>
      <c r="B125" s="75" t="s">
        <v>381</v>
      </c>
      <c r="C125" s="218">
        <v>7063</v>
      </c>
      <c r="D125" s="218">
        <v>7176</v>
      </c>
      <c r="E125" s="218">
        <v>6935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4.1513521166643068</v>
      </c>
      <c r="D126" s="219">
        <f>IF(D125=0,0,D124/D125)</f>
        <v>4.357720178372352</v>
      </c>
      <c r="E126" s="219">
        <f>IF(E125=0,0,E124/E125)</f>
        <v>4.4421052631578943</v>
      </c>
    </row>
    <row r="127" spans="1:8" ht="24" customHeight="1" x14ac:dyDescent="0.2">
      <c r="A127" s="85">
        <v>4</v>
      </c>
      <c r="B127" s="75" t="s">
        <v>383</v>
      </c>
      <c r="C127" s="218">
        <v>82</v>
      </c>
      <c r="D127" s="218">
        <v>88</v>
      </c>
      <c r="E127" s="218">
        <v>86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180</v>
      </c>
      <c r="E128" s="218">
        <v>180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180</v>
      </c>
      <c r="D129" s="218">
        <v>180</v>
      </c>
      <c r="E129" s="218">
        <v>180</v>
      </c>
    </row>
    <row r="130" spans="1:7" ht="24" customHeight="1" x14ac:dyDescent="0.2">
      <c r="A130" s="85">
        <v>7</v>
      </c>
      <c r="B130" s="75" t="s">
        <v>386</v>
      </c>
      <c r="C130" s="193">
        <v>0.97960000000000003</v>
      </c>
      <c r="D130" s="193">
        <v>0.97350000000000003</v>
      </c>
      <c r="E130" s="193">
        <v>0.98129999999999995</v>
      </c>
    </row>
    <row r="131" spans="1:7" ht="24" customHeight="1" x14ac:dyDescent="0.2">
      <c r="A131" s="85">
        <v>8</v>
      </c>
      <c r="B131" s="75" t="s">
        <v>387</v>
      </c>
      <c r="C131" s="193">
        <v>0.44619999999999999</v>
      </c>
      <c r="D131" s="193">
        <v>0.47589999999999999</v>
      </c>
      <c r="E131" s="193">
        <v>0.46879999999999999</v>
      </c>
    </row>
    <row r="132" spans="1:7" ht="24" customHeight="1" x14ac:dyDescent="0.2">
      <c r="A132" s="85">
        <v>9</v>
      </c>
      <c r="B132" s="75" t="s">
        <v>388</v>
      </c>
      <c r="C132" s="219">
        <v>973</v>
      </c>
      <c r="D132" s="219">
        <v>902.4</v>
      </c>
      <c r="E132" s="219">
        <v>924.2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0.39214470557453041</v>
      </c>
      <c r="D135" s="227">
        <f>IF(D149=0,0,D143/D149)</f>
        <v>0.38031230184468351</v>
      </c>
      <c r="E135" s="227">
        <f>IF(E149=0,0,E143/E149)</f>
        <v>0.36736206600157317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0.43929143273550975</v>
      </c>
      <c r="D136" s="227">
        <f>IF(D149=0,0,D144/D149)</f>
        <v>0.4432009990347221</v>
      </c>
      <c r="E136" s="227">
        <f>IF(E149=0,0,E144/E149)</f>
        <v>0.43599055811793386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0.14847487791418604</v>
      </c>
      <c r="D137" s="227">
        <f>IF(D149=0,0,D145/D149)</f>
        <v>0.16233519096928223</v>
      </c>
      <c r="E137" s="227">
        <f>IF(E149=0,0,E145/E149)</f>
        <v>0.18688538628428378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1.7444955738511795E-2</v>
      </c>
      <c r="D139" s="227">
        <f>IF(D149=0,0,D147/D149)</f>
        <v>1.2385375319037195E-2</v>
      </c>
      <c r="E139" s="227">
        <f>IF(E149=0,0,E147/E149)</f>
        <v>8.8454942339871705E-3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2.6440280372620152E-3</v>
      </c>
      <c r="D140" s="227">
        <f>IF(D149=0,0,D148/D149)</f>
        <v>1.766132832274981E-3</v>
      </c>
      <c r="E140" s="227">
        <f>IF(E149=0,0,E148/E149)</f>
        <v>9.1649536222198637E-4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163912969</v>
      </c>
      <c r="D143" s="229">
        <f>+D46-D147</f>
        <v>168743462</v>
      </c>
      <c r="E143" s="229">
        <f>+E46-E147</f>
        <v>177406112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183619878</v>
      </c>
      <c r="D144" s="229">
        <f>+D51</f>
        <v>196646994</v>
      </c>
      <c r="E144" s="229">
        <f>+E51</f>
        <v>210548113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62061167</v>
      </c>
      <c r="D145" s="229">
        <f>+D55</f>
        <v>72027652</v>
      </c>
      <c r="E145" s="229">
        <f>+E55</f>
        <v>90250499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7291835</v>
      </c>
      <c r="D147" s="229">
        <f>+D47</f>
        <v>5495355</v>
      </c>
      <c r="E147" s="229">
        <f>+E47</f>
        <v>4271657</v>
      </c>
    </row>
    <row r="148" spans="1:7" ht="20.100000000000001" customHeight="1" x14ac:dyDescent="0.2">
      <c r="A148" s="226">
        <v>13</v>
      </c>
      <c r="B148" s="224" t="s">
        <v>402</v>
      </c>
      <c r="C148" s="230">
        <v>1105180</v>
      </c>
      <c r="D148" s="229">
        <v>783628</v>
      </c>
      <c r="E148" s="229">
        <v>442593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417991029</v>
      </c>
      <c r="D149" s="229">
        <f>SUM(D143:D148)</f>
        <v>443697091</v>
      </c>
      <c r="E149" s="229">
        <f>SUM(E143:E148)</f>
        <v>482918974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0.50665402952171024</v>
      </c>
      <c r="D152" s="227">
        <f>IF(D166=0,0,D160/D166)</f>
        <v>0.49286714994076564</v>
      </c>
      <c r="E152" s="227">
        <f>IF(E166=0,0,E160/E166)</f>
        <v>0.47681465403185502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0.39037534279937858</v>
      </c>
      <c r="D153" s="227">
        <f>IF(D166=0,0,D161/D166)</f>
        <v>0.40229333671318229</v>
      </c>
      <c r="E153" s="227">
        <f>IF(E166=0,0,E161/E166)</f>
        <v>0.38559695823046936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9.4770285951294414E-2</v>
      </c>
      <c r="D154" s="227">
        <f>IF(D166=0,0,D162/D166)</f>
        <v>9.8278310309694486E-2</v>
      </c>
      <c r="E154" s="227">
        <f>IF(E166=0,0,E162/E166)</f>
        <v>0.13091212568153665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4.5059691211632577E-3</v>
      </c>
      <c r="D156" s="227">
        <f>IF(D166=0,0,D164/D166)</f>
        <v>6.3309903827789733E-3</v>
      </c>
      <c r="E156" s="227">
        <f>IF(E166=0,0,E164/E166)</f>
        <v>5.8778808336683568E-3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3.6943726064535575E-3</v>
      </c>
      <c r="D157" s="227">
        <f>IF(D166=0,0,D165/D166)</f>
        <v>2.302126535786129E-4</v>
      </c>
      <c r="E157" s="227">
        <f>IF(E166=0,0,E165/E166)</f>
        <v>7.9838122247062669E-4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1.0000000000000002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61644004</v>
      </c>
      <c r="D160" s="229">
        <f>+D44-D164</f>
        <v>62296525</v>
      </c>
      <c r="E160" s="229">
        <f>+E44-E164</f>
        <v>66301132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47496512</v>
      </c>
      <c r="D161" s="229">
        <f>+D50</f>
        <v>50848341</v>
      </c>
      <c r="E161" s="229">
        <f>+E50</f>
        <v>53617301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11530590</v>
      </c>
      <c r="D162" s="229">
        <f>+D54</f>
        <v>12422003</v>
      </c>
      <c r="E162" s="229">
        <f>+E54</f>
        <v>18203346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548236</v>
      </c>
      <c r="D164" s="229">
        <f>+D45</f>
        <v>800213</v>
      </c>
      <c r="E164" s="229">
        <f>+E45</f>
        <v>817320</v>
      </c>
    </row>
    <row r="165" spans="1:6" ht="20.100000000000001" customHeight="1" x14ac:dyDescent="0.2">
      <c r="A165" s="226">
        <v>13</v>
      </c>
      <c r="B165" s="224" t="s">
        <v>417</v>
      </c>
      <c r="C165" s="230">
        <v>449490</v>
      </c>
      <c r="D165" s="229">
        <v>29098</v>
      </c>
      <c r="E165" s="229">
        <v>111015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121668832</v>
      </c>
      <c r="D166" s="229">
        <f>SUM(D160:D165)</f>
        <v>126396180</v>
      </c>
      <c r="E166" s="229">
        <f>SUM(E160:E165)</f>
        <v>139050114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2462</v>
      </c>
      <c r="D169" s="218">
        <v>2395</v>
      </c>
      <c r="E169" s="218">
        <v>2232</v>
      </c>
    </row>
    <row r="170" spans="1:6" ht="20.100000000000001" customHeight="1" x14ac:dyDescent="0.2">
      <c r="A170" s="226">
        <v>2</v>
      </c>
      <c r="B170" s="224" t="s">
        <v>420</v>
      </c>
      <c r="C170" s="218">
        <v>3301</v>
      </c>
      <c r="D170" s="218">
        <v>3456</v>
      </c>
      <c r="E170" s="218">
        <v>3283</v>
      </c>
    </row>
    <row r="171" spans="1:6" ht="20.100000000000001" customHeight="1" x14ac:dyDescent="0.2">
      <c r="A171" s="226">
        <v>3</v>
      </c>
      <c r="B171" s="224" t="s">
        <v>421</v>
      </c>
      <c r="C171" s="218">
        <v>1283</v>
      </c>
      <c r="D171" s="218">
        <v>1315</v>
      </c>
      <c r="E171" s="218">
        <v>1416</v>
      </c>
    </row>
    <row r="172" spans="1:6" ht="20.100000000000001" customHeight="1" x14ac:dyDescent="0.2">
      <c r="A172" s="226">
        <v>4</v>
      </c>
      <c r="B172" s="224" t="s">
        <v>422</v>
      </c>
      <c r="C172" s="218">
        <v>1283</v>
      </c>
      <c r="D172" s="218">
        <v>1315</v>
      </c>
      <c r="E172" s="218">
        <v>1416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17</v>
      </c>
      <c r="D174" s="218">
        <v>10</v>
      </c>
      <c r="E174" s="218">
        <v>4</v>
      </c>
    </row>
    <row r="175" spans="1:6" ht="20.100000000000001" customHeight="1" x14ac:dyDescent="0.2">
      <c r="A175" s="226">
        <v>7</v>
      </c>
      <c r="B175" s="224" t="s">
        <v>425</v>
      </c>
      <c r="C175" s="218">
        <v>74</v>
      </c>
      <c r="D175" s="218">
        <v>85</v>
      </c>
      <c r="E175" s="218">
        <v>81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7063</v>
      </c>
      <c r="D176" s="218">
        <f>+D169+D170+D171+D174</f>
        <v>7176</v>
      </c>
      <c r="E176" s="218">
        <f>+E169+E170+E171+E174</f>
        <v>6935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1.02</v>
      </c>
      <c r="D179" s="231">
        <v>1.0626</v>
      </c>
      <c r="E179" s="231">
        <v>1.0301499999999999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1.361</v>
      </c>
      <c r="D180" s="231">
        <v>1.3304</v>
      </c>
      <c r="E180" s="231">
        <v>1.32358</v>
      </c>
    </row>
    <row r="181" spans="1:6" ht="20.100000000000001" customHeight="1" x14ac:dyDescent="0.2">
      <c r="A181" s="226">
        <v>3</v>
      </c>
      <c r="B181" s="224" t="s">
        <v>421</v>
      </c>
      <c r="C181" s="231">
        <v>0.77400000000000002</v>
      </c>
      <c r="D181" s="231">
        <v>0.80500000000000005</v>
      </c>
      <c r="E181" s="231">
        <v>0.84899000000000002</v>
      </c>
    </row>
    <row r="182" spans="1:6" ht="20.100000000000001" customHeight="1" x14ac:dyDescent="0.2">
      <c r="A182" s="226">
        <v>4</v>
      </c>
      <c r="B182" s="224" t="s">
        <v>422</v>
      </c>
      <c r="C182" s="231">
        <v>0.77400000000000002</v>
      </c>
      <c r="D182" s="231">
        <v>0.80500000000000005</v>
      </c>
      <c r="E182" s="231">
        <v>0.84899000000000002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1.103</v>
      </c>
      <c r="D184" s="231">
        <v>0.43909999999999999</v>
      </c>
      <c r="E184" s="231">
        <v>1.24465</v>
      </c>
    </row>
    <row r="185" spans="1:6" ht="20.100000000000001" customHeight="1" x14ac:dyDescent="0.2">
      <c r="A185" s="226">
        <v>7</v>
      </c>
      <c r="B185" s="224" t="s">
        <v>425</v>
      </c>
      <c r="C185" s="231">
        <v>1.0309999999999999</v>
      </c>
      <c r="D185" s="231">
        <v>1.0423</v>
      </c>
      <c r="E185" s="231">
        <v>0.85394000000000003</v>
      </c>
    </row>
    <row r="186" spans="1:6" ht="20.100000000000001" customHeight="1" x14ac:dyDescent="0.2">
      <c r="A186" s="226">
        <v>8</v>
      </c>
      <c r="B186" s="224" t="s">
        <v>429</v>
      </c>
      <c r="C186" s="231">
        <v>1.1348849999999999</v>
      </c>
      <c r="D186" s="231">
        <v>1.143499</v>
      </c>
      <c r="E186" s="231">
        <v>1.1321920000000001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4870</v>
      </c>
      <c r="D189" s="218">
        <v>5156</v>
      </c>
      <c r="E189" s="218">
        <v>4838</v>
      </c>
    </row>
    <row r="190" spans="1:6" ht="20.100000000000001" customHeight="1" x14ac:dyDescent="0.2">
      <c r="A190" s="226">
        <v>2</v>
      </c>
      <c r="B190" s="224" t="s">
        <v>433</v>
      </c>
      <c r="C190" s="218">
        <v>36080</v>
      </c>
      <c r="D190" s="218">
        <v>34542</v>
      </c>
      <c r="E190" s="218">
        <v>33063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40950</v>
      </c>
      <c r="D191" s="218">
        <f>+D190+D189</f>
        <v>39698</v>
      </c>
      <c r="E191" s="218">
        <f>+E190+E189</f>
        <v>37901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3" fitToHeight="0" orientation="portrait" horizontalDpi="1200" verticalDpi="1200" r:id="rId1"/>
  <headerFooter>
    <oddHeader>&amp;LOFFICE OF HEALTH CARE ACCESS&amp;CTWELVE MONTHS ACTUAL FILING&amp;RGRIFFIN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2</v>
      </c>
      <c r="B4" s="797"/>
      <c r="C4" s="797"/>
      <c r="D4" s="797"/>
      <c r="E4" s="797"/>
      <c r="F4" s="797"/>
    </row>
    <row r="5" spans="1:7" ht="20.25" customHeight="1" x14ac:dyDescent="0.3">
      <c r="A5" s="797" t="s">
        <v>435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98"/>
      <c r="D9" s="799"/>
      <c r="E9" s="799"/>
      <c r="F9" s="800"/>
      <c r="G9" s="245"/>
    </row>
    <row r="10" spans="1:7" ht="20.25" customHeight="1" x14ac:dyDescent="0.3">
      <c r="A10" s="801" t="s">
        <v>12</v>
      </c>
      <c r="B10" s="802" t="s">
        <v>114</v>
      </c>
      <c r="C10" s="804"/>
      <c r="D10" s="805"/>
      <c r="E10" s="805"/>
      <c r="F10" s="806"/>
    </row>
    <row r="11" spans="1:7" ht="20.25" customHeight="1" x14ac:dyDescent="0.3">
      <c r="A11" s="787"/>
      <c r="B11" s="803"/>
      <c r="C11" s="793"/>
      <c r="D11" s="794"/>
      <c r="E11" s="794"/>
      <c r="F11" s="795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1432458</v>
      </c>
      <c r="D14" s="258">
        <v>763422</v>
      </c>
      <c r="E14" s="258">
        <f t="shared" ref="E14:E24" si="0">D14-C14</f>
        <v>-669036</v>
      </c>
      <c r="F14" s="259">
        <f t="shared" ref="F14:F24" si="1">IF(C14=0,0,E14/C14)</f>
        <v>-0.46705453144175957</v>
      </c>
    </row>
    <row r="15" spans="1:7" ht="20.25" customHeight="1" x14ac:dyDescent="0.3">
      <c r="A15" s="256">
        <v>2</v>
      </c>
      <c r="B15" s="257" t="s">
        <v>442</v>
      </c>
      <c r="C15" s="258">
        <v>351311</v>
      </c>
      <c r="D15" s="258">
        <v>165913</v>
      </c>
      <c r="E15" s="258">
        <f t="shared" si="0"/>
        <v>-185398</v>
      </c>
      <c r="F15" s="259">
        <f t="shared" si="1"/>
        <v>-0.52773183874117235</v>
      </c>
    </row>
    <row r="16" spans="1:7" ht="20.25" customHeight="1" x14ac:dyDescent="0.3">
      <c r="A16" s="256">
        <v>3</v>
      </c>
      <c r="B16" s="257" t="s">
        <v>443</v>
      </c>
      <c r="C16" s="258">
        <v>811640</v>
      </c>
      <c r="D16" s="258">
        <v>458352</v>
      </c>
      <c r="E16" s="258">
        <f t="shared" si="0"/>
        <v>-353288</v>
      </c>
      <c r="F16" s="259">
        <f t="shared" si="1"/>
        <v>-0.43527672367059289</v>
      </c>
    </row>
    <row r="17" spans="1:6" ht="20.25" customHeight="1" x14ac:dyDescent="0.3">
      <c r="A17" s="256">
        <v>4</v>
      </c>
      <c r="B17" s="257" t="s">
        <v>444</v>
      </c>
      <c r="C17" s="258">
        <v>178042</v>
      </c>
      <c r="D17" s="258">
        <v>107370</v>
      </c>
      <c r="E17" s="258">
        <f t="shared" si="0"/>
        <v>-70672</v>
      </c>
      <c r="F17" s="259">
        <f t="shared" si="1"/>
        <v>-0.39694004785387715</v>
      </c>
    </row>
    <row r="18" spans="1:6" ht="20.25" customHeight="1" x14ac:dyDescent="0.3">
      <c r="A18" s="256">
        <v>5</v>
      </c>
      <c r="B18" s="257" t="s">
        <v>381</v>
      </c>
      <c r="C18" s="260">
        <v>48</v>
      </c>
      <c r="D18" s="260">
        <v>16</v>
      </c>
      <c r="E18" s="260">
        <f t="shared" si="0"/>
        <v>-32</v>
      </c>
      <c r="F18" s="259">
        <f t="shared" si="1"/>
        <v>-0.66666666666666663</v>
      </c>
    </row>
    <row r="19" spans="1:6" ht="20.25" customHeight="1" x14ac:dyDescent="0.3">
      <c r="A19" s="256">
        <v>6</v>
      </c>
      <c r="B19" s="257" t="s">
        <v>380</v>
      </c>
      <c r="C19" s="260">
        <v>225</v>
      </c>
      <c r="D19" s="260">
        <v>118</v>
      </c>
      <c r="E19" s="260">
        <f t="shared" si="0"/>
        <v>-107</v>
      </c>
      <c r="F19" s="259">
        <f t="shared" si="1"/>
        <v>-0.47555555555555556</v>
      </c>
    </row>
    <row r="20" spans="1:6" ht="20.25" customHeight="1" x14ac:dyDescent="0.3">
      <c r="A20" s="256">
        <v>7</v>
      </c>
      <c r="B20" s="257" t="s">
        <v>445</v>
      </c>
      <c r="C20" s="260">
        <v>396</v>
      </c>
      <c r="D20" s="260">
        <v>139</v>
      </c>
      <c r="E20" s="260">
        <f t="shared" si="0"/>
        <v>-257</v>
      </c>
      <c r="F20" s="259">
        <f t="shared" si="1"/>
        <v>-0.64898989898989901</v>
      </c>
    </row>
    <row r="21" spans="1:6" ht="20.25" customHeight="1" x14ac:dyDescent="0.3">
      <c r="A21" s="256">
        <v>8</v>
      </c>
      <c r="B21" s="257" t="s">
        <v>446</v>
      </c>
      <c r="C21" s="260">
        <v>65</v>
      </c>
      <c r="D21" s="260">
        <v>22</v>
      </c>
      <c r="E21" s="260">
        <f t="shared" si="0"/>
        <v>-43</v>
      </c>
      <c r="F21" s="259">
        <f t="shared" si="1"/>
        <v>-0.66153846153846152</v>
      </c>
    </row>
    <row r="22" spans="1:6" ht="20.25" customHeight="1" x14ac:dyDescent="0.3">
      <c r="A22" s="256">
        <v>9</v>
      </c>
      <c r="B22" s="257" t="s">
        <v>447</v>
      </c>
      <c r="C22" s="260">
        <v>41</v>
      </c>
      <c r="D22" s="260">
        <v>14</v>
      </c>
      <c r="E22" s="260">
        <f t="shared" si="0"/>
        <v>-27</v>
      </c>
      <c r="F22" s="259">
        <f t="shared" si="1"/>
        <v>-0.65853658536585369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2244098</v>
      </c>
      <c r="D23" s="263">
        <f>+D14+D16</f>
        <v>1221774</v>
      </c>
      <c r="E23" s="263">
        <f t="shared" si="0"/>
        <v>-1022324</v>
      </c>
      <c r="F23" s="264">
        <f t="shared" si="1"/>
        <v>-0.45556120989368559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529353</v>
      </c>
      <c r="D24" s="263">
        <f>+D15+D17</f>
        <v>273283</v>
      </c>
      <c r="E24" s="263">
        <f t="shared" si="0"/>
        <v>-256070</v>
      </c>
      <c r="F24" s="264">
        <f t="shared" si="1"/>
        <v>-0.48374147308128979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7206242</v>
      </c>
      <c r="D40" s="258">
        <v>11898310</v>
      </c>
      <c r="E40" s="258">
        <f t="shared" ref="E40:E50" si="4">D40-C40</f>
        <v>4692068</v>
      </c>
      <c r="F40" s="259">
        <f t="shared" ref="F40:F50" si="5">IF(C40=0,0,E40/C40)</f>
        <v>0.65111163349773715</v>
      </c>
    </row>
    <row r="41" spans="1:6" ht="20.25" customHeight="1" x14ac:dyDescent="0.3">
      <c r="A41" s="256">
        <v>2</v>
      </c>
      <c r="B41" s="257" t="s">
        <v>442</v>
      </c>
      <c r="C41" s="258">
        <v>1910648</v>
      </c>
      <c r="D41" s="258">
        <v>3043293</v>
      </c>
      <c r="E41" s="258">
        <f t="shared" si="4"/>
        <v>1132645</v>
      </c>
      <c r="F41" s="259">
        <f t="shared" si="5"/>
        <v>0.5928067336317312</v>
      </c>
    </row>
    <row r="42" spans="1:6" ht="20.25" customHeight="1" x14ac:dyDescent="0.3">
      <c r="A42" s="256">
        <v>3</v>
      </c>
      <c r="B42" s="257" t="s">
        <v>443</v>
      </c>
      <c r="C42" s="258">
        <v>7875581</v>
      </c>
      <c r="D42" s="258">
        <v>11015867</v>
      </c>
      <c r="E42" s="258">
        <f t="shared" si="4"/>
        <v>3140286</v>
      </c>
      <c r="F42" s="259">
        <f t="shared" si="5"/>
        <v>0.39873705825640038</v>
      </c>
    </row>
    <row r="43" spans="1:6" ht="20.25" customHeight="1" x14ac:dyDescent="0.3">
      <c r="A43" s="256">
        <v>4</v>
      </c>
      <c r="B43" s="257" t="s">
        <v>444</v>
      </c>
      <c r="C43" s="258">
        <v>1619878</v>
      </c>
      <c r="D43" s="258">
        <v>1939731</v>
      </c>
      <c r="E43" s="258">
        <f t="shared" si="4"/>
        <v>319853</v>
      </c>
      <c r="F43" s="259">
        <f t="shared" si="5"/>
        <v>0.19745499352420368</v>
      </c>
    </row>
    <row r="44" spans="1:6" ht="20.25" customHeight="1" x14ac:dyDescent="0.3">
      <c r="A44" s="256">
        <v>5</v>
      </c>
      <c r="B44" s="257" t="s">
        <v>381</v>
      </c>
      <c r="C44" s="260">
        <v>240</v>
      </c>
      <c r="D44" s="260">
        <v>292</v>
      </c>
      <c r="E44" s="260">
        <f t="shared" si="4"/>
        <v>52</v>
      </c>
      <c r="F44" s="259">
        <f t="shared" si="5"/>
        <v>0.21666666666666667</v>
      </c>
    </row>
    <row r="45" spans="1:6" ht="20.25" customHeight="1" x14ac:dyDescent="0.3">
      <c r="A45" s="256">
        <v>6</v>
      </c>
      <c r="B45" s="257" t="s">
        <v>380</v>
      </c>
      <c r="C45" s="260">
        <v>1005</v>
      </c>
      <c r="D45" s="260">
        <v>1402</v>
      </c>
      <c r="E45" s="260">
        <f t="shared" si="4"/>
        <v>397</v>
      </c>
      <c r="F45" s="259">
        <f t="shared" si="5"/>
        <v>0.39502487562189054</v>
      </c>
    </row>
    <row r="46" spans="1:6" ht="20.25" customHeight="1" x14ac:dyDescent="0.3">
      <c r="A46" s="256">
        <v>7</v>
      </c>
      <c r="B46" s="257" t="s">
        <v>445</v>
      </c>
      <c r="C46" s="260">
        <v>3998</v>
      </c>
      <c r="D46" s="260">
        <v>4661</v>
      </c>
      <c r="E46" s="260">
        <f t="shared" si="4"/>
        <v>663</v>
      </c>
      <c r="F46" s="259">
        <f t="shared" si="5"/>
        <v>0.16583291645822912</v>
      </c>
    </row>
    <row r="47" spans="1:6" ht="20.25" customHeight="1" x14ac:dyDescent="0.3">
      <c r="A47" s="256">
        <v>8</v>
      </c>
      <c r="B47" s="257" t="s">
        <v>446</v>
      </c>
      <c r="C47" s="260">
        <v>459</v>
      </c>
      <c r="D47" s="260">
        <v>638</v>
      </c>
      <c r="E47" s="260">
        <f t="shared" si="4"/>
        <v>179</v>
      </c>
      <c r="F47" s="259">
        <f t="shared" si="5"/>
        <v>0.38997821350762529</v>
      </c>
    </row>
    <row r="48" spans="1:6" ht="20.25" customHeight="1" x14ac:dyDescent="0.3">
      <c r="A48" s="256">
        <v>9</v>
      </c>
      <c r="B48" s="257" t="s">
        <v>447</v>
      </c>
      <c r="C48" s="260">
        <v>221</v>
      </c>
      <c r="D48" s="260">
        <v>261</v>
      </c>
      <c r="E48" s="260">
        <f t="shared" si="4"/>
        <v>40</v>
      </c>
      <c r="F48" s="259">
        <f t="shared" si="5"/>
        <v>0.18099547511312217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15081823</v>
      </c>
      <c r="D49" s="263">
        <f>+D40+D42</f>
        <v>22914177</v>
      </c>
      <c r="E49" s="263">
        <f t="shared" si="4"/>
        <v>7832354</v>
      </c>
      <c r="F49" s="264">
        <f t="shared" si="5"/>
        <v>0.51932408966740962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3530526</v>
      </c>
      <c r="D50" s="263">
        <f>+D41+D43</f>
        <v>4983024</v>
      </c>
      <c r="E50" s="263">
        <f t="shared" si="4"/>
        <v>1452498</v>
      </c>
      <c r="F50" s="264">
        <f t="shared" si="5"/>
        <v>0.41141121747864201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0</v>
      </c>
      <c r="D66" s="258">
        <v>0</v>
      </c>
      <c r="E66" s="258">
        <f t="shared" ref="E66:E76" si="8">D66-C66</f>
        <v>0</v>
      </c>
      <c r="F66" s="259">
        <f t="shared" ref="F66:F76" si="9">IF(C66=0,0,E66/C66)</f>
        <v>0</v>
      </c>
    </row>
    <row r="67" spans="1:6" ht="20.25" customHeight="1" x14ac:dyDescent="0.3">
      <c r="A67" s="256">
        <v>2</v>
      </c>
      <c r="B67" s="257" t="s">
        <v>442</v>
      </c>
      <c r="C67" s="258">
        <v>0</v>
      </c>
      <c r="D67" s="258">
        <v>0</v>
      </c>
      <c r="E67" s="258">
        <f t="shared" si="8"/>
        <v>0</v>
      </c>
      <c r="F67" s="259">
        <f t="shared" si="9"/>
        <v>0</v>
      </c>
    </row>
    <row r="68" spans="1:6" ht="20.25" customHeight="1" x14ac:dyDescent="0.3">
      <c r="A68" s="256">
        <v>3</v>
      </c>
      <c r="B68" s="257" t="s">
        <v>443</v>
      </c>
      <c r="C68" s="258">
        <v>0</v>
      </c>
      <c r="D68" s="258">
        <v>0</v>
      </c>
      <c r="E68" s="258">
        <f t="shared" si="8"/>
        <v>0</v>
      </c>
      <c r="F68" s="259">
        <f t="shared" si="9"/>
        <v>0</v>
      </c>
    </row>
    <row r="69" spans="1:6" ht="20.25" customHeight="1" x14ac:dyDescent="0.3">
      <c r="A69" s="256">
        <v>4</v>
      </c>
      <c r="B69" s="257" t="s">
        <v>444</v>
      </c>
      <c r="C69" s="258">
        <v>0</v>
      </c>
      <c r="D69" s="258">
        <v>0</v>
      </c>
      <c r="E69" s="258">
        <f t="shared" si="8"/>
        <v>0</v>
      </c>
      <c r="F69" s="259">
        <f t="shared" si="9"/>
        <v>0</v>
      </c>
    </row>
    <row r="70" spans="1:6" ht="20.25" customHeight="1" x14ac:dyDescent="0.3">
      <c r="A70" s="256">
        <v>5</v>
      </c>
      <c r="B70" s="257" t="s">
        <v>381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ht="20.25" customHeight="1" x14ac:dyDescent="0.3">
      <c r="A71" s="256">
        <v>6</v>
      </c>
      <c r="B71" s="257" t="s">
        <v>380</v>
      </c>
      <c r="C71" s="260">
        <v>0</v>
      </c>
      <c r="D71" s="260">
        <v>0</v>
      </c>
      <c r="E71" s="260">
        <f t="shared" si="8"/>
        <v>0</v>
      </c>
      <c r="F71" s="259">
        <f t="shared" si="9"/>
        <v>0</v>
      </c>
    </row>
    <row r="72" spans="1:6" ht="20.25" customHeight="1" x14ac:dyDescent="0.3">
      <c r="A72" s="256">
        <v>7</v>
      </c>
      <c r="B72" s="257" t="s">
        <v>445</v>
      </c>
      <c r="C72" s="260">
        <v>0</v>
      </c>
      <c r="D72" s="260">
        <v>0</v>
      </c>
      <c r="E72" s="260">
        <f t="shared" si="8"/>
        <v>0</v>
      </c>
      <c r="F72" s="259">
        <f t="shared" si="9"/>
        <v>0</v>
      </c>
    </row>
    <row r="73" spans="1:6" ht="20.25" customHeight="1" x14ac:dyDescent="0.3">
      <c r="A73" s="256">
        <v>8</v>
      </c>
      <c r="B73" s="257" t="s">
        <v>446</v>
      </c>
      <c r="C73" s="260">
        <v>0</v>
      </c>
      <c r="D73" s="260">
        <v>0</v>
      </c>
      <c r="E73" s="260">
        <f t="shared" si="8"/>
        <v>0</v>
      </c>
      <c r="F73" s="259">
        <f t="shared" si="9"/>
        <v>0</v>
      </c>
    </row>
    <row r="74" spans="1:6" ht="20.25" customHeight="1" x14ac:dyDescent="0.3">
      <c r="A74" s="256">
        <v>9</v>
      </c>
      <c r="B74" s="257" t="s">
        <v>447</v>
      </c>
      <c r="C74" s="260">
        <v>0</v>
      </c>
      <c r="D74" s="260">
        <v>0</v>
      </c>
      <c r="E74" s="260">
        <f t="shared" si="8"/>
        <v>0</v>
      </c>
      <c r="F74" s="259">
        <f t="shared" si="9"/>
        <v>0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0</v>
      </c>
      <c r="D75" s="263">
        <f>+D66+D68</f>
        <v>0</v>
      </c>
      <c r="E75" s="263">
        <f t="shared" si="8"/>
        <v>0</v>
      </c>
      <c r="F75" s="264">
        <f t="shared" si="9"/>
        <v>0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0</v>
      </c>
      <c r="D76" s="263">
        <f>+D67+D69</f>
        <v>0</v>
      </c>
      <c r="E76" s="263">
        <f t="shared" si="8"/>
        <v>0</v>
      </c>
      <c r="F76" s="264">
        <f t="shared" si="9"/>
        <v>0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19309465</v>
      </c>
      <c r="D92" s="258">
        <v>16321401</v>
      </c>
      <c r="E92" s="258">
        <f t="shared" ref="E92:E102" si="12">D92-C92</f>
        <v>-2988064</v>
      </c>
      <c r="F92" s="259">
        <f t="shared" ref="F92:F102" si="13">IF(C92=0,0,E92/C92)</f>
        <v>-0.15474607918966166</v>
      </c>
    </row>
    <row r="93" spans="1:6" ht="20.25" customHeight="1" x14ac:dyDescent="0.3">
      <c r="A93" s="256">
        <v>2</v>
      </c>
      <c r="B93" s="257" t="s">
        <v>442</v>
      </c>
      <c r="C93" s="258">
        <v>4731791</v>
      </c>
      <c r="D93" s="258">
        <v>4253103</v>
      </c>
      <c r="E93" s="258">
        <f t="shared" si="12"/>
        <v>-478688</v>
      </c>
      <c r="F93" s="259">
        <f t="shared" si="13"/>
        <v>-0.10116423147176196</v>
      </c>
    </row>
    <row r="94" spans="1:6" ht="20.25" customHeight="1" x14ac:dyDescent="0.3">
      <c r="A94" s="256">
        <v>3</v>
      </c>
      <c r="B94" s="257" t="s">
        <v>443</v>
      </c>
      <c r="C94" s="258">
        <v>12137866</v>
      </c>
      <c r="D94" s="258">
        <v>9907663</v>
      </c>
      <c r="E94" s="258">
        <f t="shared" si="12"/>
        <v>-2230203</v>
      </c>
      <c r="F94" s="259">
        <f t="shared" si="13"/>
        <v>-0.18373929980772569</v>
      </c>
    </row>
    <row r="95" spans="1:6" ht="20.25" customHeight="1" x14ac:dyDescent="0.3">
      <c r="A95" s="256">
        <v>4</v>
      </c>
      <c r="B95" s="257" t="s">
        <v>444</v>
      </c>
      <c r="C95" s="258">
        <v>2373401</v>
      </c>
      <c r="D95" s="258">
        <v>2005825</v>
      </c>
      <c r="E95" s="258">
        <f t="shared" si="12"/>
        <v>-367576</v>
      </c>
      <c r="F95" s="259">
        <f t="shared" si="13"/>
        <v>-0.15487311246603502</v>
      </c>
    </row>
    <row r="96" spans="1:6" ht="20.25" customHeight="1" x14ac:dyDescent="0.3">
      <c r="A96" s="256">
        <v>5</v>
      </c>
      <c r="B96" s="257" t="s">
        <v>381</v>
      </c>
      <c r="C96" s="260">
        <v>591</v>
      </c>
      <c r="D96" s="260">
        <v>413</v>
      </c>
      <c r="E96" s="260">
        <f t="shared" si="12"/>
        <v>-178</v>
      </c>
      <c r="F96" s="259">
        <f t="shared" si="13"/>
        <v>-0.30118443316412857</v>
      </c>
    </row>
    <row r="97" spans="1:6" ht="20.25" customHeight="1" x14ac:dyDescent="0.3">
      <c r="A97" s="256">
        <v>6</v>
      </c>
      <c r="B97" s="257" t="s">
        <v>380</v>
      </c>
      <c r="C97" s="260">
        <v>2777</v>
      </c>
      <c r="D97" s="260">
        <v>2108</v>
      </c>
      <c r="E97" s="260">
        <f t="shared" si="12"/>
        <v>-669</v>
      </c>
      <c r="F97" s="259">
        <f t="shared" si="13"/>
        <v>-0.2409074540871444</v>
      </c>
    </row>
    <row r="98" spans="1:6" ht="20.25" customHeight="1" x14ac:dyDescent="0.3">
      <c r="A98" s="256">
        <v>7</v>
      </c>
      <c r="B98" s="257" t="s">
        <v>445</v>
      </c>
      <c r="C98" s="260">
        <v>5084</v>
      </c>
      <c r="D98" s="260">
        <v>3693</v>
      </c>
      <c r="E98" s="260">
        <f t="shared" si="12"/>
        <v>-1391</v>
      </c>
      <c r="F98" s="259">
        <f t="shared" si="13"/>
        <v>-0.27360346184107004</v>
      </c>
    </row>
    <row r="99" spans="1:6" ht="20.25" customHeight="1" x14ac:dyDescent="0.3">
      <c r="A99" s="256">
        <v>8</v>
      </c>
      <c r="B99" s="257" t="s">
        <v>446</v>
      </c>
      <c r="C99" s="260">
        <v>919</v>
      </c>
      <c r="D99" s="260">
        <v>681</v>
      </c>
      <c r="E99" s="260">
        <f t="shared" si="12"/>
        <v>-238</v>
      </c>
      <c r="F99" s="259">
        <f t="shared" si="13"/>
        <v>-0.25897714907508163</v>
      </c>
    </row>
    <row r="100" spans="1:6" ht="20.25" customHeight="1" x14ac:dyDescent="0.3">
      <c r="A100" s="256">
        <v>9</v>
      </c>
      <c r="B100" s="257" t="s">
        <v>447</v>
      </c>
      <c r="C100" s="260">
        <v>550</v>
      </c>
      <c r="D100" s="260">
        <v>368</v>
      </c>
      <c r="E100" s="260">
        <f t="shared" si="12"/>
        <v>-182</v>
      </c>
      <c r="F100" s="259">
        <f t="shared" si="13"/>
        <v>-0.33090909090909093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31447331</v>
      </c>
      <c r="D101" s="263">
        <f>+D92+D94</f>
        <v>26229064</v>
      </c>
      <c r="E101" s="263">
        <f t="shared" si="12"/>
        <v>-5218267</v>
      </c>
      <c r="F101" s="264">
        <f t="shared" si="13"/>
        <v>-0.16593672130712778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7105192</v>
      </c>
      <c r="D102" s="263">
        <f>+D93+D95</f>
        <v>6258928</v>
      </c>
      <c r="E102" s="263">
        <f t="shared" si="12"/>
        <v>-846264</v>
      </c>
      <c r="F102" s="264">
        <f t="shared" si="13"/>
        <v>-0.11910501503689133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0</v>
      </c>
      <c r="D105" s="258">
        <v>436074</v>
      </c>
      <c r="E105" s="258">
        <f t="shared" ref="E105:E115" si="14">D105-C105</f>
        <v>436074</v>
      </c>
      <c r="F105" s="259">
        <f t="shared" ref="F105:F115" si="15">IF(C105=0,0,E105/C105)</f>
        <v>0</v>
      </c>
    </row>
    <row r="106" spans="1:6" ht="20.25" customHeight="1" x14ac:dyDescent="0.3">
      <c r="A106" s="256">
        <v>2</v>
      </c>
      <c r="B106" s="257" t="s">
        <v>442</v>
      </c>
      <c r="C106" s="258">
        <v>0</v>
      </c>
      <c r="D106" s="258">
        <v>252143</v>
      </c>
      <c r="E106" s="258">
        <f t="shared" si="14"/>
        <v>252143</v>
      </c>
      <c r="F106" s="259">
        <f t="shared" si="15"/>
        <v>0</v>
      </c>
    </row>
    <row r="107" spans="1:6" ht="20.25" customHeight="1" x14ac:dyDescent="0.3">
      <c r="A107" s="256">
        <v>3</v>
      </c>
      <c r="B107" s="257" t="s">
        <v>443</v>
      </c>
      <c r="C107" s="258">
        <v>0</v>
      </c>
      <c r="D107" s="258">
        <v>322384</v>
      </c>
      <c r="E107" s="258">
        <f t="shared" si="14"/>
        <v>322384</v>
      </c>
      <c r="F107" s="259">
        <f t="shared" si="15"/>
        <v>0</v>
      </c>
    </row>
    <row r="108" spans="1:6" ht="20.25" customHeight="1" x14ac:dyDescent="0.3">
      <c r="A108" s="256">
        <v>4</v>
      </c>
      <c r="B108" s="257" t="s">
        <v>444</v>
      </c>
      <c r="C108" s="258">
        <v>0</v>
      </c>
      <c r="D108" s="258">
        <v>129452</v>
      </c>
      <c r="E108" s="258">
        <f t="shared" si="14"/>
        <v>129452</v>
      </c>
      <c r="F108" s="259">
        <f t="shared" si="15"/>
        <v>0</v>
      </c>
    </row>
    <row r="109" spans="1:6" ht="20.25" customHeight="1" x14ac:dyDescent="0.3">
      <c r="A109" s="256">
        <v>5</v>
      </c>
      <c r="B109" s="257" t="s">
        <v>381</v>
      </c>
      <c r="C109" s="260">
        <v>0</v>
      </c>
      <c r="D109" s="260">
        <v>11</v>
      </c>
      <c r="E109" s="260">
        <f t="shared" si="14"/>
        <v>11</v>
      </c>
      <c r="F109" s="259">
        <f t="shared" si="15"/>
        <v>0</v>
      </c>
    </row>
    <row r="110" spans="1:6" ht="20.25" customHeight="1" x14ac:dyDescent="0.3">
      <c r="A110" s="256">
        <v>6</v>
      </c>
      <c r="B110" s="257" t="s">
        <v>380</v>
      </c>
      <c r="C110" s="260">
        <v>0</v>
      </c>
      <c r="D110" s="260">
        <v>46</v>
      </c>
      <c r="E110" s="260">
        <f t="shared" si="14"/>
        <v>46</v>
      </c>
      <c r="F110" s="259">
        <f t="shared" si="15"/>
        <v>0</v>
      </c>
    </row>
    <row r="111" spans="1:6" ht="20.25" customHeight="1" x14ac:dyDescent="0.3">
      <c r="A111" s="256">
        <v>7</v>
      </c>
      <c r="B111" s="257" t="s">
        <v>445</v>
      </c>
      <c r="C111" s="260">
        <v>0</v>
      </c>
      <c r="D111" s="260">
        <v>141</v>
      </c>
      <c r="E111" s="260">
        <f t="shared" si="14"/>
        <v>141</v>
      </c>
      <c r="F111" s="259">
        <f t="shared" si="15"/>
        <v>0</v>
      </c>
    </row>
    <row r="112" spans="1:6" ht="20.25" customHeight="1" x14ac:dyDescent="0.3">
      <c r="A112" s="256">
        <v>8</v>
      </c>
      <c r="B112" s="257" t="s">
        <v>446</v>
      </c>
      <c r="C112" s="260">
        <v>0</v>
      </c>
      <c r="D112" s="260">
        <v>31</v>
      </c>
      <c r="E112" s="260">
        <f t="shared" si="14"/>
        <v>31</v>
      </c>
      <c r="F112" s="259">
        <f t="shared" si="15"/>
        <v>0</v>
      </c>
    </row>
    <row r="113" spans="1:6" ht="20.25" customHeight="1" x14ac:dyDescent="0.3">
      <c r="A113" s="256">
        <v>9</v>
      </c>
      <c r="B113" s="257" t="s">
        <v>447</v>
      </c>
      <c r="C113" s="260">
        <v>0</v>
      </c>
      <c r="D113" s="260">
        <v>8</v>
      </c>
      <c r="E113" s="260">
        <f t="shared" si="14"/>
        <v>8</v>
      </c>
      <c r="F113" s="259">
        <f t="shared" si="15"/>
        <v>0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0</v>
      </c>
      <c r="D114" s="263">
        <f>+D105+D107</f>
        <v>758458</v>
      </c>
      <c r="E114" s="263">
        <f t="shared" si="14"/>
        <v>758458</v>
      </c>
      <c r="F114" s="264">
        <f t="shared" si="15"/>
        <v>0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0</v>
      </c>
      <c r="D115" s="263">
        <f>+D106+D108</f>
        <v>381595</v>
      </c>
      <c r="E115" s="263">
        <f t="shared" si="14"/>
        <v>381595</v>
      </c>
      <c r="F115" s="264">
        <f t="shared" si="15"/>
        <v>0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5530784</v>
      </c>
      <c r="D118" s="258">
        <v>7727272</v>
      </c>
      <c r="E118" s="258">
        <f t="shared" ref="E118:E128" si="16">D118-C118</f>
        <v>2196488</v>
      </c>
      <c r="F118" s="259">
        <f t="shared" ref="F118:F128" si="17">IF(C118=0,0,E118/C118)</f>
        <v>0.39713863351018591</v>
      </c>
    </row>
    <row r="119" spans="1:6" ht="20.25" customHeight="1" x14ac:dyDescent="0.3">
      <c r="A119" s="256">
        <v>2</v>
      </c>
      <c r="B119" s="257" t="s">
        <v>442</v>
      </c>
      <c r="C119" s="258">
        <v>1462390</v>
      </c>
      <c r="D119" s="258">
        <v>2019950</v>
      </c>
      <c r="E119" s="258">
        <f t="shared" si="16"/>
        <v>557560</v>
      </c>
      <c r="F119" s="259">
        <f t="shared" si="17"/>
        <v>0.38126628327600709</v>
      </c>
    </row>
    <row r="120" spans="1:6" ht="20.25" customHeight="1" x14ac:dyDescent="0.3">
      <c r="A120" s="256">
        <v>3</v>
      </c>
      <c r="B120" s="257" t="s">
        <v>443</v>
      </c>
      <c r="C120" s="258">
        <v>4663426</v>
      </c>
      <c r="D120" s="258">
        <v>7514299</v>
      </c>
      <c r="E120" s="258">
        <f t="shared" si="16"/>
        <v>2850873</v>
      </c>
      <c r="F120" s="259">
        <f t="shared" si="17"/>
        <v>0.61132587929989668</v>
      </c>
    </row>
    <row r="121" spans="1:6" ht="20.25" customHeight="1" x14ac:dyDescent="0.3">
      <c r="A121" s="256">
        <v>4</v>
      </c>
      <c r="B121" s="257" t="s">
        <v>444</v>
      </c>
      <c r="C121" s="258">
        <v>874081</v>
      </c>
      <c r="D121" s="258">
        <v>1459909</v>
      </c>
      <c r="E121" s="258">
        <f t="shared" si="16"/>
        <v>585828</v>
      </c>
      <c r="F121" s="259">
        <f t="shared" si="17"/>
        <v>0.67022163849803396</v>
      </c>
    </row>
    <row r="122" spans="1:6" ht="20.25" customHeight="1" x14ac:dyDescent="0.3">
      <c r="A122" s="256">
        <v>5</v>
      </c>
      <c r="B122" s="257" t="s">
        <v>381</v>
      </c>
      <c r="C122" s="260">
        <v>152</v>
      </c>
      <c r="D122" s="260">
        <v>228</v>
      </c>
      <c r="E122" s="260">
        <f t="shared" si="16"/>
        <v>76</v>
      </c>
      <c r="F122" s="259">
        <f t="shared" si="17"/>
        <v>0.5</v>
      </c>
    </row>
    <row r="123" spans="1:6" ht="20.25" customHeight="1" x14ac:dyDescent="0.3">
      <c r="A123" s="256">
        <v>6</v>
      </c>
      <c r="B123" s="257" t="s">
        <v>380</v>
      </c>
      <c r="C123" s="260">
        <v>726</v>
      </c>
      <c r="D123" s="260">
        <v>1015</v>
      </c>
      <c r="E123" s="260">
        <f t="shared" si="16"/>
        <v>289</v>
      </c>
      <c r="F123" s="259">
        <f t="shared" si="17"/>
        <v>0.39807162534435264</v>
      </c>
    </row>
    <row r="124" spans="1:6" ht="20.25" customHeight="1" x14ac:dyDescent="0.3">
      <c r="A124" s="256">
        <v>7</v>
      </c>
      <c r="B124" s="257" t="s">
        <v>445</v>
      </c>
      <c r="C124" s="260">
        <v>2275</v>
      </c>
      <c r="D124" s="260">
        <v>3382</v>
      </c>
      <c r="E124" s="260">
        <f t="shared" si="16"/>
        <v>1107</v>
      </c>
      <c r="F124" s="259">
        <f t="shared" si="17"/>
        <v>0.48659340659340661</v>
      </c>
    </row>
    <row r="125" spans="1:6" ht="20.25" customHeight="1" x14ac:dyDescent="0.3">
      <c r="A125" s="256">
        <v>8</v>
      </c>
      <c r="B125" s="257" t="s">
        <v>446</v>
      </c>
      <c r="C125" s="260">
        <v>244</v>
      </c>
      <c r="D125" s="260">
        <v>410</v>
      </c>
      <c r="E125" s="260">
        <f t="shared" si="16"/>
        <v>166</v>
      </c>
      <c r="F125" s="259">
        <f t="shared" si="17"/>
        <v>0.68032786885245899</v>
      </c>
    </row>
    <row r="126" spans="1:6" ht="20.25" customHeight="1" x14ac:dyDescent="0.3">
      <c r="A126" s="256">
        <v>9</v>
      </c>
      <c r="B126" s="257" t="s">
        <v>447</v>
      </c>
      <c r="C126" s="260">
        <v>138</v>
      </c>
      <c r="D126" s="260">
        <v>204</v>
      </c>
      <c r="E126" s="260">
        <f t="shared" si="16"/>
        <v>66</v>
      </c>
      <c r="F126" s="259">
        <f t="shared" si="17"/>
        <v>0.47826086956521741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10194210</v>
      </c>
      <c r="D127" s="263">
        <f>+D118+D120</f>
        <v>15241571</v>
      </c>
      <c r="E127" s="263">
        <f t="shared" si="16"/>
        <v>5047361</v>
      </c>
      <c r="F127" s="264">
        <f t="shared" si="17"/>
        <v>0.49512036734577763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2336471</v>
      </c>
      <c r="D128" s="263">
        <f>+D119+D121</f>
        <v>3479859</v>
      </c>
      <c r="E128" s="263">
        <f t="shared" si="16"/>
        <v>1143388</v>
      </c>
      <c r="F128" s="264">
        <f t="shared" si="17"/>
        <v>0.48936537196481361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92608</v>
      </c>
      <c r="D131" s="258">
        <v>133049</v>
      </c>
      <c r="E131" s="258">
        <f t="shared" ref="E131:E141" si="18">D131-C131</f>
        <v>40441</v>
      </c>
      <c r="F131" s="259">
        <f t="shared" ref="F131:F141" si="19">IF(C131=0,0,E131/C131)</f>
        <v>0.4366901347615757</v>
      </c>
    </row>
    <row r="132" spans="1:6" ht="20.25" customHeight="1" x14ac:dyDescent="0.3">
      <c r="A132" s="256">
        <v>2</v>
      </c>
      <c r="B132" s="257" t="s">
        <v>442</v>
      </c>
      <c r="C132" s="258">
        <v>30325</v>
      </c>
      <c r="D132" s="258">
        <v>38735</v>
      </c>
      <c r="E132" s="258">
        <f t="shared" si="18"/>
        <v>8410</v>
      </c>
      <c r="F132" s="259">
        <f t="shared" si="19"/>
        <v>0.27732893652102225</v>
      </c>
    </row>
    <row r="133" spans="1:6" ht="20.25" customHeight="1" x14ac:dyDescent="0.3">
      <c r="A133" s="256">
        <v>3</v>
      </c>
      <c r="B133" s="257" t="s">
        <v>443</v>
      </c>
      <c r="C133" s="258">
        <v>91574</v>
      </c>
      <c r="D133" s="258">
        <v>72321</v>
      </c>
      <c r="E133" s="258">
        <f t="shared" si="18"/>
        <v>-19253</v>
      </c>
      <c r="F133" s="259">
        <f t="shared" si="19"/>
        <v>-0.21024526612357219</v>
      </c>
    </row>
    <row r="134" spans="1:6" ht="20.25" customHeight="1" x14ac:dyDescent="0.3">
      <c r="A134" s="256">
        <v>4</v>
      </c>
      <c r="B134" s="257" t="s">
        <v>444</v>
      </c>
      <c r="C134" s="258">
        <v>43201</v>
      </c>
      <c r="D134" s="258">
        <v>12083</v>
      </c>
      <c r="E134" s="258">
        <f t="shared" si="18"/>
        <v>-31118</v>
      </c>
      <c r="F134" s="259">
        <f t="shared" si="19"/>
        <v>-0.72030740029165996</v>
      </c>
    </row>
    <row r="135" spans="1:6" ht="20.25" customHeight="1" x14ac:dyDescent="0.3">
      <c r="A135" s="256">
        <v>5</v>
      </c>
      <c r="B135" s="257" t="s">
        <v>381</v>
      </c>
      <c r="C135" s="260">
        <v>4</v>
      </c>
      <c r="D135" s="260">
        <v>6</v>
      </c>
      <c r="E135" s="260">
        <f t="shared" si="18"/>
        <v>2</v>
      </c>
      <c r="F135" s="259">
        <f t="shared" si="19"/>
        <v>0.5</v>
      </c>
    </row>
    <row r="136" spans="1:6" ht="20.25" customHeight="1" x14ac:dyDescent="0.3">
      <c r="A136" s="256">
        <v>6</v>
      </c>
      <c r="B136" s="257" t="s">
        <v>380</v>
      </c>
      <c r="C136" s="260">
        <v>21</v>
      </c>
      <c r="D136" s="260">
        <v>20</v>
      </c>
      <c r="E136" s="260">
        <f t="shared" si="18"/>
        <v>-1</v>
      </c>
      <c r="F136" s="259">
        <f t="shared" si="19"/>
        <v>-4.7619047619047616E-2</v>
      </c>
    </row>
    <row r="137" spans="1:6" ht="20.25" customHeight="1" x14ac:dyDescent="0.3">
      <c r="A137" s="256">
        <v>7</v>
      </c>
      <c r="B137" s="257" t="s">
        <v>445</v>
      </c>
      <c r="C137" s="260">
        <v>17</v>
      </c>
      <c r="D137" s="260">
        <v>30</v>
      </c>
      <c r="E137" s="260">
        <f t="shared" si="18"/>
        <v>13</v>
      </c>
      <c r="F137" s="259">
        <f t="shared" si="19"/>
        <v>0.76470588235294112</v>
      </c>
    </row>
    <row r="138" spans="1:6" ht="20.25" customHeight="1" x14ac:dyDescent="0.3">
      <c r="A138" s="256">
        <v>8</v>
      </c>
      <c r="B138" s="257" t="s">
        <v>446</v>
      </c>
      <c r="C138" s="260">
        <v>15</v>
      </c>
      <c r="D138" s="260">
        <v>15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4</v>
      </c>
      <c r="D139" s="260">
        <v>6</v>
      </c>
      <c r="E139" s="260">
        <f t="shared" si="18"/>
        <v>2</v>
      </c>
      <c r="F139" s="259">
        <f t="shared" si="19"/>
        <v>0.5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184182</v>
      </c>
      <c r="D140" s="263">
        <f>+D131+D133</f>
        <v>205370</v>
      </c>
      <c r="E140" s="263">
        <f t="shared" si="18"/>
        <v>21188</v>
      </c>
      <c r="F140" s="264">
        <f t="shared" si="19"/>
        <v>0.11503838594433767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73526</v>
      </c>
      <c r="D141" s="263">
        <f>+D132+D134</f>
        <v>50818</v>
      </c>
      <c r="E141" s="263">
        <f t="shared" si="18"/>
        <v>-22708</v>
      </c>
      <c r="F141" s="264">
        <f t="shared" si="19"/>
        <v>-0.30884313032124688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67236</v>
      </c>
      <c r="D183" s="258">
        <v>0</v>
      </c>
      <c r="E183" s="258">
        <f t="shared" ref="E183:E193" si="26">D183-C183</f>
        <v>-67236</v>
      </c>
      <c r="F183" s="259">
        <f t="shared" ref="F183:F193" si="27">IF(C183=0,0,E183/C183)</f>
        <v>-1</v>
      </c>
    </row>
    <row r="184" spans="1:6" ht="20.25" customHeight="1" x14ac:dyDescent="0.3">
      <c r="A184" s="256">
        <v>2</v>
      </c>
      <c r="B184" s="257" t="s">
        <v>442</v>
      </c>
      <c r="C184" s="258">
        <v>15429</v>
      </c>
      <c r="D184" s="258">
        <v>0</v>
      </c>
      <c r="E184" s="258">
        <f t="shared" si="26"/>
        <v>-15429</v>
      </c>
      <c r="F184" s="259">
        <f t="shared" si="27"/>
        <v>-1</v>
      </c>
    </row>
    <row r="185" spans="1:6" ht="20.25" customHeight="1" x14ac:dyDescent="0.3">
      <c r="A185" s="256">
        <v>3</v>
      </c>
      <c r="B185" s="257" t="s">
        <v>443</v>
      </c>
      <c r="C185" s="258">
        <v>287287</v>
      </c>
      <c r="D185" s="258">
        <v>161667</v>
      </c>
      <c r="E185" s="258">
        <f t="shared" si="26"/>
        <v>-125620</v>
      </c>
      <c r="F185" s="259">
        <f t="shared" si="27"/>
        <v>-0.43726308534670905</v>
      </c>
    </row>
    <row r="186" spans="1:6" ht="20.25" customHeight="1" x14ac:dyDescent="0.3">
      <c r="A186" s="256">
        <v>4</v>
      </c>
      <c r="B186" s="257" t="s">
        <v>444</v>
      </c>
      <c r="C186" s="258">
        <v>47364</v>
      </c>
      <c r="D186" s="258">
        <v>20330</v>
      </c>
      <c r="E186" s="258">
        <f t="shared" si="26"/>
        <v>-27034</v>
      </c>
      <c r="F186" s="259">
        <f t="shared" si="27"/>
        <v>-0.57077104974242043</v>
      </c>
    </row>
    <row r="187" spans="1:6" ht="20.25" customHeight="1" x14ac:dyDescent="0.3">
      <c r="A187" s="256">
        <v>5</v>
      </c>
      <c r="B187" s="257" t="s">
        <v>381</v>
      </c>
      <c r="C187" s="260">
        <v>2</v>
      </c>
      <c r="D187" s="260">
        <v>0</v>
      </c>
      <c r="E187" s="260">
        <f t="shared" si="26"/>
        <v>-2</v>
      </c>
      <c r="F187" s="259">
        <f t="shared" si="27"/>
        <v>-1</v>
      </c>
    </row>
    <row r="188" spans="1:6" ht="20.25" customHeight="1" x14ac:dyDescent="0.3">
      <c r="A188" s="256">
        <v>6</v>
      </c>
      <c r="B188" s="257" t="s">
        <v>380</v>
      </c>
      <c r="C188" s="260">
        <v>12</v>
      </c>
      <c r="D188" s="260">
        <v>0</v>
      </c>
      <c r="E188" s="260">
        <f t="shared" si="26"/>
        <v>-12</v>
      </c>
      <c r="F188" s="259">
        <f t="shared" si="27"/>
        <v>-1</v>
      </c>
    </row>
    <row r="189" spans="1:6" ht="20.25" customHeight="1" x14ac:dyDescent="0.3">
      <c r="A189" s="256">
        <v>7</v>
      </c>
      <c r="B189" s="257" t="s">
        <v>445</v>
      </c>
      <c r="C189" s="260">
        <v>9</v>
      </c>
      <c r="D189" s="260">
        <v>4</v>
      </c>
      <c r="E189" s="260">
        <f t="shared" si="26"/>
        <v>-5</v>
      </c>
      <c r="F189" s="259">
        <f t="shared" si="27"/>
        <v>-0.55555555555555558</v>
      </c>
    </row>
    <row r="190" spans="1:6" ht="20.25" customHeight="1" x14ac:dyDescent="0.3">
      <c r="A190" s="256">
        <v>8</v>
      </c>
      <c r="B190" s="257" t="s">
        <v>446</v>
      </c>
      <c r="C190" s="260">
        <v>7</v>
      </c>
      <c r="D190" s="260">
        <v>1</v>
      </c>
      <c r="E190" s="260">
        <f t="shared" si="26"/>
        <v>-6</v>
      </c>
      <c r="F190" s="259">
        <f t="shared" si="27"/>
        <v>-0.8571428571428571</v>
      </c>
    </row>
    <row r="191" spans="1:6" ht="20.25" customHeight="1" x14ac:dyDescent="0.3">
      <c r="A191" s="256">
        <v>9</v>
      </c>
      <c r="B191" s="257" t="s">
        <v>447</v>
      </c>
      <c r="C191" s="260">
        <v>2</v>
      </c>
      <c r="D191" s="260">
        <v>0</v>
      </c>
      <c r="E191" s="260">
        <f t="shared" si="26"/>
        <v>-2</v>
      </c>
      <c r="F191" s="259">
        <f t="shared" si="27"/>
        <v>-1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354523</v>
      </c>
      <c r="D192" s="263">
        <f>+D183+D185</f>
        <v>161667</v>
      </c>
      <c r="E192" s="263">
        <f t="shared" si="26"/>
        <v>-192856</v>
      </c>
      <c r="F192" s="264">
        <f t="shared" si="27"/>
        <v>-0.54398727304011307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62793</v>
      </c>
      <c r="D193" s="263">
        <f>+D184+D186</f>
        <v>20330</v>
      </c>
      <c r="E193" s="263">
        <f t="shared" si="26"/>
        <v>-42463</v>
      </c>
      <c r="F193" s="264">
        <f t="shared" si="27"/>
        <v>-0.67623779720669497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786" t="s">
        <v>44</v>
      </c>
      <c r="B195" s="788" t="s">
        <v>464</v>
      </c>
      <c r="C195" s="790"/>
      <c r="D195" s="791"/>
      <c r="E195" s="791"/>
      <c r="F195" s="792"/>
      <c r="G195" s="796"/>
      <c r="H195" s="796"/>
      <c r="I195" s="796"/>
    </row>
    <row r="196" spans="1:9" ht="20.25" customHeight="1" x14ac:dyDescent="0.3">
      <c r="A196" s="787"/>
      <c r="B196" s="789"/>
      <c r="C196" s="793"/>
      <c r="D196" s="794"/>
      <c r="E196" s="794"/>
      <c r="F196" s="795"/>
      <c r="G196" s="796"/>
      <c r="H196" s="796"/>
      <c r="I196" s="79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33638793</v>
      </c>
      <c r="D198" s="263">
        <f t="shared" si="28"/>
        <v>37279528</v>
      </c>
      <c r="E198" s="263">
        <f t="shared" ref="E198:E208" si="29">D198-C198</f>
        <v>3640735</v>
      </c>
      <c r="F198" s="273">
        <f t="shared" ref="F198:F208" si="30">IF(C198=0,0,E198/C198)</f>
        <v>0.10823025071083853</v>
      </c>
    </row>
    <row r="199" spans="1:9" ht="20.25" customHeight="1" x14ac:dyDescent="0.3">
      <c r="A199" s="271"/>
      <c r="B199" s="272" t="s">
        <v>466</v>
      </c>
      <c r="C199" s="263">
        <f t="shared" si="28"/>
        <v>8501894</v>
      </c>
      <c r="D199" s="263">
        <f t="shared" si="28"/>
        <v>9773137</v>
      </c>
      <c r="E199" s="263">
        <f t="shared" si="29"/>
        <v>1271243</v>
      </c>
      <c r="F199" s="273">
        <f t="shared" si="30"/>
        <v>0.14952468238253735</v>
      </c>
    </row>
    <row r="200" spans="1:9" ht="20.25" customHeight="1" x14ac:dyDescent="0.3">
      <c r="A200" s="271"/>
      <c r="B200" s="272" t="s">
        <v>467</v>
      </c>
      <c r="C200" s="263">
        <f t="shared" si="28"/>
        <v>25867374</v>
      </c>
      <c r="D200" s="263">
        <f t="shared" si="28"/>
        <v>29452553</v>
      </c>
      <c r="E200" s="263">
        <f t="shared" si="29"/>
        <v>3585179</v>
      </c>
      <c r="F200" s="273">
        <f t="shared" si="30"/>
        <v>0.13859849090209156</v>
      </c>
    </row>
    <row r="201" spans="1:9" ht="20.25" customHeight="1" x14ac:dyDescent="0.3">
      <c r="A201" s="271"/>
      <c r="B201" s="272" t="s">
        <v>468</v>
      </c>
      <c r="C201" s="263">
        <f t="shared" si="28"/>
        <v>5135967</v>
      </c>
      <c r="D201" s="263">
        <f t="shared" si="28"/>
        <v>5674700</v>
      </c>
      <c r="E201" s="263">
        <f t="shared" si="29"/>
        <v>538733</v>
      </c>
      <c r="F201" s="273">
        <f t="shared" si="30"/>
        <v>0.10489417085429092</v>
      </c>
    </row>
    <row r="202" spans="1:9" ht="20.25" customHeight="1" x14ac:dyDescent="0.3">
      <c r="A202" s="271"/>
      <c r="B202" s="272" t="s">
        <v>138</v>
      </c>
      <c r="C202" s="274">
        <f t="shared" si="28"/>
        <v>1037</v>
      </c>
      <c r="D202" s="274">
        <f t="shared" si="28"/>
        <v>966</v>
      </c>
      <c r="E202" s="274">
        <f t="shared" si="29"/>
        <v>-71</v>
      </c>
      <c r="F202" s="273">
        <f t="shared" si="30"/>
        <v>-6.8466730954676952E-2</v>
      </c>
    </row>
    <row r="203" spans="1:9" ht="20.25" customHeight="1" x14ac:dyDescent="0.3">
      <c r="A203" s="271"/>
      <c r="B203" s="272" t="s">
        <v>140</v>
      </c>
      <c r="C203" s="274">
        <f t="shared" si="28"/>
        <v>4766</v>
      </c>
      <c r="D203" s="274">
        <f t="shared" si="28"/>
        <v>4709</v>
      </c>
      <c r="E203" s="274">
        <f t="shared" si="29"/>
        <v>-57</v>
      </c>
      <c r="F203" s="273">
        <f t="shared" si="30"/>
        <v>-1.1959714645404951E-2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11779</v>
      </c>
      <c r="D204" s="274">
        <f t="shared" si="28"/>
        <v>12050</v>
      </c>
      <c r="E204" s="274">
        <f t="shared" si="29"/>
        <v>271</v>
      </c>
      <c r="F204" s="273">
        <f t="shared" si="30"/>
        <v>2.3007046438577129E-2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1709</v>
      </c>
      <c r="D205" s="274">
        <f t="shared" si="28"/>
        <v>1798</v>
      </c>
      <c r="E205" s="274">
        <f t="shared" si="29"/>
        <v>89</v>
      </c>
      <c r="F205" s="273">
        <f t="shared" si="30"/>
        <v>5.2077238150965474E-2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956</v>
      </c>
      <c r="D206" s="274">
        <f t="shared" si="28"/>
        <v>861</v>
      </c>
      <c r="E206" s="274">
        <f t="shared" si="29"/>
        <v>-95</v>
      </c>
      <c r="F206" s="273">
        <f t="shared" si="30"/>
        <v>-9.9372384937238489E-2</v>
      </c>
    </row>
    <row r="207" spans="1:9" ht="20.25" customHeight="1" x14ac:dyDescent="0.3">
      <c r="A207" s="271"/>
      <c r="B207" s="262" t="s">
        <v>471</v>
      </c>
      <c r="C207" s="263">
        <f>+C198+C200</f>
        <v>59506167</v>
      </c>
      <c r="D207" s="263">
        <f>+D198+D200</f>
        <v>66732081</v>
      </c>
      <c r="E207" s="263">
        <f t="shared" si="29"/>
        <v>7225914</v>
      </c>
      <c r="F207" s="273">
        <f t="shared" si="30"/>
        <v>0.12143134677116743</v>
      </c>
    </row>
    <row r="208" spans="1:9" ht="20.25" customHeight="1" x14ac:dyDescent="0.3">
      <c r="A208" s="271"/>
      <c r="B208" s="262" t="s">
        <v>472</v>
      </c>
      <c r="C208" s="263">
        <f>+C199+C201</f>
        <v>13637861</v>
      </c>
      <c r="D208" s="263">
        <f>+D199+D201</f>
        <v>15447837</v>
      </c>
      <c r="E208" s="263">
        <f t="shared" si="29"/>
        <v>1809976</v>
      </c>
      <c r="F208" s="273">
        <f t="shared" si="30"/>
        <v>0.13271700012193993</v>
      </c>
    </row>
  </sheetData>
  <mergeCells count="12">
    <mergeCell ref="B10:B11"/>
    <mergeCell ref="C10:F11"/>
    <mergeCell ref="A195:A196"/>
    <mergeCell ref="B195:B196"/>
    <mergeCell ref="C195:F196"/>
    <mergeCell ref="G195:I196"/>
    <mergeCell ref="A2:F2"/>
    <mergeCell ref="A3:F3"/>
    <mergeCell ref="A4:F4"/>
    <mergeCell ref="A5:F5"/>
    <mergeCell ref="C9:F9"/>
    <mergeCell ref="A10:A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FILING&amp;RGRIFFIN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97" t="s">
        <v>0</v>
      </c>
      <c r="B2" s="797"/>
      <c r="C2" s="797"/>
      <c r="D2" s="797"/>
      <c r="E2" s="797"/>
      <c r="F2" s="797"/>
    </row>
    <row r="3" spans="1:7" ht="20.25" customHeight="1" x14ac:dyDescent="0.3">
      <c r="A3" s="797" t="s">
        <v>1</v>
      </c>
      <c r="B3" s="797"/>
      <c r="C3" s="797"/>
      <c r="D3" s="797"/>
      <c r="E3" s="797"/>
      <c r="F3" s="797"/>
    </row>
    <row r="4" spans="1:7" ht="20.25" customHeight="1" x14ac:dyDescent="0.3">
      <c r="A4" s="797" t="s">
        <v>314</v>
      </c>
      <c r="B4" s="797"/>
      <c r="C4" s="797"/>
      <c r="D4" s="797"/>
      <c r="E4" s="797"/>
      <c r="F4" s="797"/>
    </row>
    <row r="5" spans="1:7" ht="20.25" customHeight="1" x14ac:dyDescent="0.3">
      <c r="A5" s="797" t="s">
        <v>473</v>
      </c>
      <c r="B5" s="797"/>
      <c r="C5" s="797"/>
      <c r="D5" s="797"/>
      <c r="E5" s="797"/>
      <c r="F5" s="79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786" t="s">
        <v>12</v>
      </c>
      <c r="B10" s="788" t="s">
        <v>116</v>
      </c>
      <c r="C10" s="790"/>
      <c r="D10" s="791"/>
      <c r="E10" s="791"/>
      <c r="F10" s="792"/>
    </row>
    <row r="11" spans="1:7" ht="20.25" customHeight="1" x14ac:dyDescent="0.3">
      <c r="A11" s="787"/>
      <c r="B11" s="789"/>
      <c r="C11" s="793"/>
      <c r="D11" s="794"/>
      <c r="E11" s="794"/>
      <c r="F11" s="795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786" t="s">
        <v>44</v>
      </c>
      <c r="B109" s="788" t="s">
        <v>490</v>
      </c>
      <c r="C109" s="790"/>
      <c r="D109" s="791"/>
      <c r="E109" s="791"/>
      <c r="F109" s="792"/>
      <c r="G109" s="245"/>
    </row>
    <row r="110" spans="1:7" ht="20.25" customHeight="1" x14ac:dyDescent="0.3">
      <c r="A110" s="787"/>
      <c r="B110" s="789"/>
      <c r="C110" s="793"/>
      <c r="D110" s="794"/>
      <c r="E110" s="794"/>
      <c r="F110" s="795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5" fitToHeight="0" orientation="portrait" horizontalDpi="1200" verticalDpi="1200" r:id="rId1"/>
  <headerFooter>
    <oddHeader>&amp;LOFFICE OF HEALTH CARE ACCESS&amp;CTWELVE MONTHS ACTUAL FILING&amp;RGRIFFIN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10022977</v>
      </c>
      <c r="D13" s="22">
        <v>13616313</v>
      </c>
      <c r="E13" s="22">
        <f t="shared" ref="E13:E22" si="0">D13-C13</f>
        <v>3593336</v>
      </c>
      <c r="F13" s="306">
        <f t="shared" ref="F13:F22" si="1">IF(C13=0,0,E13/C13)</f>
        <v>0.3585098519132589</v>
      </c>
    </row>
    <row r="14" spans="1:8" ht="24" customHeight="1" x14ac:dyDescent="0.2">
      <c r="A14" s="304">
        <v>2</v>
      </c>
      <c r="B14" s="305" t="s">
        <v>17</v>
      </c>
      <c r="C14" s="22">
        <v>33424704</v>
      </c>
      <c r="D14" s="22">
        <v>31664235</v>
      </c>
      <c r="E14" s="22">
        <f t="shared" si="0"/>
        <v>-1760469</v>
      </c>
      <c r="F14" s="306">
        <f t="shared" si="1"/>
        <v>-5.2669696042783209E-2</v>
      </c>
    </row>
    <row r="15" spans="1:8" ht="35.1" customHeight="1" x14ac:dyDescent="0.2">
      <c r="A15" s="304">
        <v>3</v>
      </c>
      <c r="B15" s="305" t="s">
        <v>18</v>
      </c>
      <c r="C15" s="22">
        <v>14743574</v>
      </c>
      <c r="D15" s="22">
        <v>13166233</v>
      </c>
      <c r="E15" s="22">
        <f t="shared" si="0"/>
        <v>-1577341</v>
      </c>
      <c r="F15" s="306">
        <f t="shared" si="1"/>
        <v>-0.10698498206744173</v>
      </c>
    </row>
    <row r="16" spans="1:8" ht="35.1" customHeight="1" x14ac:dyDescent="0.2">
      <c r="A16" s="304">
        <v>4</v>
      </c>
      <c r="B16" s="305" t="s">
        <v>19</v>
      </c>
      <c r="C16" s="22">
        <v>710605</v>
      </c>
      <c r="D16" s="22">
        <v>718522</v>
      </c>
      <c r="E16" s="22">
        <f t="shared" si="0"/>
        <v>7917</v>
      </c>
      <c r="F16" s="306">
        <f t="shared" si="1"/>
        <v>1.1141210658523372E-2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1328031</v>
      </c>
      <c r="D19" s="22">
        <v>1445095</v>
      </c>
      <c r="E19" s="22">
        <f t="shared" si="0"/>
        <v>117064</v>
      </c>
      <c r="F19" s="306">
        <f t="shared" si="1"/>
        <v>8.8148544725236089E-2</v>
      </c>
    </row>
    <row r="20" spans="1:11" ht="24" customHeight="1" x14ac:dyDescent="0.2">
      <c r="A20" s="304">
        <v>8</v>
      </c>
      <c r="B20" s="305" t="s">
        <v>23</v>
      </c>
      <c r="C20" s="22">
        <v>2696107</v>
      </c>
      <c r="D20" s="22">
        <v>3052485</v>
      </c>
      <c r="E20" s="22">
        <f t="shared" si="0"/>
        <v>356378</v>
      </c>
      <c r="F20" s="306">
        <f t="shared" si="1"/>
        <v>0.13218243934680635</v>
      </c>
    </row>
    <row r="21" spans="1:11" ht="24" customHeight="1" x14ac:dyDescent="0.2">
      <c r="A21" s="304">
        <v>9</v>
      </c>
      <c r="B21" s="305" t="s">
        <v>24</v>
      </c>
      <c r="C21" s="22">
        <v>4081521</v>
      </c>
      <c r="D21" s="22">
        <v>3804502</v>
      </c>
      <c r="E21" s="22">
        <f t="shared" si="0"/>
        <v>-277019</v>
      </c>
      <c r="F21" s="306">
        <f t="shared" si="1"/>
        <v>-6.7871511625200512E-2</v>
      </c>
    </row>
    <row r="22" spans="1:11" ht="24" customHeight="1" x14ac:dyDescent="0.25">
      <c r="A22" s="307"/>
      <c r="B22" s="308" t="s">
        <v>25</v>
      </c>
      <c r="C22" s="309">
        <f>SUM(C13:C21)</f>
        <v>67007519</v>
      </c>
      <c r="D22" s="309">
        <f>SUM(D13:D21)</f>
        <v>67467385</v>
      </c>
      <c r="E22" s="309">
        <f t="shared" si="0"/>
        <v>459866</v>
      </c>
      <c r="F22" s="310">
        <f t="shared" si="1"/>
        <v>6.8629014603570088E-3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3670942</v>
      </c>
      <c r="D25" s="22">
        <v>3760171</v>
      </c>
      <c r="E25" s="22">
        <f>D25-C25</f>
        <v>89229</v>
      </c>
      <c r="F25" s="306">
        <f>IF(C25=0,0,E25/C25)</f>
        <v>2.4306840042692041E-2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1191763</v>
      </c>
      <c r="D26" s="22">
        <v>1255429</v>
      </c>
      <c r="E26" s="22">
        <f>D26-C26</f>
        <v>63666</v>
      </c>
      <c r="F26" s="306">
        <f>IF(C26=0,0,E26/C26)</f>
        <v>5.342169542098555E-2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855461</v>
      </c>
      <c r="D27" s="22">
        <v>855927</v>
      </c>
      <c r="E27" s="22">
        <f>D27-C27</f>
        <v>466</v>
      </c>
      <c r="F27" s="306">
        <f>IF(C27=0,0,E27/C27)</f>
        <v>5.4473552856296192E-4</v>
      </c>
    </row>
    <row r="28" spans="1:11" ht="35.1" customHeight="1" x14ac:dyDescent="0.2">
      <c r="A28" s="304">
        <v>4</v>
      </c>
      <c r="B28" s="305" t="s">
        <v>31</v>
      </c>
      <c r="C28" s="22">
        <v>4289166</v>
      </c>
      <c r="D28" s="22">
        <v>4289408</v>
      </c>
      <c r="E28" s="22">
        <f>D28-C28</f>
        <v>242</v>
      </c>
      <c r="F28" s="306">
        <f>IF(C28=0,0,E28/C28)</f>
        <v>5.6421225012041965E-5</v>
      </c>
    </row>
    <row r="29" spans="1:11" ht="35.1" customHeight="1" x14ac:dyDescent="0.25">
      <c r="A29" s="307"/>
      <c r="B29" s="308" t="s">
        <v>32</v>
      </c>
      <c r="C29" s="309">
        <f>SUM(C25:C28)</f>
        <v>10007332</v>
      </c>
      <c r="D29" s="309">
        <f>SUM(D25:D28)</f>
        <v>10160935</v>
      </c>
      <c r="E29" s="309">
        <f>D29-C29</f>
        <v>153603</v>
      </c>
      <c r="F29" s="310">
        <f>IF(C29=0,0,E29/C29)</f>
        <v>1.5349046079414574E-2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3413527</v>
      </c>
      <c r="D32" s="22">
        <v>3927719</v>
      </c>
      <c r="E32" s="22">
        <f>D32-C32</f>
        <v>514192</v>
      </c>
      <c r="F32" s="306">
        <f>IF(C32=0,0,E32/C32)</f>
        <v>0.15063364080612224</v>
      </c>
    </row>
    <row r="33" spans="1:8" ht="24" customHeight="1" x14ac:dyDescent="0.2">
      <c r="A33" s="304">
        <v>7</v>
      </c>
      <c r="B33" s="305" t="s">
        <v>35</v>
      </c>
      <c r="C33" s="22">
        <v>15381814</v>
      </c>
      <c r="D33" s="22">
        <v>15234854</v>
      </c>
      <c r="E33" s="22">
        <f>D33-C33</f>
        <v>-146960</v>
      </c>
      <c r="F33" s="306">
        <f>IF(C33=0,0,E33/C33)</f>
        <v>-9.5541397133003941E-3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158371244</v>
      </c>
      <c r="D36" s="22">
        <v>161991851</v>
      </c>
      <c r="E36" s="22">
        <f>D36-C36</f>
        <v>3620607</v>
      </c>
      <c r="F36" s="306">
        <f>IF(C36=0,0,E36/C36)</f>
        <v>2.2861517713405093E-2</v>
      </c>
    </row>
    <row r="37" spans="1:8" ht="24" customHeight="1" x14ac:dyDescent="0.2">
      <c r="A37" s="304">
        <v>2</v>
      </c>
      <c r="B37" s="305" t="s">
        <v>39</v>
      </c>
      <c r="C37" s="22">
        <v>98199515</v>
      </c>
      <c r="D37" s="22">
        <v>103189081</v>
      </c>
      <c r="E37" s="22">
        <f>D37-C37</f>
        <v>4989566</v>
      </c>
      <c r="F37" s="22">
        <f>IF(C37=0,0,E37/C37)</f>
        <v>5.0810495347151152E-2</v>
      </c>
    </row>
    <row r="38" spans="1:8" ht="24" customHeight="1" x14ac:dyDescent="0.25">
      <c r="A38" s="307"/>
      <c r="B38" s="308" t="s">
        <v>40</v>
      </c>
      <c r="C38" s="309">
        <f>C36-C37</f>
        <v>60171729</v>
      </c>
      <c r="D38" s="309">
        <f>D36-D37</f>
        <v>58802770</v>
      </c>
      <c r="E38" s="309">
        <f>D38-C38</f>
        <v>-1368959</v>
      </c>
      <c r="F38" s="310">
        <f>IF(C38=0,0,E38/C38)</f>
        <v>-2.2750866939522378E-2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210246</v>
      </c>
      <c r="D40" s="22">
        <v>677284</v>
      </c>
      <c r="E40" s="22">
        <f>D40-C40</f>
        <v>467038</v>
      </c>
      <c r="F40" s="306">
        <f>IF(C40=0,0,E40/C40)</f>
        <v>2.2213882784928134</v>
      </c>
    </row>
    <row r="41" spans="1:8" ht="24" customHeight="1" x14ac:dyDescent="0.25">
      <c r="A41" s="307"/>
      <c r="B41" s="308" t="s">
        <v>42</v>
      </c>
      <c r="C41" s="309">
        <f>+C38+C40</f>
        <v>60381975</v>
      </c>
      <c r="D41" s="309">
        <f>+D38+D40</f>
        <v>59480054</v>
      </c>
      <c r="E41" s="309">
        <f>D41-C41</f>
        <v>-901921</v>
      </c>
      <c r="F41" s="310">
        <f>IF(C41=0,0,E41/C41)</f>
        <v>-1.4936924471251561E-2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156192167</v>
      </c>
      <c r="D43" s="309">
        <f>D22+D29+D31+D32+D33+D41</f>
        <v>156270947</v>
      </c>
      <c r="E43" s="309">
        <f>D43-C43</f>
        <v>78780</v>
      </c>
      <c r="F43" s="310">
        <f>IF(C43=0,0,E43/C43)</f>
        <v>5.0437868628841031E-4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26566787</v>
      </c>
      <c r="D49" s="22">
        <v>24884567</v>
      </c>
      <c r="E49" s="22">
        <f t="shared" ref="E49:E56" si="2">D49-C49</f>
        <v>-1682220</v>
      </c>
      <c r="F49" s="306">
        <f t="shared" ref="F49:F56" si="3">IF(C49=0,0,E49/C49)</f>
        <v>-6.3320415825970977E-2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1609530</v>
      </c>
      <c r="D50" s="22">
        <v>1840576</v>
      </c>
      <c r="E50" s="22">
        <f t="shared" si="2"/>
        <v>231046</v>
      </c>
      <c r="F50" s="306">
        <f t="shared" si="3"/>
        <v>0.14354873783029828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5724617</v>
      </c>
      <c r="D53" s="22">
        <v>6247526</v>
      </c>
      <c r="E53" s="22">
        <f t="shared" si="2"/>
        <v>522909</v>
      </c>
      <c r="F53" s="306">
        <f t="shared" si="3"/>
        <v>9.1343927462745542E-2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3205106</v>
      </c>
      <c r="D55" s="22">
        <v>2788153</v>
      </c>
      <c r="E55" s="22">
        <f t="shared" si="2"/>
        <v>-416953</v>
      </c>
      <c r="F55" s="306">
        <f t="shared" si="3"/>
        <v>-0.13009023726516378</v>
      </c>
    </row>
    <row r="56" spans="1:6" ht="24" customHeight="1" x14ac:dyDescent="0.25">
      <c r="A56" s="307"/>
      <c r="B56" s="308" t="s">
        <v>54</v>
      </c>
      <c r="C56" s="309">
        <f>SUM(C49:C55)</f>
        <v>37106040</v>
      </c>
      <c r="D56" s="309">
        <f>SUM(D49:D55)</f>
        <v>35760822</v>
      </c>
      <c r="E56" s="309">
        <f t="shared" si="2"/>
        <v>-1345218</v>
      </c>
      <c r="F56" s="310">
        <f t="shared" si="3"/>
        <v>-3.6253343121497202E-2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46821566</v>
      </c>
      <c r="D59" s="22">
        <v>45213706</v>
      </c>
      <c r="E59" s="22">
        <f>D59-C59</f>
        <v>-1607860</v>
      </c>
      <c r="F59" s="306">
        <f>IF(C59=0,0,E59/C59)</f>
        <v>-3.4340158550015182E-2</v>
      </c>
    </row>
    <row r="60" spans="1:6" ht="24" customHeight="1" x14ac:dyDescent="0.2">
      <c r="A60" s="304">
        <v>2</v>
      </c>
      <c r="B60" s="305" t="s">
        <v>57</v>
      </c>
      <c r="C60" s="22">
        <v>0</v>
      </c>
      <c r="D60" s="22">
        <v>0</v>
      </c>
      <c r="E60" s="22">
        <f>D60-C60</f>
        <v>0</v>
      </c>
      <c r="F60" s="306">
        <f>IF(C60=0,0,E60/C60)</f>
        <v>0</v>
      </c>
    </row>
    <row r="61" spans="1:6" ht="24" customHeight="1" x14ac:dyDescent="0.25">
      <c r="A61" s="307"/>
      <c r="B61" s="308" t="s">
        <v>58</v>
      </c>
      <c r="C61" s="309">
        <f>SUM(C59:C60)</f>
        <v>46821566</v>
      </c>
      <c r="D61" s="309">
        <f>SUM(D59:D60)</f>
        <v>45213706</v>
      </c>
      <c r="E61" s="309">
        <f>D61-C61</f>
        <v>-1607860</v>
      </c>
      <c r="F61" s="310">
        <f>IF(C61=0,0,E61/C61)</f>
        <v>-3.4340158550015182E-2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30640516</v>
      </c>
      <c r="D63" s="22">
        <v>35030914</v>
      </c>
      <c r="E63" s="22">
        <f>D63-C63</f>
        <v>4390398</v>
      </c>
      <c r="F63" s="306">
        <f>IF(C63=0,0,E63/C63)</f>
        <v>0.14328733889468442</v>
      </c>
    </row>
    <row r="64" spans="1:6" ht="24" customHeight="1" x14ac:dyDescent="0.2">
      <c r="A64" s="304">
        <v>4</v>
      </c>
      <c r="B64" s="305" t="s">
        <v>60</v>
      </c>
      <c r="C64" s="22">
        <v>54058542</v>
      </c>
      <c r="D64" s="22">
        <v>53047478</v>
      </c>
      <c r="E64" s="22">
        <f>D64-C64</f>
        <v>-1011064</v>
      </c>
      <c r="F64" s="306">
        <f>IF(C64=0,0,E64/C64)</f>
        <v>-1.8703131135131244E-2</v>
      </c>
    </row>
    <row r="65" spans="1:6" ht="24" customHeight="1" x14ac:dyDescent="0.25">
      <c r="A65" s="307"/>
      <c r="B65" s="308" t="s">
        <v>61</v>
      </c>
      <c r="C65" s="309">
        <f>SUM(C61:C64)</f>
        <v>131520624</v>
      </c>
      <c r="D65" s="309">
        <f>SUM(D61:D64)</f>
        <v>133292098</v>
      </c>
      <c r="E65" s="309">
        <f>D65-C65</f>
        <v>1771474</v>
      </c>
      <c r="F65" s="310">
        <f>IF(C65=0,0,E65/C65)</f>
        <v>1.3469172713170826E-2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-565562</v>
      </c>
      <c r="D67" s="22">
        <v>-1284550</v>
      </c>
      <c r="E67" s="22">
        <f>D67-C67</f>
        <v>-718988</v>
      </c>
      <c r="F67" s="321">
        <f>IF(C67=0,0,E67/C67)</f>
        <v>1.2712806023035494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-20374016</v>
      </c>
      <c r="D70" s="22">
        <v>-20969896</v>
      </c>
      <c r="E70" s="22">
        <f>D70-C70</f>
        <v>-595880</v>
      </c>
      <c r="F70" s="306">
        <f>IF(C70=0,0,E70/C70)</f>
        <v>2.924705664312819E-2</v>
      </c>
    </row>
    <row r="71" spans="1:6" ht="24" customHeight="1" x14ac:dyDescent="0.2">
      <c r="A71" s="304">
        <v>2</v>
      </c>
      <c r="B71" s="305" t="s">
        <v>65</v>
      </c>
      <c r="C71" s="22">
        <v>2673878</v>
      </c>
      <c r="D71" s="22">
        <v>3552041</v>
      </c>
      <c r="E71" s="22">
        <f>D71-C71</f>
        <v>878163</v>
      </c>
      <c r="F71" s="306">
        <f>IF(C71=0,0,E71/C71)</f>
        <v>0.32842298713703466</v>
      </c>
    </row>
    <row r="72" spans="1:6" ht="24" customHeight="1" x14ac:dyDescent="0.2">
      <c r="A72" s="304">
        <v>3</v>
      </c>
      <c r="B72" s="305" t="s">
        <v>66</v>
      </c>
      <c r="C72" s="22">
        <v>5831203</v>
      </c>
      <c r="D72" s="22">
        <v>5920432</v>
      </c>
      <c r="E72" s="22">
        <f>D72-C72</f>
        <v>89229</v>
      </c>
      <c r="F72" s="306">
        <f>IF(C72=0,0,E72/C72)</f>
        <v>1.5301988286122092E-2</v>
      </c>
    </row>
    <row r="73" spans="1:6" ht="24" customHeight="1" x14ac:dyDescent="0.25">
      <c r="A73" s="304"/>
      <c r="B73" s="308" t="s">
        <v>67</v>
      </c>
      <c r="C73" s="309">
        <f>SUM(C70:C72)</f>
        <v>-11868935</v>
      </c>
      <c r="D73" s="309">
        <f>SUM(D70:D72)</f>
        <v>-11497423</v>
      </c>
      <c r="E73" s="309">
        <f>D73-C73</f>
        <v>371512</v>
      </c>
      <c r="F73" s="310">
        <f>IF(C73=0,0,E73/C73)</f>
        <v>-3.1301207732623022E-2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156192167</v>
      </c>
      <c r="D75" s="309">
        <f>D56+D65+D67+D73</f>
        <v>156270947</v>
      </c>
      <c r="E75" s="309">
        <f>D75-C75</f>
        <v>78780</v>
      </c>
      <c r="F75" s="310">
        <f>IF(C75=0,0,E75/C75)</f>
        <v>5.0437868628841031E-4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8" fitToHeight="0" orientation="portrait" horizontalDpi="1200" verticalDpi="1200" r:id="rId1"/>
  <headerFooter>
    <oddHeader>&amp;LOFFICE OF HEALTH CARE ACCESS&amp;CTWELVE MONTHS ACTUAL FILING&amp;RGRIFFIN HEALTH SERVICES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449887862</v>
      </c>
      <c r="D11" s="76">
        <v>493590094</v>
      </c>
      <c r="E11" s="76">
        <f t="shared" ref="E11:E20" si="0">D11-C11</f>
        <v>43702232</v>
      </c>
      <c r="F11" s="77">
        <f t="shared" ref="F11:F20" si="1">IF(C11=0,0,E11/C11)</f>
        <v>9.714027803666328E-2</v>
      </c>
    </row>
    <row r="12" spans="1:7" ht="23.1" customHeight="1" x14ac:dyDescent="0.2">
      <c r="A12" s="74">
        <v>2</v>
      </c>
      <c r="B12" s="75" t="s">
        <v>72</v>
      </c>
      <c r="C12" s="76">
        <v>313509312</v>
      </c>
      <c r="D12" s="76">
        <v>347914401</v>
      </c>
      <c r="E12" s="76">
        <f t="shared" si="0"/>
        <v>34405089</v>
      </c>
      <c r="F12" s="77">
        <f t="shared" si="1"/>
        <v>0.10974184077824138</v>
      </c>
    </row>
    <row r="13" spans="1:7" ht="23.1" customHeight="1" x14ac:dyDescent="0.2">
      <c r="A13" s="74">
        <v>3</v>
      </c>
      <c r="B13" s="75" t="s">
        <v>73</v>
      </c>
      <c r="C13" s="76">
        <v>4849739</v>
      </c>
      <c r="D13" s="76">
        <v>3784978</v>
      </c>
      <c r="E13" s="76">
        <f t="shared" si="0"/>
        <v>-1064761</v>
      </c>
      <c r="F13" s="77">
        <f t="shared" si="1"/>
        <v>-0.21955016548313219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131528811</v>
      </c>
      <c r="D15" s="79">
        <f>D11-D12-D13-D14</f>
        <v>141890715</v>
      </c>
      <c r="E15" s="79">
        <f t="shared" si="0"/>
        <v>10361904</v>
      </c>
      <c r="F15" s="80">
        <f t="shared" si="1"/>
        <v>7.8780488633779261E-2</v>
      </c>
    </row>
    <row r="16" spans="1:7" ht="23.1" customHeight="1" x14ac:dyDescent="0.2">
      <c r="A16" s="74">
        <v>5</v>
      </c>
      <c r="B16" s="75" t="s">
        <v>76</v>
      </c>
      <c r="C16" s="76">
        <v>2517513</v>
      </c>
      <c r="D16" s="76">
        <v>1107461</v>
      </c>
      <c r="E16" s="76">
        <f t="shared" si="0"/>
        <v>-1410052</v>
      </c>
      <c r="F16" s="77">
        <f t="shared" si="1"/>
        <v>-0.56009720704520694</v>
      </c>
      <c r="G16" s="65"/>
    </row>
    <row r="17" spans="1:7" ht="31.5" customHeight="1" x14ac:dyDescent="0.25">
      <c r="A17" s="71"/>
      <c r="B17" s="81" t="s">
        <v>77</v>
      </c>
      <c r="C17" s="79">
        <f>C15-C16</f>
        <v>129011298</v>
      </c>
      <c r="D17" s="79">
        <f>D15-D16</f>
        <v>140783254</v>
      </c>
      <c r="E17" s="79">
        <f t="shared" si="0"/>
        <v>11771956</v>
      </c>
      <c r="F17" s="80">
        <f t="shared" si="1"/>
        <v>9.1247481286483911E-2</v>
      </c>
    </row>
    <row r="18" spans="1:7" ht="23.1" customHeight="1" x14ac:dyDescent="0.2">
      <c r="A18" s="74">
        <v>6</v>
      </c>
      <c r="B18" s="75" t="s">
        <v>78</v>
      </c>
      <c r="C18" s="76">
        <v>14910925</v>
      </c>
      <c r="D18" s="76">
        <v>12677437</v>
      </c>
      <c r="E18" s="76">
        <f t="shared" si="0"/>
        <v>-2233488</v>
      </c>
      <c r="F18" s="77">
        <f t="shared" si="1"/>
        <v>-0.14978869520167259</v>
      </c>
      <c r="G18" s="65"/>
    </row>
    <row r="19" spans="1:7" ht="33" customHeight="1" x14ac:dyDescent="0.2">
      <c r="A19" s="74">
        <v>7</v>
      </c>
      <c r="B19" s="82" t="s">
        <v>79</v>
      </c>
      <c r="C19" s="76">
        <v>947997</v>
      </c>
      <c r="D19" s="76">
        <v>115867</v>
      </c>
      <c r="E19" s="76">
        <f t="shared" si="0"/>
        <v>-832130</v>
      </c>
      <c r="F19" s="77">
        <f t="shared" si="1"/>
        <v>-0.87777703937881657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144870220</v>
      </c>
      <c r="D20" s="79">
        <f>SUM(D17:D19)</f>
        <v>153576558</v>
      </c>
      <c r="E20" s="79">
        <f t="shared" si="0"/>
        <v>8706338</v>
      </c>
      <c r="F20" s="80">
        <f t="shared" si="1"/>
        <v>6.0097499679368199E-2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60690664</v>
      </c>
      <c r="D23" s="76">
        <v>65333750</v>
      </c>
      <c r="E23" s="76">
        <f t="shared" ref="E23:E32" si="2">D23-C23</f>
        <v>4643086</v>
      </c>
      <c r="F23" s="77">
        <f t="shared" ref="F23:F32" si="3">IF(C23=0,0,E23/C23)</f>
        <v>7.6504122611016412E-2</v>
      </c>
    </row>
    <row r="24" spans="1:7" ht="23.1" customHeight="1" x14ac:dyDescent="0.2">
      <c r="A24" s="74">
        <v>2</v>
      </c>
      <c r="B24" s="75" t="s">
        <v>83</v>
      </c>
      <c r="C24" s="76">
        <v>21296818</v>
      </c>
      <c r="D24" s="76">
        <v>19081645</v>
      </c>
      <c r="E24" s="76">
        <f t="shared" si="2"/>
        <v>-2215173</v>
      </c>
      <c r="F24" s="77">
        <f t="shared" si="3"/>
        <v>-0.10401427105213558</v>
      </c>
    </row>
    <row r="25" spans="1:7" ht="23.1" customHeight="1" x14ac:dyDescent="0.2">
      <c r="A25" s="74">
        <v>3</v>
      </c>
      <c r="B25" s="75" t="s">
        <v>84</v>
      </c>
      <c r="C25" s="76">
        <v>2857151</v>
      </c>
      <c r="D25" s="76">
        <v>3514383</v>
      </c>
      <c r="E25" s="76">
        <f t="shared" si="2"/>
        <v>657232</v>
      </c>
      <c r="F25" s="77">
        <f t="shared" si="3"/>
        <v>0.23003054441294843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22587369</v>
      </c>
      <c r="D26" s="76">
        <v>24914530</v>
      </c>
      <c r="E26" s="76">
        <f t="shared" si="2"/>
        <v>2327161</v>
      </c>
      <c r="F26" s="77">
        <f t="shared" si="3"/>
        <v>0.10302930810578248</v>
      </c>
    </row>
    <row r="27" spans="1:7" ht="23.1" customHeight="1" x14ac:dyDescent="0.2">
      <c r="A27" s="74">
        <v>5</v>
      </c>
      <c r="B27" s="75" t="s">
        <v>86</v>
      </c>
      <c r="C27" s="76">
        <v>6572783</v>
      </c>
      <c r="D27" s="76">
        <v>6094741</v>
      </c>
      <c r="E27" s="76">
        <f t="shared" si="2"/>
        <v>-478042</v>
      </c>
      <c r="F27" s="77">
        <f t="shared" si="3"/>
        <v>-7.273053134418099E-2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2923264</v>
      </c>
      <c r="D29" s="76">
        <v>3685864</v>
      </c>
      <c r="E29" s="76">
        <f t="shared" si="2"/>
        <v>762600</v>
      </c>
      <c r="F29" s="77">
        <f t="shared" si="3"/>
        <v>0.26087277782642965</v>
      </c>
    </row>
    <row r="30" spans="1:7" ht="23.1" customHeight="1" x14ac:dyDescent="0.2">
      <c r="A30" s="74">
        <v>8</v>
      </c>
      <c r="B30" s="75" t="s">
        <v>89</v>
      </c>
      <c r="C30" s="76">
        <v>3082676</v>
      </c>
      <c r="D30" s="76">
        <v>563492</v>
      </c>
      <c r="E30" s="76">
        <f t="shared" si="2"/>
        <v>-2519184</v>
      </c>
      <c r="F30" s="77">
        <f t="shared" si="3"/>
        <v>-0.81720686831830525</v>
      </c>
    </row>
    <row r="31" spans="1:7" ht="23.1" customHeight="1" x14ac:dyDescent="0.2">
      <c r="A31" s="74">
        <v>9</v>
      </c>
      <c r="B31" s="75" t="s">
        <v>90</v>
      </c>
      <c r="C31" s="76">
        <v>29344404</v>
      </c>
      <c r="D31" s="76">
        <v>28283472</v>
      </c>
      <c r="E31" s="76">
        <f t="shared" si="2"/>
        <v>-1060932</v>
      </c>
      <c r="F31" s="77">
        <f t="shared" si="3"/>
        <v>-3.6154491329931253E-2</v>
      </c>
    </row>
    <row r="32" spans="1:7" ht="23.1" customHeight="1" x14ac:dyDescent="0.25">
      <c r="A32" s="71"/>
      <c r="B32" s="78" t="s">
        <v>91</v>
      </c>
      <c r="C32" s="79">
        <f>SUM(C23:C31)</f>
        <v>149355129</v>
      </c>
      <c r="D32" s="79">
        <f>SUM(D23:D31)</f>
        <v>151471877</v>
      </c>
      <c r="E32" s="79">
        <f t="shared" si="2"/>
        <v>2116748</v>
      </c>
      <c r="F32" s="80">
        <f t="shared" si="3"/>
        <v>1.4172583252899202E-2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-4484909</v>
      </c>
      <c r="D34" s="79">
        <f>+D20-D32</f>
        <v>2104681</v>
      </c>
      <c r="E34" s="79">
        <f>D34-C34</f>
        <v>6589590</v>
      </c>
      <c r="F34" s="80">
        <f>IF(C34=0,0,E34/C34)</f>
        <v>-1.4692806476118021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2475312</v>
      </c>
      <c r="D37" s="76">
        <v>2020394</v>
      </c>
      <c r="E37" s="76">
        <f>D37-C37</f>
        <v>-454918</v>
      </c>
      <c r="F37" s="77">
        <f>IF(C37=0,0,E37/C37)</f>
        <v>-0.18378208484425398</v>
      </c>
    </row>
    <row r="38" spans="1:6" ht="23.1" customHeight="1" x14ac:dyDescent="0.2">
      <c r="A38" s="85">
        <v>2</v>
      </c>
      <c r="B38" s="75" t="s">
        <v>95</v>
      </c>
      <c r="C38" s="76">
        <v>519852</v>
      </c>
      <c r="D38" s="76">
        <v>314372</v>
      </c>
      <c r="E38" s="76">
        <f>D38-C38</f>
        <v>-205480</v>
      </c>
      <c r="F38" s="77">
        <f>IF(C38=0,0,E38/C38)</f>
        <v>-0.3952663450366643</v>
      </c>
    </row>
    <row r="39" spans="1:6" ht="23.1" customHeight="1" x14ac:dyDescent="0.2">
      <c r="A39" s="85">
        <v>3</v>
      </c>
      <c r="B39" s="75" t="s">
        <v>96</v>
      </c>
      <c r="C39" s="76">
        <v>3420415</v>
      </c>
      <c r="D39" s="76">
        <v>850811</v>
      </c>
      <c r="E39" s="76">
        <f>D39-C39</f>
        <v>-2569604</v>
      </c>
      <c r="F39" s="77">
        <f>IF(C39=0,0,E39/C39)</f>
        <v>-0.75125503776588509</v>
      </c>
    </row>
    <row r="40" spans="1:6" ht="23.1" customHeight="1" x14ac:dyDescent="0.25">
      <c r="A40" s="83"/>
      <c r="B40" s="78" t="s">
        <v>97</v>
      </c>
      <c r="C40" s="79">
        <f>SUM(C37:C39)</f>
        <v>6415579</v>
      </c>
      <c r="D40" s="79">
        <f>SUM(D37:D39)</f>
        <v>3185577</v>
      </c>
      <c r="E40" s="79">
        <f>D40-C40</f>
        <v>-3230002</v>
      </c>
      <c r="F40" s="80">
        <f>IF(C40=0,0,E40/C40)</f>
        <v>-0.50346227518981534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1930670</v>
      </c>
      <c r="D42" s="79">
        <f>D34+D40</f>
        <v>5290258</v>
      </c>
      <c r="E42" s="79">
        <f>D42-C42</f>
        <v>3359588</v>
      </c>
      <c r="F42" s="80">
        <f>IF(C42=0,0,E42/C42)</f>
        <v>1.740115089580301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-775571</v>
      </c>
      <c r="D46" s="76">
        <v>-681994</v>
      </c>
      <c r="E46" s="76">
        <f>D46-C46</f>
        <v>93577</v>
      </c>
      <c r="F46" s="77">
        <f>IF(C46=0,0,E46/C46)</f>
        <v>-0.12065562018177575</v>
      </c>
    </row>
    <row r="47" spans="1:6" ht="23.1" customHeight="1" x14ac:dyDescent="0.25">
      <c r="A47" s="83"/>
      <c r="B47" s="78" t="s">
        <v>102</v>
      </c>
      <c r="C47" s="79">
        <f>SUM(C45:C46)</f>
        <v>-775571</v>
      </c>
      <c r="D47" s="79">
        <f>SUM(D45:D46)</f>
        <v>-681994</v>
      </c>
      <c r="E47" s="79">
        <f>D47-C47</f>
        <v>93577</v>
      </c>
      <c r="F47" s="80">
        <f>IF(C47=0,0,E47/C47)</f>
        <v>-0.12065562018177575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1155099</v>
      </c>
      <c r="D49" s="79">
        <f>D42+D47</f>
        <v>4608264</v>
      </c>
      <c r="E49" s="79">
        <f>D49-C49</f>
        <v>3453165</v>
      </c>
      <c r="F49" s="80">
        <f>IF(C49=0,0,E49/C49)</f>
        <v>2.989497004152891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FILING&amp;R&amp;8GRIFFIN HEALTH SERVICES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2015-07-07T12:25:32Z</cp:lastPrinted>
  <dcterms:created xsi:type="dcterms:W3CDTF">2015-07-07T12:21:38Z</dcterms:created>
  <dcterms:modified xsi:type="dcterms:W3CDTF">2015-07-07T12:25:39Z</dcterms:modified>
</cp:coreProperties>
</file>