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C98" i="22" s="1"/>
  <c r="E96" i="22"/>
  <c r="E98" i="22" s="1"/>
  <c r="D96" i="22"/>
  <c r="D98" i="22" s="1"/>
  <c r="C96" i="22"/>
  <c r="E92" i="22"/>
  <c r="D92" i="22"/>
  <c r="C92" i="22"/>
  <c r="E91" i="22"/>
  <c r="E93" i="22"/>
  <c r="D91" i="22"/>
  <c r="D93" i="22" s="1"/>
  <c r="C91" i="22"/>
  <c r="C93" i="22"/>
  <c r="E87" i="22"/>
  <c r="D87" i="22"/>
  <c r="D88" i="22" s="1"/>
  <c r="C87" i="22"/>
  <c r="E86" i="22"/>
  <c r="E88" i="22"/>
  <c r="D86" i="22"/>
  <c r="C86" i="22"/>
  <c r="C88" i="22" s="1"/>
  <c r="E83" i="22"/>
  <c r="D83" i="22"/>
  <c r="D101" i="22"/>
  <c r="C83" i="22"/>
  <c r="C101" i="22"/>
  <c r="E76" i="22"/>
  <c r="D76" i="22"/>
  <c r="D77" i="22" s="1"/>
  <c r="D108" i="22" s="1"/>
  <c r="C76" i="22"/>
  <c r="E75" i="22"/>
  <c r="D75" i="22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E21" i="21" s="1"/>
  <c r="C21" i="21"/>
  <c r="D19" i="21"/>
  <c r="E19" i="21" s="1"/>
  <c r="C19" i="21"/>
  <c r="E17" i="21"/>
  <c r="F17" i="21" s="1"/>
  <c r="E15" i="21"/>
  <c r="F15" i="21" s="1"/>
  <c r="D45" i="20"/>
  <c r="E45" i="20" s="1"/>
  <c r="C45" i="20"/>
  <c r="D44" i="20"/>
  <c r="E44" i="20"/>
  <c r="E46" i="20" s="1"/>
  <c r="C44" i="20"/>
  <c r="D43" i="20"/>
  <c r="E43" i="20" s="1"/>
  <c r="C43" i="20"/>
  <c r="D36" i="20"/>
  <c r="D40" i="20" s="1"/>
  <c r="C36" i="20"/>
  <c r="C40" i="20"/>
  <c r="E35" i="20"/>
  <c r="F35" i="20" s="1"/>
  <c r="F34" i="20"/>
  <c r="E34" i="20"/>
  <c r="E36" i="20" s="1"/>
  <c r="F36" i="20" s="1"/>
  <c r="F33" i="20"/>
  <c r="E33" i="20"/>
  <c r="E30" i="20"/>
  <c r="F30" i="20" s="1"/>
  <c r="F29" i="20"/>
  <c r="E29" i="20"/>
  <c r="F28" i="20"/>
  <c r="E28" i="20"/>
  <c r="F27" i="20"/>
  <c r="E27" i="20"/>
  <c r="D25" i="20"/>
  <c r="D39" i="20" s="1"/>
  <c r="C25" i="20"/>
  <c r="C39" i="20"/>
  <c r="F24" i="20"/>
  <c r="E24" i="20"/>
  <c r="E23" i="20"/>
  <c r="F23" i="20" s="1"/>
  <c r="F22" i="20"/>
  <c r="E22" i="20"/>
  <c r="D19" i="20"/>
  <c r="E19" i="20" s="1"/>
  <c r="F19" i="20" s="1"/>
  <c r="C19" i="20"/>
  <c r="C20" i="20" s="1"/>
  <c r="E18" i="20"/>
  <c r="F18" i="20" s="1"/>
  <c r="D16" i="20"/>
  <c r="C16" i="20"/>
  <c r="F15" i="20"/>
  <c r="E15" i="20"/>
  <c r="E13" i="20"/>
  <c r="F13" i="20" s="1"/>
  <c r="E12" i="20"/>
  <c r="F12" i="20" s="1"/>
  <c r="C115" i="19"/>
  <c r="C105" i="19"/>
  <c r="C137" i="19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/>
  <c r="C324" i="18"/>
  <c r="C326" i="18" s="1"/>
  <c r="E318" i="18"/>
  <c r="E315" i="18"/>
  <c r="D314" i="18"/>
  <c r="D316" i="18" s="1"/>
  <c r="C314" i="18"/>
  <c r="C316" i="18"/>
  <c r="C320" i="18" s="1"/>
  <c r="E308" i="18"/>
  <c r="E305" i="18"/>
  <c r="D301" i="18"/>
  <c r="D303" i="18" s="1"/>
  <c r="C301" i="18"/>
  <c r="D293" i="18"/>
  <c r="C293" i="18"/>
  <c r="E293" i="18" s="1"/>
  <c r="D292" i="18"/>
  <c r="C292" i="18"/>
  <c r="E292" i="18"/>
  <c r="D291" i="18"/>
  <c r="E291" i="18" s="1"/>
  <c r="C291" i="18"/>
  <c r="D290" i="18"/>
  <c r="C290" i="18"/>
  <c r="D288" i="18"/>
  <c r="C288" i="18"/>
  <c r="E288" i="18"/>
  <c r="D287" i="18"/>
  <c r="E287" i="18" s="1"/>
  <c r="C287" i="18"/>
  <c r="D282" i="18"/>
  <c r="E282" i="18" s="1"/>
  <c r="C282" i="18"/>
  <c r="D281" i="18"/>
  <c r="C281" i="18"/>
  <c r="E281" i="18" s="1"/>
  <c r="D280" i="18"/>
  <c r="C280" i="18"/>
  <c r="E280" i="18" s="1"/>
  <c r="D279" i="18"/>
  <c r="C279" i="18"/>
  <c r="E279" i="18" s="1"/>
  <c r="D278" i="18"/>
  <c r="C278" i="18"/>
  <c r="D277" i="18"/>
  <c r="E277" i="18"/>
  <c r="C277" i="18"/>
  <c r="D276" i="18"/>
  <c r="C276" i="18"/>
  <c r="E276" i="18" s="1"/>
  <c r="E270" i="18"/>
  <c r="D265" i="18"/>
  <c r="C265" i="18"/>
  <c r="C302" i="18" s="1"/>
  <c r="D262" i="18"/>
  <c r="C262" i="18"/>
  <c r="E262" i="18"/>
  <c r="C260" i="18"/>
  <c r="D251" i="18"/>
  <c r="C251" i="18"/>
  <c r="D243" i="18"/>
  <c r="D233" i="18"/>
  <c r="C233" i="18"/>
  <c r="E233" i="18"/>
  <c r="D232" i="18"/>
  <c r="C232" i="18"/>
  <c r="D231" i="18"/>
  <c r="E231" i="18" s="1"/>
  <c r="C231" i="18"/>
  <c r="D230" i="18"/>
  <c r="E230" i="18"/>
  <c r="C230" i="18"/>
  <c r="D228" i="18"/>
  <c r="E228" i="18" s="1"/>
  <c r="C228" i="18"/>
  <c r="D227" i="18"/>
  <c r="E227" i="18" s="1"/>
  <c r="C227" i="18"/>
  <c r="D221" i="18"/>
  <c r="E221" i="18" s="1"/>
  <c r="C221" i="18"/>
  <c r="C245" i="18" s="1"/>
  <c r="D220" i="18"/>
  <c r="E220" i="18" s="1"/>
  <c r="D244" i="18"/>
  <c r="C220" i="18"/>
  <c r="D219" i="18"/>
  <c r="C219" i="18"/>
  <c r="D218" i="18"/>
  <c r="E218" i="18" s="1"/>
  <c r="C218" i="18"/>
  <c r="C242" i="18" s="1"/>
  <c r="D216" i="18"/>
  <c r="D240" i="18"/>
  <c r="E240" i="18"/>
  <c r="C216" i="18"/>
  <c r="C240" i="18"/>
  <c r="D215" i="18"/>
  <c r="E215" i="18" s="1"/>
  <c r="C215" i="18"/>
  <c r="C239" i="18" s="1"/>
  <c r="E209" i="18"/>
  <c r="E208" i="18"/>
  <c r="E207" i="18"/>
  <c r="E206" i="18"/>
  <c r="D205" i="18"/>
  <c r="C205" i="18"/>
  <c r="C210" i="18"/>
  <c r="E204" i="18"/>
  <c r="E203" i="18"/>
  <c r="E197" i="18"/>
  <c r="E196" i="18"/>
  <c r="D195" i="18"/>
  <c r="E195" i="18" s="1"/>
  <c r="C195" i="18"/>
  <c r="E194" i="18"/>
  <c r="E193" i="18"/>
  <c r="E192" i="18"/>
  <c r="E191" i="18"/>
  <c r="E190" i="18"/>
  <c r="D188" i="18"/>
  <c r="C188" i="18"/>
  <c r="E186" i="18"/>
  <c r="E185" i="18"/>
  <c r="D179" i="18"/>
  <c r="E179" i="18" s="1"/>
  <c r="C179" i="18"/>
  <c r="D178" i="18"/>
  <c r="E178" i="18" s="1"/>
  <c r="C178" i="18"/>
  <c r="D177" i="18"/>
  <c r="C177" i="18"/>
  <c r="E177" i="18"/>
  <c r="D176" i="18"/>
  <c r="C176" i="18"/>
  <c r="E176" i="18" s="1"/>
  <c r="C175" i="18"/>
  <c r="D174" i="18"/>
  <c r="C174" i="18"/>
  <c r="D173" i="18"/>
  <c r="E173" i="18" s="1"/>
  <c r="C173" i="18"/>
  <c r="D167" i="18"/>
  <c r="C167" i="18"/>
  <c r="D166" i="18"/>
  <c r="C166" i="18"/>
  <c r="E166" i="18"/>
  <c r="D165" i="18"/>
  <c r="C165" i="18"/>
  <c r="E165" i="18" s="1"/>
  <c r="D164" i="18"/>
  <c r="E164" i="18" s="1"/>
  <c r="C164" i="18"/>
  <c r="D162" i="18"/>
  <c r="E162" i="18" s="1"/>
  <c r="C162" i="18"/>
  <c r="D161" i="18"/>
  <c r="E161" i="18"/>
  <c r="C161" i="18"/>
  <c r="E155" i="18"/>
  <c r="E154" i="18"/>
  <c r="E153" i="18"/>
  <c r="E152" i="18"/>
  <c r="D151" i="18"/>
  <c r="E151" i="18" s="1"/>
  <c r="C151" i="18"/>
  <c r="E150" i="18"/>
  <c r="E149" i="18"/>
  <c r="C144" i="18"/>
  <c r="C145" i="18" s="1"/>
  <c r="C181" i="18" s="1"/>
  <c r="E143" i="18"/>
  <c r="E142" i="18"/>
  <c r="E141" i="18"/>
  <c r="E140" i="18"/>
  <c r="D139" i="18"/>
  <c r="C139" i="18"/>
  <c r="C163" i="18" s="1"/>
  <c r="E138" i="18"/>
  <c r="E137" i="18"/>
  <c r="D75" i="18"/>
  <c r="E75" i="18" s="1"/>
  <c r="C75" i="18"/>
  <c r="D74" i="18"/>
  <c r="C74" i="18"/>
  <c r="D73" i="18"/>
  <c r="C73" i="18"/>
  <c r="E73" i="18"/>
  <c r="D72" i="18"/>
  <c r="E72" i="18" s="1"/>
  <c r="C72" i="18"/>
  <c r="D70" i="18"/>
  <c r="C70" i="18"/>
  <c r="D69" i="18"/>
  <c r="C69" i="18"/>
  <c r="E64" i="18"/>
  <c r="E63" i="18"/>
  <c r="E62" i="18"/>
  <c r="E61" i="18"/>
  <c r="D60" i="18"/>
  <c r="C60" i="18"/>
  <c r="C65" i="18" s="1"/>
  <c r="C66" i="18" s="1"/>
  <c r="C289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D41" i="18"/>
  <c r="E41" i="18" s="1"/>
  <c r="C41" i="18"/>
  <c r="D40" i="18"/>
  <c r="E40" i="18"/>
  <c r="C40" i="18"/>
  <c r="D39" i="18"/>
  <c r="C39" i="18"/>
  <c r="E39" i="18"/>
  <c r="D38" i="18"/>
  <c r="C38" i="18"/>
  <c r="D37" i="18"/>
  <c r="C37" i="18"/>
  <c r="D36" i="18"/>
  <c r="E36" i="18"/>
  <c r="C36" i="18"/>
  <c r="C295" i="18"/>
  <c r="D32" i="18"/>
  <c r="C32" i="18"/>
  <c r="C33" i="18" s="1"/>
  <c r="E31" i="18"/>
  <c r="E30" i="18"/>
  <c r="E29" i="18"/>
  <c r="E28" i="18"/>
  <c r="E27" i="18"/>
  <c r="E26" i="18"/>
  <c r="E25" i="18"/>
  <c r="D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E330" i="17"/>
  <c r="F330" i="17" s="1"/>
  <c r="F329" i="17"/>
  <c r="E329" i="17"/>
  <c r="F316" i="17"/>
  <c r="E316" i="17"/>
  <c r="F311" i="17"/>
  <c r="D311" i="17"/>
  <c r="C311" i="17"/>
  <c r="F308" i="17"/>
  <c r="E308" i="17"/>
  <c r="D307" i="17"/>
  <c r="E307" i="17"/>
  <c r="F307" i="17" s="1"/>
  <c r="C307" i="17"/>
  <c r="D299" i="17"/>
  <c r="C299" i="17"/>
  <c r="D298" i="17"/>
  <c r="C298" i="17"/>
  <c r="F298" i="17" s="1"/>
  <c r="D297" i="17"/>
  <c r="C297" i="17"/>
  <c r="D296" i="17"/>
  <c r="C296" i="17"/>
  <c r="D295" i="17"/>
  <c r="C295" i="17"/>
  <c r="D294" i="17"/>
  <c r="C294" i="17"/>
  <c r="D250" i="17"/>
  <c r="D306" i="17"/>
  <c r="E306" i="17" s="1"/>
  <c r="C250" i="17"/>
  <c r="C306" i="17" s="1"/>
  <c r="E249" i="17"/>
  <c r="F249" i="17" s="1"/>
  <c r="F248" i="17"/>
  <c r="E248" i="17"/>
  <c r="F245" i="17"/>
  <c r="E245" i="17"/>
  <c r="E244" i="17"/>
  <c r="F244" i="17" s="1"/>
  <c r="F243" i="17"/>
  <c r="E243" i="17"/>
  <c r="D238" i="17"/>
  <c r="C238" i="17"/>
  <c r="C239" i="17" s="1"/>
  <c r="D237" i="17"/>
  <c r="E237" i="17" s="1"/>
  <c r="F237" i="17"/>
  <c r="C237" i="17"/>
  <c r="E234" i="17"/>
  <c r="F234" i="17" s="1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C226" i="17"/>
  <c r="E225" i="17"/>
  <c r="F225" i="17" s="1"/>
  <c r="E224" i="17"/>
  <c r="F224" i="17"/>
  <c r="D223" i="17"/>
  <c r="E223" i="17" s="1"/>
  <c r="F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/>
  <c r="D191" i="17"/>
  <c r="D200" i="17"/>
  <c r="C191" i="17"/>
  <c r="D189" i="17"/>
  <c r="E189" i="17" s="1"/>
  <c r="C189" i="17"/>
  <c r="F189" i="17" s="1"/>
  <c r="D188" i="17"/>
  <c r="C188" i="17"/>
  <c r="D180" i="17"/>
  <c r="C180" i="17"/>
  <c r="D179" i="17"/>
  <c r="C179" i="17"/>
  <c r="F179" i="17" s="1"/>
  <c r="D171" i="17"/>
  <c r="D172" i="17" s="1"/>
  <c r="D173" i="17" s="1"/>
  <c r="C171" i="17"/>
  <c r="F170" i="17"/>
  <c r="D170" i="17"/>
  <c r="E170" i="17" s="1"/>
  <c r="C170" i="17"/>
  <c r="F169" i="17"/>
  <c r="E169" i="17"/>
  <c r="F168" i="17"/>
  <c r="E168" i="17"/>
  <c r="F165" i="17"/>
  <c r="D165" i="17"/>
  <c r="E165" i="17" s="1"/>
  <c r="C165" i="17"/>
  <c r="F164" i="17"/>
  <c r="D164" i="17"/>
  <c r="E164" i="17" s="1"/>
  <c r="C164" i="17"/>
  <c r="F163" i="17"/>
  <c r="E163" i="17"/>
  <c r="D158" i="17"/>
  <c r="D159" i="17"/>
  <c r="C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E145" i="17" s="1"/>
  <c r="C145" i="17"/>
  <c r="D144" i="17"/>
  <c r="D146" i="17" s="1"/>
  <c r="E146" i="17" s="1"/>
  <c r="F146" i="17" s="1"/>
  <c r="C144" i="17"/>
  <c r="C146" i="17"/>
  <c r="D136" i="17"/>
  <c r="C136" i="17"/>
  <c r="C137" i="17"/>
  <c r="D135" i="17"/>
  <c r="C135" i="17"/>
  <c r="E134" i="17"/>
  <c r="F134" i="17"/>
  <c r="E133" i="17"/>
  <c r="F133" i="17"/>
  <c r="D130" i="17"/>
  <c r="E130" i="17" s="1"/>
  <c r="C130" i="17"/>
  <c r="D129" i="17"/>
  <c r="E129" i="17"/>
  <c r="C129" i="17"/>
  <c r="E128" i="17"/>
  <c r="F128" i="17" s="1"/>
  <c r="D123" i="17"/>
  <c r="C123" i="17"/>
  <c r="E122" i="17"/>
  <c r="F122" i="17" s="1"/>
  <c r="E121" i="17"/>
  <c r="F121" i="17"/>
  <c r="D120" i="17"/>
  <c r="E120" i="17" s="1"/>
  <c r="C120" i="17"/>
  <c r="E119" i="17"/>
  <c r="F119" i="17" s="1"/>
  <c r="E118" i="17"/>
  <c r="F118" i="17"/>
  <c r="D110" i="17"/>
  <c r="C110" i="17"/>
  <c r="D109" i="17"/>
  <c r="D111" i="17"/>
  <c r="C109" i="17"/>
  <c r="D101" i="17"/>
  <c r="D102" i="17" s="1"/>
  <c r="C101" i="17"/>
  <c r="C102" i="17"/>
  <c r="D100" i="17"/>
  <c r="E100" i="17" s="1"/>
  <c r="C100" i="17"/>
  <c r="E99" i="17"/>
  <c r="F99" i="17" s="1"/>
  <c r="E98" i="17"/>
  <c r="F98" i="17"/>
  <c r="D95" i="17"/>
  <c r="C95" i="17"/>
  <c r="D94" i="17"/>
  <c r="E94" i="17" s="1"/>
  <c r="C94" i="17"/>
  <c r="E93" i="17"/>
  <c r="F93" i="17" s="1"/>
  <c r="D88" i="17"/>
  <c r="D89" i="17"/>
  <c r="C88" i="17"/>
  <c r="C89" i="17" s="1"/>
  <c r="E87" i="17"/>
  <c r="F87" i="17"/>
  <c r="E86" i="17"/>
  <c r="F86" i="17" s="1"/>
  <c r="D85" i="17"/>
  <c r="E85" i="17"/>
  <c r="F85" i="17" s="1"/>
  <c r="C85" i="17"/>
  <c r="E84" i="17"/>
  <c r="F84" i="17"/>
  <c r="E83" i="17"/>
  <c r="F83" i="17" s="1"/>
  <c r="D76" i="17"/>
  <c r="D77" i="17"/>
  <c r="C76" i="17"/>
  <c r="C77" i="17" s="1"/>
  <c r="E74" i="17"/>
  <c r="F74" i="17"/>
  <c r="E73" i="17"/>
  <c r="F73" i="17"/>
  <c r="D67" i="17"/>
  <c r="C67" i="17"/>
  <c r="D66" i="17"/>
  <c r="D68" i="17" s="1"/>
  <c r="C66" i="17"/>
  <c r="C68" i="17"/>
  <c r="D59" i="17"/>
  <c r="D60" i="17" s="1"/>
  <c r="C59" i="17"/>
  <c r="C60" i="17"/>
  <c r="D58" i="17"/>
  <c r="C58" i="17"/>
  <c r="E57" i="17"/>
  <c r="F57" i="17"/>
  <c r="E56" i="17"/>
  <c r="F56" i="17" s="1"/>
  <c r="D53" i="17"/>
  <c r="C53" i="17"/>
  <c r="E53" i="17" s="1"/>
  <c r="D52" i="17"/>
  <c r="C52" i="17"/>
  <c r="E51" i="17"/>
  <c r="F51" i="17"/>
  <c r="D47" i="17"/>
  <c r="D48" i="17" s="1"/>
  <c r="C47" i="17"/>
  <c r="C48" i="17"/>
  <c r="E46" i="17"/>
  <c r="F46" i="17" s="1"/>
  <c r="E45" i="17"/>
  <c r="F45" i="17"/>
  <c r="D44" i="17"/>
  <c r="C44" i="17"/>
  <c r="E43" i="17"/>
  <c r="F43" i="17"/>
  <c r="E42" i="17"/>
  <c r="F42" i="17" s="1"/>
  <c r="D36" i="17"/>
  <c r="C36" i="17"/>
  <c r="D35" i="17"/>
  <c r="D37" i="17"/>
  <c r="C35" i="17"/>
  <c r="D30" i="17"/>
  <c r="D31" i="17"/>
  <c r="D32" i="17" s="1"/>
  <c r="C30" i="17"/>
  <c r="C31" i="17"/>
  <c r="D29" i="17"/>
  <c r="C29" i="17"/>
  <c r="E28" i="17"/>
  <c r="F28" i="17" s="1"/>
  <c r="E27" i="17"/>
  <c r="F27" i="17" s="1"/>
  <c r="D24" i="17"/>
  <c r="C24" i="17"/>
  <c r="D23" i="17"/>
  <c r="C23" i="17"/>
  <c r="E22" i="17"/>
  <c r="F22" i="17" s="1"/>
  <c r="D20" i="17"/>
  <c r="C20" i="17"/>
  <c r="E19" i="17"/>
  <c r="F19" i="17" s="1"/>
  <c r="E18" i="17"/>
  <c r="F18" i="17"/>
  <c r="D17" i="17"/>
  <c r="C17" i="17"/>
  <c r="E16" i="17"/>
  <c r="F16" i="17"/>
  <c r="E15" i="17"/>
  <c r="F15" i="17"/>
  <c r="D21" i="16"/>
  <c r="E21" i="16"/>
  <c r="F21" i="16" s="1"/>
  <c r="C21" i="16"/>
  <c r="E20" i="16"/>
  <c r="F20" i="16" s="1"/>
  <c r="D17" i="16"/>
  <c r="C17" i="16"/>
  <c r="F16" i="16"/>
  <c r="E16" i="16"/>
  <c r="D13" i="16"/>
  <c r="E13" i="16" s="1"/>
  <c r="C13" i="16"/>
  <c r="E12" i="16"/>
  <c r="F12" i="16" s="1"/>
  <c r="D107" i="15"/>
  <c r="E107" i="15" s="1"/>
  <c r="F107" i="15" s="1"/>
  <c r="C107" i="15"/>
  <c r="E106" i="15"/>
  <c r="F106" i="15" s="1"/>
  <c r="E105" i="15"/>
  <c r="F105" i="15" s="1"/>
  <c r="F104" i="15"/>
  <c r="E104" i="15"/>
  <c r="D100" i="15"/>
  <c r="E100" i="15"/>
  <c r="C100" i="15"/>
  <c r="F99" i="15"/>
  <c r="E99" i="15"/>
  <c r="F98" i="15"/>
  <c r="E98" i="15"/>
  <c r="E97" i="15"/>
  <c r="F97" i="15" s="1"/>
  <c r="E96" i="15"/>
  <c r="F96" i="15" s="1"/>
  <c r="E95" i="15"/>
  <c r="F95" i="15" s="1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E73" i="15"/>
  <c r="D70" i="15"/>
  <c r="E70" i="15" s="1"/>
  <c r="F70" i="15" s="1"/>
  <c r="C70" i="15"/>
  <c r="F69" i="15"/>
  <c r="E69" i="15"/>
  <c r="F68" i="15"/>
  <c r="E68" i="15"/>
  <c r="D65" i="15"/>
  <c r="E65" i="15"/>
  <c r="F65" i="15" s="1"/>
  <c r="C65" i="15"/>
  <c r="F64" i="15"/>
  <c r="E64" i="15"/>
  <c r="F63" i="15"/>
  <c r="E63" i="15"/>
  <c r="F60" i="15"/>
  <c r="D60" i="15"/>
  <c r="C60" i="15"/>
  <c r="F59" i="15"/>
  <c r="E59" i="15"/>
  <c r="F58" i="15"/>
  <c r="E58" i="15"/>
  <c r="F55" i="15"/>
  <c r="D55" i="15"/>
  <c r="E55" i="15" s="1"/>
  <c r="C55" i="15"/>
  <c r="F54" i="15"/>
  <c r="E54" i="15"/>
  <c r="F53" i="15"/>
  <c r="E53" i="15"/>
  <c r="F50" i="15"/>
  <c r="D50" i="15"/>
  <c r="E50" i="15" s="1"/>
  <c r="C50" i="15"/>
  <c r="F49" i="15"/>
  <c r="E49" i="15"/>
  <c r="F48" i="15"/>
  <c r="E48" i="15"/>
  <c r="D45" i="15"/>
  <c r="E45" i="15"/>
  <c r="F45" i="15" s="1"/>
  <c r="C45" i="15"/>
  <c r="E44" i="15"/>
  <c r="F44" i="15" s="1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C30" i="15"/>
  <c r="F29" i="15"/>
  <c r="E29" i="15"/>
  <c r="F28" i="15"/>
  <c r="E28" i="15"/>
  <c r="F27" i="15"/>
  <c r="E27" i="15"/>
  <c r="E26" i="15"/>
  <c r="F26" i="15" s="1"/>
  <c r="D23" i="15"/>
  <c r="E23" i="15"/>
  <c r="F23" i="15"/>
  <c r="C23" i="15"/>
  <c r="F22" i="15"/>
  <c r="E22" i="15"/>
  <c r="E21" i="15"/>
  <c r="F21" i="15" s="1"/>
  <c r="F20" i="15"/>
  <c r="E20" i="15"/>
  <c r="F19" i="15"/>
  <c r="E19" i="15"/>
  <c r="D16" i="15"/>
  <c r="E16" i="15"/>
  <c r="C16" i="15"/>
  <c r="F15" i="15"/>
  <c r="E15" i="15"/>
  <c r="F14" i="15"/>
  <c r="E14" i="15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E17" i="14"/>
  <c r="E31" i="14" s="1"/>
  <c r="D17" i="14"/>
  <c r="D33" i="14" s="1"/>
  <c r="D36" i="14" s="1"/>
  <c r="D38" i="14" s="1"/>
  <c r="D40" i="14" s="1"/>
  <c r="C17" i="14"/>
  <c r="C31" i="14"/>
  <c r="I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 s="1"/>
  <c r="C78" i="13"/>
  <c r="C80" i="13"/>
  <c r="C77" i="13" s="1"/>
  <c r="C75" i="13"/>
  <c r="E73" i="13"/>
  <c r="E75" i="13" s="1"/>
  <c r="D73" i="13"/>
  <c r="D75" i="13" s="1"/>
  <c r="C73" i="13"/>
  <c r="E71" i="13"/>
  <c r="D71" i="13"/>
  <c r="C71" i="13"/>
  <c r="E66" i="13"/>
  <c r="E65" i="13" s="1"/>
  <c r="D66" i="13"/>
  <c r="C66" i="13"/>
  <c r="C65" i="13"/>
  <c r="D65" i="13"/>
  <c r="E60" i="13"/>
  <c r="D60" i="13"/>
  <c r="C60" i="13"/>
  <c r="E59" i="13"/>
  <c r="E61" i="13" s="1"/>
  <c r="E57" i="13" s="1"/>
  <c r="E58" i="13"/>
  <c r="D58" i="13"/>
  <c r="C58" i="13"/>
  <c r="E55" i="13"/>
  <c r="D55" i="13"/>
  <c r="C55" i="13"/>
  <c r="E54" i="13"/>
  <c r="D54" i="13"/>
  <c r="C54" i="13"/>
  <c r="C50" i="13"/>
  <c r="D50" i="13"/>
  <c r="C48" i="13"/>
  <c r="C42" i="13" s="1"/>
  <c r="E46" i="13"/>
  <c r="E48" i="13" s="1"/>
  <c r="D46" i="13"/>
  <c r="C46" i="13"/>
  <c r="C59" i="13" s="1"/>
  <c r="C61" i="13" s="1"/>
  <c r="C57" i="13" s="1"/>
  <c r="E45" i="13"/>
  <c r="E42" i="13" s="1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25" i="13"/>
  <c r="E27" i="13" s="1"/>
  <c r="E21" i="13" s="1"/>
  <c r="C25" i="13"/>
  <c r="C27" i="13"/>
  <c r="C15" i="13"/>
  <c r="C24" i="13"/>
  <c r="C20" i="13" s="1"/>
  <c r="E13" i="13"/>
  <c r="E15" i="13" s="1"/>
  <c r="E24" i="13" s="1"/>
  <c r="D13" i="13"/>
  <c r="D25" i="13"/>
  <c r="D27" i="13"/>
  <c r="C13" i="13"/>
  <c r="D47" i="12"/>
  <c r="F47" i="12"/>
  <c r="C47" i="12"/>
  <c r="E47" i="12" s="1"/>
  <c r="E46" i="12"/>
  <c r="F46" i="12" s="1"/>
  <c r="F45" i="12"/>
  <c r="E45" i="12"/>
  <c r="D40" i="12"/>
  <c r="F40" i="12"/>
  <c r="C40" i="12"/>
  <c r="E40" i="12" s="1"/>
  <c r="E39" i="12"/>
  <c r="F39" i="12" s="1"/>
  <c r="F38" i="12"/>
  <c r="E38" i="12"/>
  <c r="E37" i="12"/>
  <c r="F37" i="12" s="1"/>
  <c r="D32" i="12"/>
  <c r="C32" i="12"/>
  <c r="F31" i="12"/>
  <c r="E31" i="12"/>
  <c r="E30" i="12"/>
  <c r="F30" i="12" s="1"/>
  <c r="E29" i="12"/>
  <c r="F29" i="12" s="1"/>
  <c r="F28" i="12"/>
  <c r="E28" i="12"/>
  <c r="F27" i="12"/>
  <c r="E27" i="12"/>
  <c r="E26" i="12"/>
  <c r="F26" i="12" s="1"/>
  <c r="F25" i="12"/>
  <c r="E25" i="12"/>
  <c r="E24" i="12"/>
  <c r="F24" i="12" s="1"/>
  <c r="F23" i="12"/>
  <c r="E23" i="12"/>
  <c r="E19" i="12"/>
  <c r="F19" i="12" s="1"/>
  <c r="F18" i="12"/>
  <c r="E18" i="12"/>
  <c r="E16" i="12"/>
  <c r="F16" i="12" s="1"/>
  <c r="D15" i="12"/>
  <c r="D17" i="12" s="1"/>
  <c r="C15" i="12"/>
  <c r="C17" i="12"/>
  <c r="F14" i="12"/>
  <c r="E14" i="12"/>
  <c r="E13" i="12"/>
  <c r="F13" i="12" s="1"/>
  <c r="F12" i="12"/>
  <c r="E12" i="12"/>
  <c r="E11" i="12"/>
  <c r="F11" i="12" s="1"/>
  <c r="D73" i="11"/>
  <c r="E73" i="11" s="1"/>
  <c r="C73" i="11"/>
  <c r="F72" i="11"/>
  <c r="E72" i="11"/>
  <c r="E71" i="11"/>
  <c r="F71" i="11" s="1"/>
  <c r="F70" i="11"/>
  <c r="E70" i="11"/>
  <c r="E67" i="11"/>
  <c r="F67" i="11" s="1"/>
  <c r="F64" i="11"/>
  <c r="E64" i="11"/>
  <c r="E63" i="11"/>
  <c r="F63" i="11" s="1"/>
  <c r="D61" i="11"/>
  <c r="D65" i="11"/>
  <c r="E65" i="11" s="1"/>
  <c r="F65" i="11" s="1"/>
  <c r="C61" i="11"/>
  <c r="C65" i="11" s="1"/>
  <c r="F60" i="11"/>
  <c r="E60" i="11"/>
  <c r="E59" i="11"/>
  <c r="F59" i="11" s="1"/>
  <c r="D56" i="11"/>
  <c r="C56" i="11"/>
  <c r="C75" i="11" s="1"/>
  <c r="E55" i="11"/>
  <c r="F55" i="11" s="1"/>
  <c r="F54" i="11"/>
  <c r="E54" i="11"/>
  <c r="E53" i="11"/>
  <c r="F53" i="11" s="1"/>
  <c r="F52" i="11"/>
  <c r="E52" i="11"/>
  <c r="F51" i="11"/>
  <c r="E51" i="11"/>
  <c r="A52" i="11"/>
  <c r="A53" i="11" s="1"/>
  <c r="A54" i="11" s="1"/>
  <c r="A55" i="11" s="1"/>
  <c r="E50" i="11"/>
  <c r="F50" i="11" s="1"/>
  <c r="A50" i="11"/>
  <c r="A51" i="11" s="1"/>
  <c r="E49" i="11"/>
  <c r="F49" i="11" s="1"/>
  <c r="E40" i="11"/>
  <c r="F40" i="11" s="1"/>
  <c r="D38" i="11"/>
  <c r="D41" i="11" s="1"/>
  <c r="C38" i="11"/>
  <c r="C41" i="11"/>
  <c r="F37" i="11"/>
  <c r="E37" i="11"/>
  <c r="E36" i="11"/>
  <c r="F36" i="11" s="1"/>
  <c r="F33" i="11"/>
  <c r="E33" i="11"/>
  <c r="E32" i="11"/>
  <c r="F32" i="11" s="1"/>
  <c r="F31" i="11"/>
  <c r="E31" i="11"/>
  <c r="D29" i="11"/>
  <c r="E29" i="11"/>
  <c r="F29" i="11"/>
  <c r="C29" i="11"/>
  <c r="E28" i="11"/>
  <c r="F28" i="11" s="1"/>
  <c r="F27" i="11"/>
  <c r="E27" i="11"/>
  <c r="E26" i="11"/>
  <c r="F26" i="11" s="1"/>
  <c r="F25" i="11"/>
  <c r="E25" i="11"/>
  <c r="D22" i="11"/>
  <c r="D43" i="11"/>
  <c r="E43" i="11" s="1"/>
  <c r="C22" i="11"/>
  <c r="C43" i="11"/>
  <c r="E21" i="11"/>
  <c r="F21" i="11" s="1"/>
  <c r="F20" i="11"/>
  <c r="E20" i="11"/>
  <c r="E19" i="11"/>
  <c r="F19" i="11" s="1"/>
  <c r="F18" i="11"/>
  <c r="E18" i="11"/>
  <c r="F17" i="11"/>
  <c r="E17" i="11"/>
  <c r="F16" i="11"/>
  <c r="E16" i="11"/>
  <c r="E15" i="11"/>
  <c r="F15" i="11" s="1"/>
  <c r="E14" i="11"/>
  <c r="F14" i="11" s="1"/>
  <c r="E13" i="11"/>
  <c r="F13" i="11" s="1"/>
  <c r="F120" i="10"/>
  <c r="D120" i="10"/>
  <c r="E120" i="10" s="1"/>
  <c r="C120" i="10"/>
  <c r="D119" i="10"/>
  <c r="E119" i="10" s="1"/>
  <c r="C119" i="10"/>
  <c r="F119" i="10" s="1"/>
  <c r="F118" i="10"/>
  <c r="D118" i="10"/>
  <c r="E118" i="10" s="1"/>
  <c r="C118" i="10"/>
  <c r="F117" i="10"/>
  <c r="D117" i="10"/>
  <c r="C117" i="10"/>
  <c r="F116" i="10"/>
  <c r="D116" i="10"/>
  <c r="E116" i="10" s="1"/>
  <c r="C116" i="10"/>
  <c r="F115" i="10"/>
  <c r="D115" i="10"/>
  <c r="C115" i="10"/>
  <c r="D114" i="10"/>
  <c r="C114" i="10"/>
  <c r="F114" i="10" s="1"/>
  <c r="F113" i="10"/>
  <c r="D113" i="10"/>
  <c r="C113" i="10"/>
  <c r="F112" i="10"/>
  <c r="D112" i="10"/>
  <c r="D121" i="10"/>
  <c r="C112" i="10"/>
  <c r="C121" i="10"/>
  <c r="D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C84" i="10"/>
  <c r="E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C60" i="10"/>
  <c r="F60" i="10" s="1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E205" i="9" s="1"/>
  <c r="C205" i="9"/>
  <c r="D204" i="9"/>
  <c r="C204" i="9"/>
  <c r="D203" i="9"/>
  <c r="E203" i="9"/>
  <c r="C203" i="9"/>
  <c r="D202" i="9"/>
  <c r="E202" i="9" s="1"/>
  <c r="C202" i="9"/>
  <c r="D201" i="9"/>
  <c r="C201" i="9"/>
  <c r="D200" i="9"/>
  <c r="C200" i="9"/>
  <c r="D199" i="9"/>
  <c r="D208" i="9"/>
  <c r="C199" i="9"/>
  <c r="D198" i="9"/>
  <c r="D207" i="9" s="1"/>
  <c r="C198" i="9"/>
  <c r="C207" i="9" s="1"/>
  <c r="D193" i="9"/>
  <c r="E193" i="9"/>
  <c r="C193" i="9"/>
  <c r="D192" i="9"/>
  <c r="E192" i="9"/>
  <c r="C192" i="9"/>
  <c r="F191" i="9"/>
  <c r="E191" i="9"/>
  <c r="E190" i="9"/>
  <c r="F190" i="9" s="1"/>
  <c r="E189" i="9"/>
  <c r="F189" i="9" s="1"/>
  <c r="F188" i="9"/>
  <c r="E188" i="9"/>
  <c r="F187" i="9"/>
  <c r="E187" i="9"/>
  <c r="F186" i="9"/>
  <c r="E186" i="9"/>
  <c r="E185" i="9"/>
  <c r="F185" i="9" s="1"/>
  <c r="F184" i="9"/>
  <c r="E184" i="9"/>
  <c r="F183" i="9"/>
  <c r="E183" i="9"/>
  <c r="F180" i="9"/>
  <c r="D180" i="9"/>
  <c r="E180" i="9" s="1"/>
  <c r="C180" i="9"/>
  <c r="D179" i="9"/>
  <c r="E179" i="9" s="1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/>
  <c r="C167" i="9"/>
  <c r="F167" i="9" s="1"/>
  <c r="D166" i="9"/>
  <c r="E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 s="1"/>
  <c r="C154" i="9"/>
  <c r="D153" i="9"/>
  <c r="E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/>
  <c r="F140" i="9"/>
  <c r="C140" i="9"/>
  <c r="E139" i="9"/>
  <c r="F139" i="9" s="1"/>
  <c r="E138" i="9"/>
  <c r="F138" i="9" s="1"/>
  <c r="E137" i="9"/>
  <c r="F137" i="9" s="1"/>
  <c r="E136" i="9"/>
  <c r="F136" i="9" s="1"/>
  <c r="E135" i="9"/>
  <c r="F135" i="9" s="1"/>
  <c r="F134" i="9"/>
  <c r="E134" i="9"/>
  <c r="E133" i="9"/>
  <c r="F133" i="9" s="1"/>
  <c r="F132" i="9"/>
  <c r="E132" i="9"/>
  <c r="E131" i="9"/>
  <c r="F131" i="9" s="1"/>
  <c r="D128" i="9"/>
  <c r="E128" i="9"/>
  <c r="C128" i="9"/>
  <c r="D127" i="9"/>
  <c r="C127" i="9"/>
  <c r="F126" i="9"/>
  <c r="E126" i="9"/>
  <c r="F125" i="9"/>
  <c r="E125" i="9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F118" i="9"/>
  <c r="E118" i="9"/>
  <c r="D115" i="9"/>
  <c r="E115" i="9" s="1"/>
  <c r="F115" i="9"/>
  <c r="C115" i="9"/>
  <c r="D114" i="9"/>
  <c r="C114" i="9"/>
  <c r="F113" i="9"/>
  <c r="E113" i="9"/>
  <c r="F112" i="9"/>
  <c r="E112" i="9"/>
  <c r="E111" i="9"/>
  <c r="F111" i="9" s="1"/>
  <c r="E110" i="9"/>
  <c r="F110" i="9" s="1"/>
  <c r="F109" i="9"/>
  <c r="E109" i="9"/>
  <c r="E108" i="9"/>
  <c r="F108" i="9" s="1"/>
  <c r="E107" i="9"/>
  <c r="F107" i="9" s="1"/>
  <c r="E106" i="9"/>
  <c r="F106" i="9" s="1"/>
  <c r="F105" i="9"/>
  <c r="E105" i="9"/>
  <c r="D102" i="9"/>
  <c r="C102" i="9"/>
  <c r="D101" i="9"/>
  <c r="C101" i="9"/>
  <c r="F100" i="9"/>
  <c r="E100" i="9"/>
  <c r="E99" i="9"/>
  <c r="F99" i="9" s="1"/>
  <c r="E98" i="9"/>
  <c r="F98" i="9" s="1"/>
  <c r="F97" i="9"/>
  <c r="E97" i="9"/>
  <c r="E96" i="9"/>
  <c r="F96" i="9" s="1"/>
  <c r="E95" i="9"/>
  <c r="F95" i="9" s="1"/>
  <c r="E94" i="9"/>
  <c r="F94" i="9" s="1"/>
  <c r="E93" i="9"/>
  <c r="F93" i="9" s="1"/>
  <c r="F92" i="9"/>
  <c r="E92" i="9"/>
  <c r="D89" i="9"/>
  <c r="E89" i="9" s="1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F76" i="9" s="1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E63" i="9" s="1"/>
  <c r="C63" i="9"/>
  <c r="F63" i="9" s="1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C50" i="9"/>
  <c r="D49" i="9"/>
  <c r="C49" i="9"/>
  <c r="F48" i="9"/>
  <c r="E48" i="9"/>
  <c r="E47" i="9"/>
  <c r="F47" i="9" s="1"/>
  <c r="E46" i="9"/>
  <c r="F46" i="9" s="1"/>
  <c r="F45" i="9"/>
  <c r="E45" i="9"/>
  <c r="E44" i="9"/>
  <c r="F44" i="9" s="1"/>
  <c r="E43" i="9"/>
  <c r="F43" i="9" s="1"/>
  <c r="E42" i="9"/>
  <c r="F42" i="9" s="1"/>
  <c r="E41" i="9"/>
  <c r="F41" i="9" s="1"/>
  <c r="F40" i="9"/>
  <c r="E40" i="9"/>
  <c r="D37" i="9"/>
  <c r="E37" i="9" s="1"/>
  <c r="C37" i="9"/>
  <c r="F37" i="9" s="1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F24" i="9"/>
  <c r="C24" i="9"/>
  <c r="E24" i="9" s="1"/>
  <c r="D23" i="9"/>
  <c r="C23" i="9"/>
  <c r="E22" i="9"/>
  <c r="F22" i="9" s="1"/>
  <c r="F21" i="9"/>
  <c r="E21" i="9"/>
  <c r="E20" i="9"/>
  <c r="F20" i="9" s="1"/>
  <c r="E19" i="9"/>
  <c r="F19" i="9" s="1"/>
  <c r="E18" i="9"/>
  <c r="F18" i="9" s="1"/>
  <c r="F17" i="9"/>
  <c r="E17" i="9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E160" i="8"/>
  <c r="E166" i="8" s="1"/>
  <c r="D164" i="8"/>
  <c r="C164" i="8"/>
  <c r="C160" i="8"/>
  <c r="C166" i="8" s="1"/>
  <c r="E162" i="8"/>
  <c r="D162" i="8"/>
  <c r="C162" i="8"/>
  <c r="E161" i="8"/>
  <c r="D161" i="8"/>
  <c r="C161" i="8"/>
  <c r="D160" i="8"/>
  <c r="D166" i="8" s="1"/>
  <c r="E147" i="8"/>
  <c r="E143" i="8"/>
  <c r="D147" i="8"/>
  <c r="C147" i="8"/>
  <c r="C143" i="8"/>
  <c r="C149" i="8"/>
  <c r="E145" i="8"/>
  <c r="E149" i="8" s="1"/>
  <c r="D145" i="8"/>
  <c r="C145" i="8"/>
  <c r="E144" i="8"/>
  <c r="D144" i="8"/>
  <c r="C144" i="8"/>
  <c r="D143" i="8"/>
  <c r="D149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 s="1"/>
  <c r="D106" i="8" s="1"/>
  <c r="C107" i="8"/>
  <c r="C109" i="8" s="1"/>
  <c r="C106" i="8" s="1"/>
  <c r="E102" i="8"/>
  <c r="E104" i="8"/>
  <c r="D102" i="8"/>
  <c r="D104" i="8" s="1"/>
  <c r="C102" i="8"/>
  <c r="C104" i="8"/>
  <c r="E100" i="8"/>
  <c r="D100" i="8"/>
  <c r="C100" i="8"/>
  <c r="E95" i="8"/>
  <c r="D95" i="8"/>
  <c r="D94" i="8" s="1"/>
  <c r="C95" i="8"/>
  <c r="E94" i="8"/>
  <c r="C94" i="8"/>
  <c r="E89" i="8"/>
  <c r="D89" i="8"/>
  <c r="C89" i="8"/>
  <c r="D88" i="8"/>
  <c r="D90" i="8" s="1"/>
  <c r="E87" i="8"/>
  <c r="D87" i="8"/>
  <c r="C87" i="8"/>
  <c r="E84" i="8"/>
  <c r="D84" i="8"/>
  <c r="C84" i="8"/>
  <c r="C79" i="8" s="1"/>
  <c r="E83" i="8"/>
  <c r="E79" i="8" s="1"/>
  <c r="D83" i="8"/>
  <c r="D79" i="8"/>
  <c r="C83" i="8"/>
  <c r="D71" i="8"/>
  <c r="E75" i="8"/>
  <c r="E88" i="8" s="1"/>
  <c r="D75" i="8"/>
  <c r="D77" i="8" s="1"/>
  <c r="C75" i="8"/>
  <c r="E74" i="8"/>
  <c r="D74" i="8"/>
  <c r="C74" i="8"/>
  <c r="E67" i="8"/>
  <c r="D67" i="8"/>
  <c r="C67" i="8"/>
  <c r="E53" i="8"/>
  <c r="C53" i="8"/>
  <c r="C43" i="8"/>
  <c r="E38" i="8"/>
  <c r="E43" i="8" s="1"/>
  <c r="E57" i="8"/>
  <c r="E62" i="8" s="1"/>
  <c r="D38" i="8"/>
  <c r="D57" i="8" s="1"/>
  <c r="D62" i="8" s="1"/>
  <c r="C38" i="8"/>
  <c r="C57" i="8"/>
  <c r="C62" i="8" s="1"/>
  <c r="E33" i="8"/>
  <c r="E34" i="8" s="1"/>
  <c r="D33" i="8"/>
  <c r="D34" i="8"/>
  <c r="E26" i="8"/>
  <c r="E27" i="8" s="1"/>
  <c r="D26" i="8"/>
  <c r="C26" i="8"/>
  <c r="D27" i="8"/>
  <c r="D21" i="8" s="1"/>
  <c r="D15" i="8"/>
  <c r="D17" i="8" s="1"/>
  <c r="D28" i="8" s="1"/>
  <c r="D99" i="8" s="1"/>
  <c r="D101" i="8" s="1"/>
  <c r="D98" i="8" s="1"/>
  <c r="E13" i="8"/>
  <c r="E25" i="8" s="1"/>
  <c r="D13" i="8"/>
  <c r="D25" i="8" s="1"/>
  <c r="C13" i="8"/>
  <c r="F186" i="7"/>
  <c r="E186" i="7"/>
  <c r="D183" i="7"/>
  <c r="C183" i="7"/>
  <c r="E182" i="7"/>
  <c r="F182" i="7" s="1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E170" i="7"/>
  <c r="F170" i="7" s="1"/>
  <c r="D167" i="7"/>
  <c r="C167" i="7"/>
  <c r="F166" i="7"/>
  <c r="E166" i="7"/>
  <c r="F165" i="7"/>
  <c r="E165" i="7"/>
  <c r="F164" i="7"/>
  <c r="E164" i="7"/>
  <c r="F163" i="7"/>
  <c r="E163" i="7"/>
  <c r="F162" i="7"/>
  <c r="E162" i="7"/>
  <c r="E161" i="7"/>
  <c r="F161" i="7" s="1"/>
  <c r="F160" i="7"/>
  <c r="E160" i="7"/>
  <c r="F159" i="7"/>
  <c r="E159" i="7"/>
  <c r="E158" i="7"/>
  <c r="F158" i="7" s="1"/>
  <c r="E157" i="7"/>
  <c r="F157" i="7" s="1"/>
  <c r="F156" i="7"/>
  <c r="E156" i="7"/>
  <c r="F155" i="7"/>
  <c r="E155" i="7"/>
  <c r="F154" i="7"/>
  <c r="E154" i="7"/>
  <c r="F153" i="7"/>
  <c r="E153" i="7"/>
  <c r="F152" i="7"/>
  <c r="E152" i="7"/>
  <c r="E151" i="7"/>
  <c r="F151" i="7" s="1"/>
  <c r="E150" i="7"/>
  <c r="F150" i="7" s="1"/>
  <c r="F149" i="7"/>
  <c r="E149" i="7"/>
  <c r="F148" i="7"/>
  <c r="E148" i="7"/>
  <c r="E147" i="7"/>
  <c r="F147" i="7" s="1"/>
  <c r="E146" i="7"/>
  <c r="F146" i="7" s="1"/>
  <c r="F145" i="7"/>
  <c r="E145" i="7"/>
  <c r="F144" i="7"/>
  <c r="E144" i="7"/>
  <c r="F143" i="7"/>
  <c r="E143" i="7"/>
  <c r="E142" i="7"/>
  <c r="F142" i="7" s="1"/>
  <c r="E141" i="7"/>
  <c r="F141" i="7" s="1"/>
  <c r="F140" i="7"/>
  <c r="E140" i="7"/>
  <c r="E139" i="7"/>
  <c r="F139" i="7" s="1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E130" i="7" s="1"/>
  <c r="C130" i="7"/>
  <c r="F130" i="7" s="1"/>
  <c r="E129" i="7"/>
  <c r="F129" i="7" s="1"/>
  <c r="F128" i="7"/>
  <c r="E128" i="7"/>
  <c r="F127" i="7"/>
  <c r="E127" i="7"/>
  <c r="E126" i="7"/>
  <c r="F126" i="7" s="1"/>
  <c r="E125" i="7"/>
  <c r="F125" i="7" s="1"/>
  <c r="F124" i="7"/>
  <c r="E124" i="7"/>
  <c r="D121" i="7"/>
  <c r="C121" i="7"/>
  <c r="E120" i="7"/>
  <c r="F120" i="7" s="1"/>
  <c r="E119" i="7"/>
  <c r="F119" i="7" s="1"/>
  <c r="F118" i="7"/>
  <c r="E118" i="7"/>
  <c r="F117" i="7"/>
  <c r="E117" i="7"/>
  <c r="E116" i="7"/>
  <c r="F116" i="7" s="1"/>
  <c r="E115" i="7"/>
  <c r="F115" i="7" s="1"/>
  <c r="F114" i="7"/>
  <c r="E114" i="7"/>
  <c r="F113" i="7"/>
  <c r="E113" i="7"/>
  <c r="E112" i="7"/>
  <c r="F112" i="7" s="1"/>
  <c r="F111" i="7"/>
  <c r="E111" i="7"/>
  <c r="F110" i="7"/>
  <c r="E110" i="7"/>
  <c r="F109" i="7"/>
  <c r="E109" i="7"/>
  <c r="E108" i="7"/>
  <c r="F108" i="7" s="1"/>
  <c r="E107" i="7"/>
  <c r="F107" i="7" s="1"/>
  <c r="F106" i="7"/>
  <c r="E106" i="7"/>
  <c r="F105" i="7"/>
  <c r="E105" i="7"/>
  <c r="E104" i="7"/>
  <c r="F104" i="7" s="1"/>
  <c r="F103" i="7"/>
  <c r="E103" i="7"/>
  <c r="F93" i="7"/>
  <c r="E93" i="7"/>
  <c r="D90" i="7"/>
  <c r="C90" i="7"/>
  <c r="F89" i="7"/>
  <c r="E89" i="7"/>
  <c r="E88" i="7"/>
  <c r="F88" i="7" s="1"/>
  <c r="F87" i="7"/>
  <c r="E87" i="7"/>
  <c r="E86" i="7"/>
  <c r="F86" i="7" s="1"/>
  <c r="F85" i="7"/>
  <c r="E85" i="7"/>
  <c r="E84" i="7"/>
  <c r="F84" i="7" s="1"/>
  <c r="F83" i="7"/>
  <c r="E83" i="7"/>
  <c r="E82" i="7"/>
  <c r="F82" i="7" s="1"/>
  <c r="E81" i="7"/>
  <c r="F81" i="7" s="1"/>
  <c r="E80" i="7"/>
  <c r="F80" i="7" s="1"/>
  <c r="E79" i="7"/>
  <c r="F79" i="7" s="1"/>
  <c r="F78" i="7"/>
  <c r="E78" i="7"/>
  <c r="F77" i="7"/>
  <c r="E77" i="7"/>
  <c r="E76" i="7"/>
  <c r="F76" i="7" s="1"/>
  <c r="F75" i="7"/>
  <c r="E75" i="7"/>
  <c r="F74" i="7"/>
  <c r="E74" i="7"/>
  <c r="E73" i="7"/>
  <c r="F73" i="7" s="1"/>
  <c r="E72" i="7"/>
  <c r="F72" i="7" s="1"/>
  <c r="F71" i="7"/>
  <c r="E71" i="7"/>
  <c r="E70" i="7"/>
  <c r="F70" i="7" s="1"/>
  <c r="F69" i="7"/>
  <c r="E69" i="7"/>
  <c r="E68" i="7"/>
  <c r="F68" i="7" s="1"/>
  <c r="F67" i="7"/>
  <c r="E67" i="7"/>
  <c r="F66" i="7"/>
  <c r="E66" i="7"/>
  <c r="E65" i="7"/>
  <c r="F65" i="7" s="1"/>
  <c r="E64" i="7"/>
  <c r="F64" i="7" s="1"/>
  <c r="E63" i="7"/>
  <c r="F63" i="7" s="1"/>
  <c r="F62" i="7"/>
  <c r="E62" i="7"/>
  <c r="D59" i="7"/>
  <c r="C59" i="7"/>
  <c r="F58" i="7"/>
  <c r="E58" i="7"/>
  <c r="E57" i="7"/>
  <c r="F57" i="7" s="1"/>
  <c r="F56" i="7"/>
  <c r="E56" i="7"/>
  <c r="E55" i="7"/>
  <c r="F55" i="7" s="1"/>
  <c r="F54" i="7"/>
  <c r="E54" i="7"/>
  <c r="E53" i="7"/>
  <c r="F53" i="7" s="1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C35" i="7"/>
  <c r="E34" i="7"/>
  <c r="F34" i="7" s="1"/>
  <c r="F33" i="7"/>
  <c r="E33" i="7"/>
  <c r="D30" i="7"/>
  <c r="C30" i="7"/>
  <c r="F29" i="7"/>
  <c r="E29" i="7"/>
  <c r="E28" i="7"/>
  <c r="F28" i="7" s="1"/>
  <c r="F27" i="7"/>
  <c r="E27" i="7"/>
  <c r="D24" i="7"/>
  <c r="E24" i="7"/>
  <c r="F24" i="7"/>
  <c r="C24" i="7"/>
  <c r="E23" i="7"/>
  <c r="F23" i="7" s="1"/>
  <c r="F22" i="7"/>
  <c r="E22" i="7"/>
  <c r="E21" i="7"/>
  <c r="F21" i="7" s="1"/>
  <c r="D18" i="7"/>
  <c r="E18" i="7" s="1"/>
  <c r="F18" i="7"/>
  <c r="C18" i="7"/>
  <c r="F17" i="7"/>
  <c r="E17" i="7"/>
  <c r="F16" i="7"/>
  <c r="E16" i="7"/>
  <c r="F15" i="7"/>
  <c r="E15" i="7"/>
  <c r="D179" i="6"/>
  <c r="E179" i="6" s="1"/>
  <c r="C179" i="6"/>
  <c r="F178" i="6"/>
  <c r="E178" i="6"/>
  <c r="F177" i="6"/>
  <c r="E177" i="6"/>
  <c r="E176" i="6"/>
  <c r="F176" i="6" s="1"/>
  <c r="F175" i="6"/>
  <c r="E175" i="6"/>
  <c r="E174" i="6"/>
  <c r="F174" i="6" s="1"/>
  <c r="E173" i="6"/>
  <c r="F173" i="6" s="1"/>
  <c r="E172" i="6"/>
  <c r="F172" i="6" s="1"/>
  <c r="F171" i="6"/>
  <c r="E171" i="6"/>
  <c r="E170" i="6"/>
  <c r="F170" i="6" s="1"/>
  <c r="F169" i="6"/>
  <c r="E169" i="6"/>
  <c r="E168" i="6"/>
  <c r="F168" i="6" s="1"/>
  <c r="D166" i="6"/>
  <c r="E166" i="6" s="1"/>
  <c r="C166" i="6"/>
  <c r="F165" i="6"/>
  <c r="E165" i="6"/>
  <c r="F164" i="6"/>
  <c r="E164" i="6"/>
  <c r="F163" i="6"/>
  <c r="E163" i="6"/>
  <c r="E162" i="6"/>
  <c r="F162" i="6" s="1"/>
  <c r="E161" i="6"/>
  <c r="F161" i="6" s="1"/>
  <c r="E160" i="6"/>
  <c r="F160" i="6" s="1"/>
  <c r="F159" i="6"/>
  <c r="E159" i="6"/>
  <c r="F158" i="6"/>
  <c r="E158" i="6"/>
  <c r="F157" i="6"/>
  <c r="E157" i="6"/>
  <c r="E156" i="6"/>
  <c r="F156" i="6" s="1"/>
  <c r="F155" i="6"/>
  <c r="E155" i="6"/>
  <c r="D153" i="6"/>
  <c r="E153" i="6"/>
  <c r="C153" i="6"/>
  <c r="F152" i="6"/>
  <c r="E152" i="6"/>
  <c r="F151" i="6"/>
  <c r="E151" i="6"/>
  <c r="E150" i="6"/>
  <c r="F150" i="6" s="1"/>
  <c r="F149" i="6"/>
  <c r="E149" i="6"/>
  <c r="E148" i="6"/>
  <c r="F148" i="6" s="1"/>
  <c r="F147" i="6"/>
  <c r="E147" i="6"/>
  <c r="E146" i="6"/>
  <c r="F146" i="6" s="1"/>
  <c r="F145" i="6"/>
  <c r="E145" i="6"/>
  <c r="E144" i="6"/>
  <c r="F144" i="6" s="1"/>
  <c r="F143" i="6"/>
  <c r="E143" i="6"/>
  <c r="E142" i="6"/>
  <c r="F142" i="6" s="1"/>
  <c r="D137" i="6"/>
  <c r="E137" i="6"/>
  <c r="C137" i="6"/>
  <c r="F136" i="6"/>
  <c r="E136" i="6"/>
  <c r="F135" i="6"/>
  <c r="E135" i="6"/>
  <c r="E134" i="6"/>
  <c r="F134" i="6" s="1"/>
  <c r="E133" i="6"/>
  <c r="F133" i="6" s="1"/>
  <c r="F132" i="6"/>
  <c r="E132" i="6"/>
  <c r="E131" i="6"/>
  <c r="F131" i="6" s="1"/>
  <c r="E130" i="6"/>
  <c r="F130" i="6" s="1"/>
  <c r="F129" i="6"/>
  <c r="E129" i="6"/>
  <c r="F128" i="6"/>
  <c r="E128" i="6"/>
  <c r="E127" i="6"/>
  <c r="F127" i="6" s="1"/>
  <c r="F126" i="6"/>
  <c r="E126" i="6"/>
  <c r="D124" i="6"/>
  <c r="E124" i="6"/>
  <c r="F124" i="6"/>
  <c r="C124" i="6"/>
  <c r="F123" i="6"/>
  <c r="E123" i="6"/>
  <c r="F122" i="6"/>
  <c r="E122" i="6"/>
  <c r="E121" i="6"/>
  <c r="F121" i="6" s="1"/>
  <c r="F120" i="6"/>
  <c r="E120" i="6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F108" i="6"/>
  <c r="E108" i="6"/>
  <c r="E107" i="6"/>
  <c r="F107" i="6" s="1"/>
  <c r="F106" i="6"/>
  <c r="E106" i="6"/>
  <c r="E105" i="6"/>
  <c r="F105" i="6" s="1"/>
  <c r="F104" i="6"/>
  <c r="E104" i="6"/>
  <c r="F103" i="6"/>
  <c r="E103" i="6"/>
  <c r="E102" i="6"/>
  <c r="F102" i="6" s="1"/>
  <c r="E101" i="6"/>
  <c r="F101" i="6" s="1"/>
  <c r="F100" i="6"/>
  <c r="E100" i="6"/>
  <c r="D94" i="6"/>
  <c r="C94" i="6"/>
  <c r="F94" i="6" s="1"/>
  <c r="D93" i="6"/>
  <c r="E93" i="6"/>
  <c r="C93" i="6"/>
  <c r="F93" i="6" s="1"/>
  <c r="D92" i="6"/>
  <c r="C92" i="6"/>
  <c r="D91" i="6"/>
  <c r="E91" i="6"/>
  <c r="F91" i="6"/>
  <c r="C91" i="6"/>
  <c r="D90" i="6"/>
  <c r="C90" i="6"/>
  <c r="D89" i="6"/>
  <c r="E89" i="6"/>
  <c r="F89" i="6"/>
  <c r="C89" i="6"/>
  <c r="D88" i="6"/>
  <c r="C88" i="6"/>
  <c r="D87" i="6"/>
  <c r="D95" i="6" s="1"/>
  <c r="E87" i="6"/>
  <c r="C87" i="6"/>
  <c r="F87" i="6" s="1"/>
  <c r="D86" i="6"/>
  <c r="E86" i="6"/>
  <c r="C86" i="6"/>
  <c r="D85" i="6"/>
  <c r="E85" i="6"/>
  <c r="F85" i="6"/>
  <c r="C85" i="6"/>
  <c r="D84" i="6"/>
  <c r="C84" i="6"/>
  <c r="D81" i="6"/>
  <c r="E81" i="6"/>
  <c r="F81" i="6"/>
  <c r="C81" i="6"/>
  <c r="F80" i="6"/>
  <c r="E80" i="6"/>
  <c r="F79" i="6"/>
  <c r="E79" i="6"/>
  <c r="E78" i="6"/>
  <c r="F78" i="6" s="1"/>
  <c r="F77" i="6"/>
  <c r="E77" i="6"/>
  <c r="E76" i="6"/>
  <c r="F76" i="6" s="1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E68" i="6" s="1"/>
  <c r="C68" i="6"/>
  <c r="F67" i="6"/>
  <c r="E67" i="6"/>
  <c r="F66" i="6"/>
  <c r="E66" i="6"/>
  <c r="F65" i="6"/>
  <c r="E65" i="6"/>
  <c r="E64" i="6"/>
  <c r="F64" i="6" s="1"/>
  <c r="E63" i="6"/>
  <c r="F63" i="6" s="1"/>
  <c r="E62" i="6"/>
  <c r="F62" i="6" s="1"/>
  <c r="F61" i="6"/>
  <c r="E61" i="6"/>
  <c r="F60" i="6"/>
  <c r="E60" i="6"/>
  <c r="F59" i="6"/>
  <c r="E59" i="6"/>
  <c r="E58" i="6"/>
  <c r="F58" i="6" s="1"/>
  <c r="F57" i="6"/>
  <c r="E57" i="6"/>
  <c r="D51" i="6"/>
  <c r="E51" i="6" s="1"/>
  <c r="C51" i="6"/>
  <c r="F51" i="6" s="1"/>
  <c r="D50" i="6"/>
  <c r="E50" i="6" s="1"/>
  <c r="C50" i="6"/>
  <c r="F50" i="6" s="1"/>
  <c r="D49" i="6"/>
  <c r="E49" i="6"/>
  <c r="F49" i="6" s="1"/>
  <c r="C49" i="6"/>
  <c r="D48" i="6"/>
  <c r="E48" i="6"/>
  <c r="F48" i="6" s="1"/>
  <c r="C48" i="6"/>
  <c r="D47" i="6"/>
  <c r="C47" i="6"/>
  <c r="E47" i="6" s="1"/>
  <c r="D46" i="6"/>
  <c r="E46" i="6"/>
  <c r="F46" i="6" s="1"/>
  <c r="C46" i="6"/>
  <c r="D45" i="6"/>
  <c r="C45" i="6"/>
  <c r="D44" i="6"/>
  <c r="E44" i="6"/>
  <c r="C44" i="6"/>
  <c r="F44" i="6" s="1"/>
  <c r="D43" i="6"/>
  <c r="E43" i="6"/>
  <c r="F43" i="6" s="1"/>
  <c r="C43" i="6"/>
  <c r="D42" i="6"/>
  <c r="E42" i="6"/>
  <c r="F42" i="6"/>
  <c r="C42" i="6"/>
  <c r="D41" i="6"/>
  <c r="D52" i="6"/>
  <c r="C41" i="6"/>
  <c r="D38" i="6"/>
  <c r="E38" i="6" s="1"/>
  <c r="C38" i="6"/>
  <c r="F38" i="6" s="1"/>
  <c r="F37" i="6"/>
  <c r="E37" i="6"/>
  <c r="F36" i="6"/>
  <c r="E36" i="6"/>
  <c r="F35" i="6"/>
  <c r="E35" i="6"/>
  <c r="E34" i="6"/>
  <c r="F34" i="6" s="1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C25" i="6"/>
  <c r="F24" i="6"/>
  <c r="E24" i="6"/>
  <c r="F23" i="6"/>
  <c r="E23" i="6"/>
  <c r="F22" i="6"/>
  <c r="E22" i="6"/>
  <c r="E21" i="6"/>
  <c r="F21" i="6" s="1"/>
  <c r="F20" i="6"/>
  <c r="E20" i="6"/>
  <c r="E19" i="6"/>
  <c r="F19" i="6" s="1"/>
  <c r="F18" i="6"/>
  <c r="E18" i="6"/>
  <c r="F17" i="6"/>
  <c r="E17" i="6"/>
  <c r="F16" i="6"/>
  <c r="E16" i="6"/>
  <c r="E15" i="6"/>
  <c r="F15" i="6" s="1"/>
  <c r="F14" i="6"/>
  <c r="E14" i="6"/>
  <c r="E51" i="5"/>
  <c r="F51" i="5" s="1"/>
  <c r="D48" i="5"/>
  <c r="C48" i="5"/>
  <c r="F47" i="5"/>
  <c r="E47" i="5"/>
  <c r="F46" i="5"/>
  <c r="E46" i="5"/>
  <c r="D41" i="5"/>
  <c r="E41" i="5" s="1"/>
  <c r="C41" i="5"/>
  <c r="F41" i="5" s="1"/>
  <c r="F40" i="5"/>
  <c r="E40" i="5"/>
  <c r="F39" i="5"/>
  <c r="E39" i="5"/>
  <c r="F38" i="5"/>
  <c r="E38" i="5"/>
  <c r="D33" i="5"/>
  <c r="E33" i="5"/>
  <c r="C33" i="5"/>
  <c r="F33" i="5" s="1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E25" i="5"/>
  <c r="F25" i="5" s="1"/>
  <c r="E24" i="5"/>
  <c r="F24" i="5" s="1"/>
  <c r="F20" i="5"/>
  <c r="E20" i="5"/>
  <c r="E19" i="5"/>
  <c r="F19" i="5" s="1"/>
  <c r="E17" i="5"/>
  <c r="F17" i="5" s="1"/>
  <c r="D16" i="5"/>
  <c r="E16" i="5"/>
  <c r="F16" i="5" s="1"/>
  <c r="C16" i="5"/>
  <c r="C18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F70" i="4"/>
  <c r="E70" i="4"/>
  <c r="F67" i="4"/>
  <c r="E67" i="4"/>
  <c r="F64" i="4"/>
  <c r="E64" i="4"/>
  <c r="E63" i="4"/>
  <c r="F63" i="4" s="1"/>
  <c r="D61" i="4"/>
  <c r="C61" i="4"/>
  <c r="C65" i="4"/>
  <c r="F60" i="4"/>
  <c r="E60" i="4"/>
  <c r="F59" i="4"/>
  <c r="E59" i="4"/>
  <c r="D56" i="4"/>
  <c r="E56" i="4" s="1"/>
  <c r="C56" i="4"/>
  <c r="E55" i="4"/>
  <c r="F55" i="4" s="1"/>
  <c r="F54" i="4"/>
  <c r="E54" i="4"/>
  <c r="E53" i="4"/>
  <c r="F53" i="4" s="1"/>
  <c r="F52" i="4"/>
  <c r="E52" i="4"/>
  <c r="F51" i="4"/>
  <c r="E51" i="4"/>
  <c r="A51" i="4"/>
  <c r="A52" i="4" s="1"/>
  <c r="A53" i="4" s="1"/>
  <c r="A54" i="4"/>
  <c r="A55" i="4"/>
  <c r="E50" i="4"/>
  <c r="F50" i="4" s="1"/>
  <c r="A50" i="4"/>
  <c r="F49" i="4"/>
  <c r="E49" i="4"/>
  <c r="E40" i="4"/>
  <c r="F40" i="4" s="1"/>
  <c r="D38" i="4"/>
  <c r="D41" i="4" s="1"/>
  <c r="C38" i="4"/>
  <c r="E37" i="4"/>
  <c r="F37" i="4" s="1"/>
  <c r="E36" i="4"/>
  <c r="F36" i="4" s="1"/>
  <c r="F33" i="4"/>
  <c r="E33" i="4"/>
  <c r="E32" i="4"/>
  <c r="F32" i="4" s="1"/>
  <c r="F31" i="4"/>
  <c r="E31" i="4"/>
  <c r="D29" i="4"/>
  <c r="E29" i="4"/>
  <c r="F29" i="4"/>
  <c r="C29" i="4"/>
  <c r="E28" i="4"/>
  <c r="F28" i="4" s="1"/>
  <c r="F27" i="4"/>
  <c r="E27" i="4"/>
  <c r="E26" i="4"/>
  <c r="F26" i="4" s="1"/>
  <c r="F25" i="4"/>
  <c r="E25" i="4"/>
  <c r="D22" i="4"/>
  <c r="E22" i="4"/>
  <c r="C22" i="4"/>
  <c r="E21" i="4"/>
  <c r="F21" i="4" s="1"/>
  <c r="E20" i="4"/>
  <c r="F20" i="4" s="1"/>
  <c r="F19" i="4"/>
  <c r="E19" i="4"/>
  <c r="F18" i="4"/>
  <c r="E18" i="4"/>
  <c r="F17" i="4"/>
  <c r="E17" i="4"/>
  <c r="E16" i="4"/>
  <c r="F16" i="4" s="1"/>
  <c r="F15" i="4"/>
  <c r="E15" i="4"/>
  <c r="E14" i="4"/>
  <c r="F14" i="4" s="1"/>
  <c r="F13" i="4"/>
  <c r="E13" i="4"/>
  <c r="C103" i="22"/>
  <c r="D22" i="22"/>
  <c r="C23" i="22"/>
  <c r="E23" i="22"/>
  <c r="E36" i="22" s="1"/>
  <c r="C34" i="22"/>
  <c r="E34" i="22"/>
  <c r="C102" i="22"/>
  <c r="C22" i="22"/>
  <c r="E22" i="22"/>
  <c r="C41" i="20"/>
  <c r="E39" i="20"/>
  <c r="F43" i="20"/>
  <c r="D20" i="20"/>
  <c r="E20" i="20" s="1"/>
  <c r="F20" i="20"/>
  <c r="D46" i="20"/>
  <c r="C22" i="19"/>
  <c r="E17" i="17"/>
  <c r="F17" i="17" s="1"/>
  <c r="E52" i="17"/>
  <c r="E58" i="17"/>
  <c r="E67" i="17"/>
  <c r="E23" i="17"/>
  <c r="E24" i="17"/>
  <c r="F24" i="17" s="1"/>
  <c r="E29" i="17"/>
  <c r="F29" i="17" s="1"/>
  <c r="E36" i="17"/>
  <c r="E44" i="17"/>
  <c r="F44" i="17" s="1"/>
  <c r="D192" i="17"/>
  <c r="D181" i="17"/>
  <c r="C283" i="18"/>
  <c r="C22" i="18"/>
  <c r="E22" i="18" s="1"/>
  <c r="E21" i="18"/>
  <c r="D33" i="18"/>
  <c r="E32" i="18"/>
  <c r="D43" i="18"/>
  <c r="C43" i="18"/>
  <c r="E283" i="18"/>
  <c r="D55" i="18"/>
  <c r="D284" i="18" s="1"/>
  <c r="E54" i="18"/>
  <c r="D289" i="18"/>
  <c r="E289" i="18"/>
  <c r="D71" i="18"/>
  <c r="D65" i="18"/>
  <c r="E60" i="18"/>
  <c r="E69" i="18"/>
  <c r="E294" i="17"/>
  <c r="E295" i="17"/>
  <c r="F295" i="17" s="1"/>
  <c r="E296" i="17"/>
  <c r="E297" i="17"/>
  <c r="E298" i="17"/>
  <c r="E299" i="17"/>
  <c r="F299" i="17" s="1"/>
  <c r="C294" i="18"/>
  <c r="E139" i="18"/>
  <c r="D144" i="18"/>
  <c r="C156" i="18"/>
  <c r="C157" i="18" s="1"/>
  <c r="C180" i="18"/>
  <c r="C211" i="18"/>
  <c r="E216" i="18"/>
  <c r="C229" i="18"/>
  <c r="C244" i="18"/>
  <c r="E244" i="18"/>
  <c r="C253" i="18"/>
  <c r="D302" i="18"/>
  <c r="E302" i="18" s="1"/>
  <c r="E265" i="18"/>
  <c r="C303" i="18"/>
  <c r="C306" i="18" s="1"/>
  <c r="C310" i="18" s="1"/>
  <c r="C261" i="18"/>
  <c r="C189" i="18"/>
  <c r="E188" i="18"/>
  <c r="D260" i="18"/>
  <c r="E260" i="18" s="1"/>
  <c r="D239" i="18"/>
  <c r="E239" i="18" s="1"/>
  <c r="D320" i="18"/>
  <c r="E320" i="18" s="1"/>
  <c r="E316" i="18"/>
  <c r="D330" i="18"/>
  <c r="E314" i="18"/>
  <c r="E301" i="18"/>
  <c r="C32" i="17"/>
  <c r="E68" i="17"/>
  <c r="F68" i="17" s="1"/>
  <c r="E77" i="17"/>
  <c r="E89" i="17"/>
  <c r="F89" i="17"/>
  <c r="E31" i="17"/>
  <c r="F31" i="17" s="1"/>
  <c r="D160" i="17"/>
  <c r="D90" i="17"/>
  <c r="E48" i="17"/>
  <c r="C61" i="17"/>
  <c r="C103" i="17"/>
  <c r="C138" i="17"/>
  <c r="D21" i="17"/>
  <c r="F23" i="17"/>
  <c r="F36" i="17"/>
  <c r="F52" i="17"/>
  <c r="F58" i="17"/>
  <c r="F67" i="17"/>
  <c r="E88" i="17"/>
  <c r="F88" i="17"/>
  <c r="E101" i="17"/>
  <c r="F101" i="17" s="1"/>
  <c r="E109" i="17"/>
  <c r="F109" i="17"/>
  <c r="C193" i="17"/>
  <c r="C192" i="17"/>
  <c r="E123" i="17"/>
  <c r="F123" i="17"/>
  <c r="C124" i="17"/>
  <c r="E144" i="17"/>
  <c r="F144" i="17"/>
  <c r="E158" i="17"/>
  <c r="E171" i="17"/>
  <c r="E179" i="17"/>
  <c r="C278" i="17"/>
  <c r="C262" i="17"/>
  <c r="C255" i="17"/>
  <c r="E255" i="17" s="1"/>
  <c r="C215" i="17"/>
  <c r="C280" i="17"/>
  <c r="C264" i="17"/>
  <c r="C200" i="17"/>
  <c r="D290" i="17"/>
  <c r="D274" i="17"/>
  <c r="E198" i="17"/>
  <c r="F198" i="17"/>
  <c r="D199" i="17"/>
  <c r="E199" i="17" s="1"/>
  <c r="F199" i="17" s="1"/>
  <c r="C21" i="17"/>
  <c r="E30" i="17"/>
  <c r="F30" i="17"/>
  <c r="E35" i="17"/>
  <c r="F35" i="17" s="1"/>
  <c r="C37" i="17"/>
  <c r="F37" i="17" s="1"/>
  <c r="E47" i="17"/>
  <c r="F47" i="17" s="1"/>
  <c r="E59" i="17"/>
  <c r="F59" i="17" s="1"/>
  <c r="E66" i="17"/>
  <c r="F66" i="17"/>
  <c r="E76" i="17"/>
  <c r="F76" i="17"/>
  <c r="D124" i="17"/>
  <c r="E124" i="17" s="1"/>
  <c r="F124" i="17" s="1"/>
  <c r="D277" i="17"/>
  <c r="D261" i="17"/>
  <c r="D214" i="17"/>
  <c r="D206" i="17"/>
  <c r="D278" i="17"/>
  <c r="D262" i="17"/>
  <c r="D215" i="17"/>
  <c r="D255" i="17" s="1"/>
  <c r="D190" i="17"/>
  <c r="D280" i="17"/>
  <c r="E191" i="17"/>
  <c r="F191" i="17" s="1"/>
  <c r="D264" i="17"/>
  <c r="D193" i="17"/>
  <c r="D194" i="17" s="1"/>
  <c r="D283" i="17"/>
  <c r="D267" i="17"/>
  <c r="D205" i="17"/>
  <c r="E205" i="17" s="1"/>
  <c r="F205" i="17" s="1"/>
  <c r="D227" i="17"/>
  <c r="D239" i="17"/>
  <c r="E239" i="17"/>
  <c r="F239" i="17"/>
  <c r="C199" i="17"/>
  <c r="C286" i="17"/>
  <c r="E203" i="17"/>
  <c r="F203" i="17" s="1"/>
  <c r="C205" i="17"/>
  <c r="E250" i="17"/>
  <c r="F250" i="17"/>
  <c r="C267" i="17"/>
  <c r="C270" i="17" s="1"/>
  <c r="C269" i="17"/>
  <c r="C272" i="17" s="1"/>
  <c r="C274" i="17"/>
  <c r="F296" i="17"/>
  <c r="F297" i="17"/>
  <c r="I17" i="14"/>
  <c r="D31" i="14"/>
  <c r="C33" i="14"/>
  <c r="C36" i="14" s="1"/>
  <c r="C38" i="14" s="1"/>
  <c r="C40" i="14" s="1"/>
  <c r="E33" i="14"/>
  <c r="E36" i="14" s="1"/>
  <c r="E38" i="14"/>
  <c r="E40" i="14" s="1"/>
  <c r="G33" i="14"/>
  <c r="E20" i="13"/>
  <c r="C21" i="13"/>
  <c r="D15" i="13"/>
  <c r="C17" i="13"/>
  <c r="C28" i="13" s="1"/>
  <c r="E17" i="13"/>
  <c r="E28" i="13" s="1"/>
  <c r="E70" i="13" s="1"/>
  <c r="E72" i="13" s="1"/>
  <c r="E69" i="13" s="1"/>
  <c r="F17" i="12"/>
  <c r="C20" i="12"/>
  <c r="D20" i="12"/>
  <c r="D34" i="12" s="1"/>
  <c r="D42" i="12" s="1"/>
  <c r="D49" i="12" s="1"/>
  <c r="E17" i="12"/>
  <c r="E15" i="12"/>
  <c r="F15" i="12" s="1"/>
  <c r="E41" i="11"/>
  <c r="F43" i="11"/>
  <c r="F41" i="11"/>
  <c r="E22" i="11"/>
  <c r="F22" i="11"/>
  <c r="E38" i="11"/>
  <c r="F38" i="11"/>
  <c r="E56" i="11"/>
  <c r="F56" i="11" s="1"/>
  <c r="E61" i="11"/>
  <c r="F61" i="11"/>
  <c r="E112" i="10"/>
  <c r="F206" i="9"/>
  <c r="E198" i="9"/>
  <c r="F198" i="9"/>
  <c r="E199" i="9"/>
  <c r="F199" i="9" s="1"/>
  <c r="D139" i="8"/>
  <c r="D137" i="8"/>
  <c r="D135" i="8"/>
  <c r="D141" i="8" s="1"/>
  <c r="D140" i="8"/>
  <c r="D136" i="8"/>
  <c r="D138" i="8"/>
  <c r="E15" i="8"/>
  <c r="E24" i="8" s="1"/>
  <c r="C140" i="8"/>
  <c r="C138" i="8"/>
  <c r="C136" i="8"/>
  <c r="D24" i="8"/>
  <c r="D20" i="8" s="1"/>
  <c r="D53" i="8"/>
  <c r="D43" i="8"/>
  <c r="D49" i="8"/>
  <c r="C88" i="8"/>
  <c r="C90" i="8"/>
  <c r="C86" i="8"/>
  <c r="C77" i="8"/>
  <c r="C71" i="8" s="1"/>
  <c r="E90" i="8"/>
  <c r="E86" i="8" s="1"/>
  <c r="E77" i="8"/>
  <c r="E71" i="8" s="1"/>
  <c r="C137" i="8"/>
  <c r="C135" i="8"/>
  <c r="C139" i="8"/>
  <c r="E157" i="8"/>
  <c r="E155" i="8"/>
  <c r="E156" i="8"/>
  <c r="E152" i="8"/>
  <c r="C49" i="8"/>
  <c r="E49" i="8"/>
  <c r="E90" i="7"/>
  <c r="E183" i="7"/>
  <c r="F183" i="7" s="1"/>
  <c r="F179" i="6"/>
  <c r="E41" i="6"/>
  <c r="F41" i="6" s="1"/>
  <c r="E84" i="6"/>
  <c r="F84" i="6"/>
  <c r="D18" i="5"/>
  <c r="D65" i="4"/>
  <c r="E45" i="22"/>
  <c r="E29" i="22"/>
  <c r="C54" i="22"/>
  <c r="C46" i="22"/>
  <c r="C40" i="22"/>
  <c r="C36" i="22"/>
  <c r="C30" i="22"/>
  <c r="C56" i="22" s="1"/>
  <c r="C53" i="22"/>
  <c r="C45" i="22"/>
  <c r="C39" i="22"/>
  <c r="C35" i="22"/>
  <c r="C29" i="22"/>
  <c r="C110" i="22"/>
  <c r="D53" i="22"/>
  <c r="D29" i="22"/>
  <c r="C169" i="18"/>
  <c r="C44" i="18"/>
  <c r="E33" i="18"/>
  <c r="D145" i="18"/>
  <c r="E144" i="18"/>
  <c r="E65" i="18"/>
  <c r="D66" i="18"/>
  <c r="E66" i="18"/>
  <c r="C168" i="18"/>
  <c r="D294" i="18"/>
  <c r="E294" i="18"/>
  <c r="E283" i="17"/>
  <c r="F283" i="17"/>
  <c r="E264" i="17"/>
  <c r="E278" i="17"/>
  <c r="F278" i="17" s="1"/>
  <c r="D254" i="17"/>
  <c r="C300" i="17"/>
  <c r="F264" i="17"/>
  <c r="C288" i="17"/>
  <c r="E32" i="17"/>
  <c r="F32" i="17" s="1"/>
  <c r="D271" i="17"/>
  <c r="D268" i="17"/>
  <c r="D263" i="17"/>
  <c r="D161" i="17"/>
  <c r="D162" i="17" s="1"/>
  <c r="D49" i="17"/>
  <c r="D50" i="17" s="1"/>
  <c r="D282" i="17"/>
  <c r="E37" i="17"/>
  <c r="E200" i="17"/>
  <c r="C62" i="17"/>
  <c r="C63" i="17" s="1"/>
  <c r="G36" i="14"/>
  <c r="G38" i="14"/>
  <c r="G40" i="14" s="1"/>
  <c r="D24" i="13"/>
  <c r="D17" i="13"/>
  <c r="D28" i="13"/>
  <c r="E140" i="8"/>
  <c r="E135" i="8"/>
  <c r="E17" i="8"/>
  <c r="D21" i="5"/>
  <c r="D75" i="4"/>
  <c r="D43" i="4"/>
  <c r="C48" i="22"/>
  <c r="C38" i="22"/>
  <c r="C37" i="22"/>
  <c r="C112" i="22"/>
  <c r="D295" i="18"/>
  <c r="E295" i="18" s="1"/>
  <c r="C98" i="18"/>
  <c r="C83" i="18"/>
  <c r="C88" i="18"/>
  <c r="D70" i="13"/>
  <c r="D72" i="13" s="1"/>
  <c r="D69" i="13" s="1"/>
  <c r="E112" i="8"/>
  <c r="E111" i="8" s="1"/>
  <c r="E28" i="8"/>
  <c r="E99" i="8" s="1"/>
  <c r="E101" i="8" s="1"/>
  <c r="E98" i="8" s="1"/>
  <c r="D35" i="5"/>
  <c r="D43" i="5"/>
  <c r="D50" i="5" s="1"/>
  <c r="C152" i="8" l="1"/>
  <c r="C154" i="8"/>
  <c r="C156" i="8"/>
  <c r="C155" i="8"/>
  <c r="C157" i="8"/>
  <c r="C153" i="8"/>
  <c r="D152" i="8"/>
  <c r="D153" i="8"/>
  <c r="D156" i="8"/>
  <c r="D155" i="8"/>
  <c r="D154" i="8"/>
  <c r="D157" i="8"/>
  <c r="F300" i="17"/>
  <c r="E52" i="6"/>
  <c r="E303" i="18"/>
  <c r="D306" i="18"/>
  <c r="C69" i="13"/>
  <c r="D287" i="17"/>
  <c r="D279" i="17"/>
  <c r="E145" i="18"/>
  <c r="D270" i="17"/>
  <c r="E270" i="17" s="1"/>
  <c r="F270" i="17" s="1"/>
  <c r="E43" i="18"/>
  <c r="D44" i="18"/>
  <c r="D259" i="18"/>
  <c r="C41" i="4"/>
  <c r="F47" i="6"/>
  <c r="E111" i="6"/>
  <c r="F111" i="6" s="1"/>
  <c r="D304" i="17"/>
  <c r="E277" i="17"/>
  <c r="C100" i="18"/>
  <c r="C85" i="18"/>
  <c r="C95" i="18"/>
  <c r="C99" i="18"/>
  <c r="C258" i="18"/>
  <c r="C101" i="18"/>
  <c r="C84" i="18"/>
  <c r="C96" i="18"/>
  <c r="C86" i="18"/>
  <c r="E47" i="22"/>
  <c r="E37" i="22"/>
  <c r="E158" i="8"/>
  <c r="D265" i="17"/>
  <c r="D300" i="17"/>
  <c r="E300" i="17" s="1"/>
  <c r="C126" i="17"/>
  <c r="C49" i="17"/>
  <c r="C140" i="17"/>
  <c r="D180" i="18"/>
  <c r="E180" i="18" s="1"/>
  <c r="D109" i="22"/>
  <c r="C21" i="5"/>
  <c r="E18" i="5"/>
  <c r="F18" i="5"/>
  <c r="F41" i="7"/>
  <c r="C15" i="8"/>
  <c r="C25" i="8"/>
  <c r="C27" i="8" s="1"/>
  <c r="F201" i="9"/>
  <c r="C208" i="9"/>
  <c r="E201" i="9"/>
  <c r="F31" i="14"/>
  <c r="H31" i="14" s="1"/>
  <c r="F33" i="14"/>
  <c r="H17" i="14"/>
  <c r="C266" i="17"/>
  <c r="C265" i="17" s="1"/>
  <c r="C282" i="17"/>
  <c r="C277" i="17"/>
  <c r="C261" i="17"/>
  <c r="C190" i="17"/>
  <c r="C254" i="17"/>
  <c r="E25" i="20"/>
  <c r="F25" i="20" s="1"/>
  <c r="C108" i="22"/>
  <c r="C109" i="22"/>
  <c r="C87" i="18"/>
  <c r="D284" i="17"/>
  <c r="C55" i="22"/>
  <c r="C47" i="22"/>
  <c r="C34" i="12"/>
  <c r="E34" i="12" s="1"/>
  <c r="E20" i="17"/>
  <c r="F20" i="17" s="1"/>
  <c r="E280" i="17"/>
  <c r="F280" i="17" s="1"/>
  <c r="D252" i="18"/>
  <c r="E92" i="6"/>
  <c r="F92" i="6"/>
  <c r="E36" i="9"/>
  <c r="F36" i="9"/>
  <c r="E49" i="9"/>
  <c r="F49" i="9" s="1"/>
  <c r="E207" i="9"/>
  <c r="F207" i="9" s="1"/>
  <c r="F108" i="10"/>
  <c r="E108" i="10"/>
  <c r="E49" i="17"/>
  <c r="C89" i="18"/>
  <c r="E55" i="22"/>
  <c r="D216" i="17"/>
  <c r="E65" i="4"/>
  <c r="F65" i="4" s="1"/>
  <c r="I33" i="14"/>
  <c r="I36" i="14" s="1"/>
  <c r="I38" i="14" s="1"/>
  <c r="I40" i="14" s="1"/>
  <c r="C194" i="17"/>
  <c r="E193" i="17"/>
  <c r="F193" i="17" s="1"/>
  <c r="F53" i="17"/>
  <c r="E324" i="18"/>
  <c r="F137" i="6"/>
  <c r="F23" i="9"/>
  <c r="E23" i="9"/>
  <c r="E90" i="6"/>
  <c r="F90" i="6" s="1"/>
  <c r="E138" i="8"/>
  <c r="E136" i="8"/>
  <c r="E141" i="8" s="1"/>
  <c r="E137" i="8"/>
  <c r="E139" i="8"/>
  <c r="E121" i="10"/>
  <c r="F121" i="10"/>
  <c r="D217" i="18"/>
  <c r="D242" i="18"/>
  <c r="E242" i="18" s="1"/>
  <c r="D222" i="18"/>
  <c r="C330" i="18"/>
  <c r="E330" i="18" s="1"/>
  <c r="E326" i="18"/>
  <c r="C64" i="19"/>
  <c r="C65" i="19" s="1"/>
  <c r="C114" i="19" s="1"/>
  <c r="C116" i="19" s="1"/>
  <c r="C119" i="19" s="1"/>
  <c r="C123" i="19" s="1"/>
  <c r="C49" i="19"/>
  <c r="C254" i="18"/>
  <c r="E251" i="18"/>
  <c r="E20" i="12"/>
  <c r="F20" i="12" s="1"/>
  <c r="E38" i="4"/>
  <c r="F38" i="4" s="1"/>
  <c r="E121" i="7"/>
  <c r="F121" i="7" s="1"/>
  <c r="D188" i="7"/>
  <c r="E21" i="5"/>
  <c r="E22" i="13"/>
  <c r="C105" i="17"/>
  <c r="C91" i="17"/>
  <c r="C111" i="22"/>
  <c r="C141" i="8"/>
  <c r="C206" i="17"/>
  <c r="D126" i="17"/>
  <c r="D91" i="17"/>
  <c r="D196" i="17"/>
  <c r="E21" i="17"/>
  <c r="F21" i="17" s="1"/>
  <c r="D35" i="22"/>
  <c r="D110" i="22"/>
  <c r="D45" i="22"/>
  <c r="D39" i="22"/>
  <c r="E41" i="4"/>
  <c r="E45" i="6"/>
  <c r="F45" i="6" s="1"/>
  <c r="E154" i="8"/>
  <c r="E153" i="8"/>
  <c r="E114" i="9"/>
  <c r="F114" i="9"/>
  <c r="E167" i="18"/>
  <c r="D229" i="18"/>
  <c r="E229" i="18" s="1"/>
  <c r="E205" i="18"/>
  <c r="D175" i="18"/>
  <c r="E175" i="18" s="1"/>
  <c r="D210" i="18"/>
  <c r="F255" i="17"/>
  <c r="D55" i="22"/>
  <c r="D112" i="22"/>
  <c r="D47" i="22"/>
  <c r="D37" i="22"/>
  <c r="E46" i="22"/>
  <c r="E30" i="22"/>
  <c r="E40" i="22"/>
  <c r="E54" i="22"/>
  <c r="F90" i="7"/>
  <c r="C95" i="7"/>
  <c r="C243" i="18"/>
  <c r="C252" i="18" s="1"/>
  <c r="C222" i="18"/>
  <c r="C217" i="18"/>
  <c r="C241" i="18" s="1"/>
  <c r="D245" i="18"/>
  <c r="E245" i="18" s="1"/>
  <c r="C22" i="13"/>
  <c r="C70" i="13"/>
  <c r="C72" i="13" s="1"/>
  <c r="E274" i="17"/>
  <c r="F274" i="17"/>
  <c r="C75" i="4"/>
  <c r="E88" i="6"/>
  <c r="F88" i="6"/>
  <c r="C95" i="6"/>
  <c r="E101" i="9"/>
  <c r="F101" i="9" s="1"/>
  <c r="E74" i="18"/>
  <c r="D76" i="18"/>
  <c r="E219" i="18"/>
  <c r="D22" i="8"/>
  <c r="C97" i="18"/>
  <c r="D112" i="8"/>
  <c r="D111" i="8" s="1"/>
  <c r="E267" i="17"/>
  <c r="F267" i="17" s="1"/>
  <c r="D125" i="17"/>
  <c r="E215" i="17"/>
  <c r="F215" i="17" s="1"/>
  <c r="E111" i="22"/>
  <c r="F200" i="17"/>
  <c r="C214" i="17"/>
  <c r="E22" i="8"/>
  <c r="E21" i="8"/>
  <c r="E20" i="8"/>
  <c r="E32" i="12"/>
  <c r="F32" i="12" s="1"/>
  <c r="D22" i="13"/>
  <c r="D20" i="13"/>
  <c r="D21" i="13"/>
  <c r="D137" i="17"/>
  <c r="E136" i="17"/>
  <c r="F136" i="17" s="1"/>
  <c r="E290" i="17"/>
  <c r="F290" i="17" s="1"/>
  <c r="D285" i="17"/>
  <c r="E204" i="17"/>
  <c r="F204" i="17" s="1"/>
  <c r="D269" i="17"/>
  <c r="E269" i="17" s="1"/>
  <c r="F269" i="17" s="1"/>
  <c r="C90" i="17"/>
  <c r="C125" i="17"/>
  <c r="D61" i="17"/>
  <c r="E60" i="17"/>
  <c r="F60" i="17" s="1"/>
  <c r="E192" i="17"/>
  <c r="F192" i="17" s="1"/>
  <c r="E53" i="22"/>
  <c r="E39" i="22"/>
  <c r="E35" i="22"/>
  <c r="E73" i="4"/>
  <c r="F73" i="4" s="1"/>
  <c r="E25" i="6"/>
  <c r="F25" i="6" s="1"/>
  <c r="C52" i="6"/>
  <c r="F167" i="7"/>
  <c r="F127" i="9"/>
  <c r="E127" i="9"/>
  <c r="D175" i="17"/>
  <c r="E77" i="22"/>
  <c r="E112" i="22" s="1"/>
  <c r="E101" i="22"/>
  <c r="E102" i="22"/>
  <c r="D266" i="17"/>
  <c r="E262" i="17"/>
  <c r="F262" i="17" s="1"/>
  <c r="C104" i="17"/>
  <c r="C139" i="17"/>
  <c r="E41" i="20"/>
  <c r="F41" i="20" s="1"/>
  <c r="F39" i="20"/>
  <c r="F35" i="7"/>
  <c r="F192" i="9"/>
  <c r="F17" i="16"/>
  <c r="D103" i="17"/>
  <c r="E103" i="17" s="1"/>
  <c r="F103" i="17" s="1"/>
  <c r="E102" i="17"/>
  <c r="F102" i="17" s="1"/>
  <c r="E42" i="18"/>
  <c r="C55" i="18"/>
  <c r="C234" i="18"/>
  <c r="D261" i="18"/>
  <c r="E261" i="18" s="1"/>
  <c r="D189" i="18"/>
  <c r="E189" i="18" s="1"/>
  <c r="C195" i="17"/>
  <c r="E227" i="17"/>
  <c r="F48" i="17"/>
  <c r="F56" i="4"/>
  <c r="F86" i="6"/>
  <c r="E94" i="6"/>
  <c r="F153" i="6"/>
  <c r="E35" i="7"/>
  <c r="E17" i="16"/>
  <c r="F120" i="17"/>
  <c r="F129" i="17"/>
  <c r="F226" i="17"/>
  <c r="C227" i="17"/>
  <c r="F294" i="17"/>
  <c r="F22" i="4"/>
  <c r="D122" i="10"/>
  <c r="E122" i="10" s="1"/>
  <c r="E113" i="10"/>
  <c r="F16" i="15"/>
  <c r="E95" i="17"/>
  <c r="F95" i="17" s="1"/>
  <c r="F180" i="17"/>
  <c r="E180" i="17"/>
  <c r="F61" i="4"/>
  <c r="F30" i="7"/>
  <c r="E41" i="7"/>
  <c r="D95" i="7"/>
  <c r="D86" i="8"/>
  <c r="E141" i="9"/>
  <c r="F141" i="9"/>
  <c r="E204" i="9"/>
  <c r="F204" i="9" s="1"/>
  <c r="D59" i="13"/>
  <c r="D61" i="13" s="1"/>
  <c r="D57" i="13" s="1"/>
  <c r="D48" i="13"/>
  <c r="D42" i="13" s="1"/>
  <c r="D195" i="17"/>
  <c r="E195" i="17" s="1"/>
  <c r="C181" i="17"/>
  <c r="E226" i="17"/>
  <c r="C113" i="22"/>
  <c r="D281" i="17"/>
  <c r="C235" i="18"/>
  <c r="E61" i="4"/>
  <c r="E48" i="5"/>
  <c r="F48" i="5" s="1"/>
  <c r="F68" i="6"/>
  <c r="F166" i="6"/>
  <c r="E30" i="7"/>
  <c r="E59" i="7"/>
  <c r="F59" i="7" s="1"/>
  <c r="C188" i="7"/>
  <c r="F50" i="9"/>
  <c r="E76" i="9"/>
  <c r="E102" i="9"/>
  <c r="F102" i="9" s="1"/>
  <c r="E59" i="10"/>
  <c r="F59" i="10"/>
  <c r="E40" i="20"/>
  <c r="F40" i="20" s="1"/>
  <c r="D41" i="20"/>
  <c r="D23" i="22"/>
  <c r="D33" i="22"/>
  <c r="D34" i="22"/>
  <c r="E75" i="9"/>
  <c r="E200" i="9"/>
  <c r="F200" i="9" s="1"/>
  <c r="E75" i="15"/>
  <c r="F73" i="15"/>
  <c r="F158" i="17"/>
  <c r="C159" i="17"/>
  <c r="C161" i="17" s="1"/>
  <c r="C71" i="18"/>
  <c r="E50" i="13"/>
  <c r="F100" i="17"/>
  <c r="E16" i="20"/>
  <c r="F16" i="20" s="1"/>
  <c r="E167" i="7"/>
  <c r="F128" i="9"/>
  <c r="F193" i="9"/>
  <c r="E83" i="10"/>
  <c r="E107" i="10"/>
  <c r="D75" i="11"/>
  <c r="E75" i="11" s="1"/>
  <c r="F75" i="11" s="1"/>
  <c r="F94" i="17"/>
  <c r="C111" i="17"/>
  <c r="E188" i="17"/>
  <c r="F188" i="17" s="1"/>
  <c r="E38" i="18"/>
  <c r="F44" i="20"/>
  <c r="C46" i="20"/>
  <c r="F46" i="20" s="1"/>
  <c r="F19" i="21"/>
  <c r="F203" i="9"/>
  <c r="C122" i="10"/>
  <c r="F122" i="10" s="1"/>
  <c r="E115" i="10"/>
  <c r="F75" i="15"/>
  <c r="F100" i="15"/>
  <c r="F171" i="17"/>
  <c r="C172" i="17"/>
  <c r="E37" i="18"/>
  <c r="E174" i="18"/>
  <c r="F205" i="9"/>
  <c r="E114" i="10"/>
  <c r="F73" i="11"/>
  <c r="E60" i="15"/>
  <c r="F13" i="16"/>
  <c r="E110" i="17"/>
  <c r="F110" i="17" s="1"/>
  <c r="E135" i="17"/>
  <c r="F135" i="17" s="1"/>
  <c r="F145" i="17"/>
  <c r="E155" i="17"/>
  <c r="E238" i="17"/>
  <c r="F238" i="17" s="1"/>
  <c r="D156" i="18"/>
  <c r="E278" i="18"/>
  <c r="F21" i="21"/>
  <c r="F202" i="9"/>
  <c r="E35" i="10"/>
  <c r="E117" i="10"/>
  <c r="F30" i="15"/>
  <c r="E92" i="15"/>
  <c r="F92" i="15" s="1"/>
  <c r="F130" i="17"/>
  <c r="E311" i="17"/>
  <c r="E70" i="18"/>
  <c r="D163" i="18"/>
  <c r="E163" i="18" s="1"/>
  <c r="E232" i="18"/>
  <c r="E290" i="18"/>
  <c r="C37" i="19"/>
  <c r="C38" i="19" s="1"/>
  <c r="C127" i="19" s="1"/>
  <c r="C129" i="19" s="1"/>
  <c r="C133" i="19" s="1"/>
  <c r="F45" i="20"/>
  <c r="D102" i="22"/>
  <c r="D103" i="22" s="1"/>
  <c r="C162" i="17" l="1"/>
  <c r="E161" i="17"/>
  <c r="F161" i="17"/>
  <c r="F265" i="17"/>
  <c r="D157" i="18"/>
  <c r="E156" i="18"/>
  <c r="D54" i="22"/>
  <c r="D36" i="22"/>
  <c r="D40" i="22"/>
  <c r="D30" i="22"/>
  <c r="D111" i="22"/>
  <c r="D46" i="22"/>
  <c r="F104" i="17"/>
  <c r="C160" i="17"/>
  <c r="E214" i="17"/>
  <c r="F214" i="17" s="1"/>
  <c r="C216" i="17"/>
  <c r="C304" i="17"/>
  <c r="F95" i="7"/>
  <c r="E126" i="17"/>
  <c r="F126" i="17" s="1"/>
  <c r="D127" i="17"/>
  <c r="F208" i="9"/>
  <c r="C127" i="17"/>
  <c r="D263" i="18"/>
  <c r="E95" i="6"/>
  <c r="F95" i="6" s="1"/>
  <c r="E111" i="17"/>
  <c r="F111" i="17" s="1"/>
  <c r="F195" i="17"/>
  <c r="D105" i="17"/>
  <c r="F52" i="6"/>
  <c r="E285" i="17"/>
  <c r="F285" i="17" s="1"/>
  <c r="D286" i="17"/>
  <c r="E286" i="17" s="1"/>
  <c r="F286" i="17" s="1"/>
  <c r="F206" i="17"/>
  <c r="E194" i="17"/>
  <c r="F194" i="17"/>
  <c r="C281" i="17"/>
  <c r="E281" i="17" s="1"/>
  <c r="E206" i="17"/>
  <c r="C102" i="18"/>
  <c r="D100" i="18"/>
  <c r="E100" i="18" s="1"/>
  <c r="E44" i="18"/>
  <c r="D86" i="18"/>
  <c r="E86" i="18" s="1"/>
  <c r="D84" i="18"/>
  <c r="D95" i="18"/>
  <c r="D89" i="18"/>
  <c r="E89" i="18" s="1"/>
  <c r="D83" i="18"/>
  <c r="D258" i="18"/>
  <c r="D96" i="18"/>
  <c r="D88" i="18"/>
  <c r="E88" i="18" s="1"/>
  <c r="D101" i="18"/>
  <c r="E101" i="18" s="1"/>
  <c r="D97" i="18"/>
  <c r="E97" i="18" s="1"/>
  <c r="D87" i="18"/>
  <c r="E87" i="18" s="1"/>
  <c r="D99" i="18"/>
  <c r="E99" i="18" s="1"/>
  <c r="D98" i="18"/>
  <c r="E98" i="18" s="1"/>
  <c r="D85" i="18"/>
  <c r="E85" i="18" s="1"/>
  <c r="D272" i="17"/>
  <c r="D176" i="17"/>
  <c r="E282" i="17"/>
  <c r="F282" i="17" s="1"/>
  <c r="E243" i="18"/>
  <c r="C21" i="8"/>
  <c r="C20" i="8"/>
  <c r="D168" i="18"/>
  <c r="E168" i="18" s="1"/>
  <c r="C90" i="18"/>
  <c r="C91" i="18" s="1"/>
  <c r="E287" i="17"/>
  <c r="D291" i="17"/>
  <c r="F227" i="17"/>
  <c r="F34" i="12"/>
  <c r="C42" i="12"/>
  <c r="E265" i="17"/>
  <c r="E61" i="17"/>
  <c r="F61" i="17" s="1"/>
  <c r="D174" i="17"/>
  <c r="D62" i="17"/>
  <c r="D104" i="17"/>
  <c r="E104" i="17" s="1"/>
  <c r="D77" i="18"/>
  <c r="E38" i="22"/>
  <c r="E48" i="22"/>
  <c r="E113" i="22"/>
  <c r="E56" i="22"/>
  <c r="E137" i="17"/>
  <c r="F137" i="17" s="1"/>
  <c r="D207" i="17"/>
  <c r="D138" i="17"/>
  <c r="E210" i="18"/>
  <c r="D211" i="18"/>
  <c r="D234" i="18"/>
  <c r="E234" i="18" s="1"/>
  <c r="E217" i="18"/>
  <c r="D241" i="18"/>
  <c r="E241" i="18" s="1"/>
  <c r="E190" i="17"/>
  <c r="F190" i="17" s="1"/>
  <c r="F36" i="14"/>
  <c r="F38" i="14" s="1"/>
  <c r="F40" i="14" s="1"/>
  <c r="H33" i="14"/>
  <c r="H36" i="14" s="1"/>
  <c r="H38" i="14" s="1"/>
  <c r="H40" i="14" s="1"/>
  <c r="F49" i="17"/>
  <c r="C50" i="17"/>
  <c r="D310" i="18"/>
  <c r="E310" i="18" s="1"/>
  <c r="E306" i="18"/>
  <c r="F188" i="7"/>
  <c r="F181" i="17"/>
  <c r="E181" i="17"/>
  <c r="F75" i="4"/>
  <c r="E75" i="4"/>
  <c r="E222" i="18"/>
  <c r="D223" i="18"/>
  <c r="D246" i="18"/>
  <c r="E246" i="18" s="1"/>
  <c r="F266" i="17"/>
  <c r="C141" i="17"/>
  <c r="E304" i="17"/>
  <c r="E95" i="7"/>
  <c r="C92" i="17"/>
  <c r="E254" i="17"/>
  <c r="F254" i="17"/>
  <c r="F172" i="17"/>
  <c r="C207" i="17"/>
  <c r="C173" i="17"/>
  <c r="C284" i="18"/>
  <c r="E284" i="18" s="1"/>
  <c r="E55" i="18"/>
  <c r="E103" i="22"/>
  <c r="E90" i="17"/>
  <c r="F90" i="17" s="1"/>
  <c r="E125" i="17"/>
  <c r="F125" i="17" s="1"/>
  <c r="C223" i="18"/>
  <c r="C247" i="18" s="1"/>
  <c r="C246" i="18"/>
  <c r="E196" i="17"/>
  <c r="D197" i="17"/>
  <c r="C106" i="17"/>
  <c r="E252" i="18"/>
  <c r="C268" i="17"/>
  <c r="C263" i="17"/>
  <c r="E261" i="17"/>
  <c r="F261" i="17" s="1"/>
  <c r="C271" i="17"/>
  <c r="C196" i="17"/>
  <c r="C103" i="18"/>
  <c r="C43" i="4"/>
  <c r="F41" i="4"/>
  <c r="C158" i="8"/>
  <c r="E159" i="17"/>
  <c r="F159" i="17"/>
  <c r="E188" i="7"/>
  <c r="C17" i="8"/>
  <c r="C24" i="8"/>
  <c r="E266" i="17"/>
  <c r="D253" i="18"/>
  <c r="E253" i="18" s="1"/>
  <c r="E208" i="9"/>
  <c r="C76" i="18"/>
  <c r="E71" i="18"/>
  <c r="D288" i="17"/>
  <c r="E288" i="17" s="1"/>
  <c r="F288" i="17" s="1"/>
  <c r="E109" i="22"/>
  <c r="E108" i="22"/>
  <c r="E110" i="22"/>
  <c r="E172" i="17"/>
  <c r="D92" i="17"/>
  <c r="E91" i="17"/>
  <c r="F91" i="17" s="1"/>
  <c r="E284" i="17"/>
  <c r="C284" i="17"/>
  <c r="F277" i="17"/>
  <c r="C287" i="17"/>
  <c r="C279" i="17"/>
  <c r="C35" i="5"/>
  <c r="F21" i="5"/>
  <c r="D158" i="8"/>
  <c r="D305" i="17" l="1"/>
  <c r="D103" i="18"/>
  <c r="E103" i="18" s="1"/>
  <c r="E95" i="18"/>
  <c r="C77" i="18"/>
  <c r="C259" i="18"/>
  <c r="F263" i="17"/>
  <c r="E263" i="17"/>
  <c r="C322" i="17"/>
  <c r="E138" i="17"/>
  <c r="F138" i="17" s="1"/>
  <c r="D140" i="17"/>
  <c r="D90" i="18"/>
  <c r="E90" i="18" s="1"/>
  <c r="E84" i="18"/>
  <c r="E127" i="17"/>
  <c r="D113" i="17"/>
  <c r="D324" i="17"/>
  <c r="E92" i="17"/>
  <c r="E268" i="17"/>
  <c r="F268" i="17" s="1"/>
  <c r="D208" i="17"/>
  <c r="E207" i="17"/>
  <c r="E76" i="18"/>
  <c r="C105" i="18"/>
  <c r="D183" i="17"/>
  <c r="D323" i="17"/>
  <c r="E160" i="17"/>
  <c r="F160" i="17" s="1"/>
  <c r="E43" i="4"/>
  <c r="F43" i="4" s="1"/>
  <c r="D254" i="18"/>
  <c r="E254" i="18" s="1"/>
  <c r="E223" i="18"/>
  <c r="D247" i="18"/>
  <c r="E247" i="18" s="1"/>
  <c r="E216" i="17"/>
  <c r="F216" i="17" s="1"/>
  <c r="F304" i="17"/>
  <c r="F35" i="5"/>
  <c r="C43" i="5"/>
  <c r="E35" i="5"/>
  <c r="C175" i="17"/>
  <c r="F173" i="17"/>
  <c r="E173" i="17"/>
  <c r="C174" i="17"/>
  <c r="C324" i="17"/>
  <c r="C113" i="17"/>
  <c r="F92" i="17"/>
  <c r="D121" i="18"/>
  <c r="D124" i="18"/>
  <c r="D109" i="18"/>
  <c r="D112" i="18"/>
  <c r="D113" i="18"/>
  <c r="D127" i="18"/>
  <c r="D122" i="18"/>
  <c r="D115" i="18"/>
  <c r="D125" i="18"/>
  <c r="D111" i="18"/>
  <c r="D114" i="18"/>
  <c r="D110" i="18"/>
  <c r="D126" i="18"/>
  <c r="D123" i="18"/>
  <c r="E157" i="18"/>
  <c r="D169" i="18"/>
  <c r="E169" i="18" s="1"/>
  <c r="F279" i="17"/>
  <c r="F207" i="17"/>
  <c r="C208" i="17"/>
  <c r="E279" i="17"/>
  <c r="D102" i="18"/>
  <c r="E102" i="18" s="1"/>
  <c r="E96" i="18"/>
  <c r="F287" i="17"/>
  <c r="C291" i="17"/>
  <c r="C289" i="17"/>
  <c r="D139" i="17"/>
  <c r="E139" i="17" s="1"/>
  <c r="F139" i="17" s="1"/>
  <c r="D264" i="18"/>
  <c r="E258" i="18"/>
  <c r="C112" i="8"/>
  <c r="C111" i="8" s="1"/>
  <c r="C28" i="8"/>
  <c r="F196" i="17"/>
  <c r="F50" i="17"/>
  <c r="C70" i="17"/>
  <c r="E50" i="17"/>
  <c r="E62" i="17"/>
  <c r="F62" i="17" s="1"/>
  <c r="D63" i="17"/>
  <c r="E83" i="18"/>
  <c r="D113" i="22"/>
  <c r="D48" i="22"/>
  <c r="D38" i="22"/>
  <c r="D56" i="22"/>
  <c r="C49" i="12"/>
  <c r="E42" i="12"/>
  <c r="F42" i="12" s="1"/>
  <c r="E272" i="17"/>
  <c r="F272" i="17" s="1"/>
  <c r="D273" i="17"/>
  <c r="F284" i="17"/>
  <c r="C273" i="17"/>
  <c r="E271" i="17"/>
  <c r="F271" i="17" s="1"/>
  <c r="F106" i="17"/>
  <c r="E211" i="18"/>
  <c r="D235" i="18"/>
  <c r="E235" i="18" s="1"/>
  <c r="D181" i="18"/>
  <c r="E181" i="18" s="1"/>
  <c r="E174" i="17"/>
  <c r="D289" i="17"/>
  <c r="E289" i="17" s="1"/>
  <c r="F281" i="17"/>
  <c r="D106" i="17"/>
  <c r="E106" i="17" s="1"/>
  <c r="E105" i="17"/>
  <c r="F105" i="17" s="1"/>
  <c r="C148" i="17"/>
  <c r="C197" i="17"/>
  <c r="F127" i="17"/>
  <c r="F162" i="17"/>
  <c r="E162" i="17"/>
  <c r="E109" i="18" l="1"/>
  <c r="C263" i="18"/>
  <c r="E259" i="18"/>
  <c r="E273" i="17"/>
  <c r="F273" i="17" s="1"/>
  <c r="C305" i="17"/>
  <c r="F175" i="17"/>
  <c r="C176" i="17"/>
  <c r="E175" i="17"/>
  <c r="D141" i="17"/>
  <c r="E140" i="17"/>
  <c r="F140" i="17" s="1"/>
  <c r="C126" i="18"/>
  <c r="C124" i="18"/>
  <c r="E124" i="18" s="1"/>
  <c r="C127" i="18"/>
  <c r="E127" i="18" s="1"/>
  <c r="C113" i="18"/>
  <c r="E113" i="18" s="1"/>
  <c r="C111" i="18"/>
  <c r="C109" i="18"/>
  <c r="C112" i="18"/>
  <c r="E112" i="18" s="1"/>
  <c r="C122" i="18"/>
  <c r="C121" i="18"/>
  <c r="C115" i="18"/>
  <c r="C123" i="18"/>
  <c r="C114" i="18"/>
  <c r="E114" i="18" s="1"/>
  <c r="C110" i="18"/>
  <c r="C125" i="18"/>
  <c r="E125" i="18" s="1"/>
  <c r="D91" i="18"/>
  <c r="C99" i="8"/>
  <c r="C101" i="8" s="1"/>
  <c r="C98" i="8" s="1"/>
  <c r="C22" i="8"/>
  <c r="E115" i="18"/>
  <c r="E121" i="18"/>
  <c r="C210" i="17"/>
  <c r="C209" i="17"/>
  <c r="E111" i="18"/>
  <c r="E123" i="18"/>
  <c r="E126" i="18"/>
  <c r="E77" i="18"/>
  <c r="E197" i="17"/>
  <c r="F197" i="17" s="1"/>
  <c r="E305" i="17"/>
  <c r="D309" i="17"/>
  <c r="E208" i="17"/>
  <c r="F208" i="17" s="1"/>
  <c r="D210" i="17"/>
  <c r="D209" i="17"/>
  <c r="E209" i="17" s="1"/>
  <c r="F289" i="17"/>
  <c r="D128" i="18"/>
  <c r="D129" i="18" s="1"/>
  <c r="E122" i="18"/>
  <c r="F43" i="5"/>
  <c r="C50" i="5"/>
  <c r="E43" i="5"/>
  <c r="E324" i="17"/>
  <c r="F324" i="17" s="1"/>
  <c r="E63" i="17"/>
  <c r="F63" i="17" s="1"/>
  <c r="D70" i="17"/>
  <c r="E70" i="17" s="1"/>
  <c r="F70" i="17" s="1"/>
  <c r="E113" i="17"/>
  <c r="F113" i="17" s="1"/>
  <c r="F49" i="12"/>
  <c r="E49" i="12"/>
  <c r="D266" i="18"/>
  <c r="D116" i="18"/>
  <c r="E110" i="18"/>
  <c r="F174" i="17"/>
  <c r="E291" i="17"/>
  <c r="F291" i="17" s="1"/>
  <c r="E50" i="5" l="1"/>
  <c r="F50" i="5" s="1"/>
  <c r="D322" i="17"/>
  <c r="E141" i="17"/>
  <c r="F141" i="17" s="1"/>
  <c r="D148" i="17"/>
  <c r="E148" i="17" s="1"/>
  <c r="F148" i="17" s="1"/>
  <c r="E128" i="18"/>
  <c r="F176" i="17"/>
  <c r="C323" i="17"/>
  <c r="C211" i="17"/>
  <c r="E176" i="17"/>
  <c r="C183" i="17"/>
  <c r="D310" i="17"/>
  <c r="C116" i="18"/>
  <c r="E116" i="18" s="1"/>
  <c r="C264" i="18"/>
  <c r="E263" i="18"/>
  <c r="D117" i="18"/>
  <c r="D267" i="18"/>
  <c r="F209" i="17"/>
  <c r="E210" i="17"/>
  <c r="D211" i="17"/>
  <c r="F210" i="17"/>
  <c r="D105" i="18"/>
  <c r="E105" i="18" s="1"/>
  <c r="E91" i="18"/>
  <c r="C128" i="18"/>
  <c r="C129" i="18" s="1"/>
  <c r="E129" i="18" s="1"/>
  <c r="C309" i="17"/>
  <c r="F305" i="17"/>
  <c r="C310" i="17" l="1"/>
  <c r="D312" i="17"/>
  <c r="E310" i="17"/>
  <c r="C117" i="18"/>
  <c r="C131" i="18" s="1"/>
  <c r="E309" i="17"/>
  <c r="F309" i="17" s="1"/>
  <c r="E117" i="18"/>
  <c r="D131" i="18"/>
  <c r="E131" i="18" s="1"/>
  <c r="F183" i="17"/>
  <c r="E183" i="17"/>
  <c r="D269" i="18"/>
  <c r="D268" i="18"/>
  <c r="E322" i="17"/>
  <c r="F322" i="17" s="1"/>
  <c r="D325" i="17"/>
  <c r="E325" i="17" s="1"/>
  <c r="C266" i="18"/>
  <c r="E264" i="18"/>
  <c r="E211" i="17"/>
  <c r="F211" i="17" s="1"/>
  <c r="F323" i="17"/>
  <c r="C325" i="17"/>
  <c r="E323" i="17"/>
  <c r="C267" i="18" l="1"/>
  <c r="E266" i="18"/>
  <c r="F325" i="17"/>
  <c r="D271" i="18"/>
  <c r="E312" i="17"/>
  <c r="D313" i="17"/>
  <c r="F310" i="17"/>
  <c r="C312" i="17"/>
  <c r="D314" i="17" l="1"/>
  <c r="D315" i="17"/>
  <c r="D251" i="17"/>
  <c r="D256" i="17"/>
  <c r="F312" i="17"/>
  <c r="C313" i="17"/>
  <c r="C269" i="18"/>
  <c r="E269" i="18" s="1"/>
  <c r="C268" i="18"/>
  <c r="E267" i="18"/>
  <c r="C314" i="17" l="1"/>
  <c r="F313" i="17"/>
  <c r="C251" i="17"/>
  <c r="C315" i="17"/>
  <c r="C256" i="17"/>
  <c r="D257" i="17"/>
  <c r="E256" i="17"/>
  <c r="E251" i="17"/>
  <c r="E313" i="17"/>
  <c r="C271" i="18"/>
  <c r="E271" i="18" s="1"/>
  <c r="E268" i="18"/>
  <c r="E315" i="17"/>
  <c r="E314" i="17"/>
  <c r="D318" i="17"/>
  <c r="C257" i="17" l="1"/>
  <c r="F256" i="17"/>
  <c r="F315" i="17"/>
  <c r="F251" i="17"/>
  <c r="C318" i="17"/>
  <c r="F314" i="17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<sst xmlns="http://schemas.openxmlformats.org/spreadsheetml/2006/main" count="2333" uniqueCount="1007">
  <si>
    <t>GRIFFIN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</si>
  <si>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</si>
  <si>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</si>
  <si>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</si>
  <si>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</si>
  <si>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</si>
  <si>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</si>
  <si>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</si>
  <si>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</si>
  <si>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</si>
  <si>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</si>
  <si>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</si>
  <si>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</si>
  <si>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</si>
  <si>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</si>
  <si>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</si>
  <si>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</si>
  <si>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</si>
  <si>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</si>
  <si>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</si>
  <si>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</si>
  <si>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</si>
  <si>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</si>
  <si>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</si>
  <si>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</si>
  <si>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</si>
  <si>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</si>
  <si>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</si>
  <si>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</si>
  <si>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</si>
  <si>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</si>
  <si>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</si>
  <si>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</si>
  <si>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</si>
  <si>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</si>
  <si>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</si>
  <si>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</si>
  <si>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</si>
  <si>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</si>
  <si>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</si>
  <si>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</si>
  <si>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</si>
  <si>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</si>
  <si>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</si>
  <si>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</si>
  <si>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</si>
  <si>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</si>
  <si>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</si>
  <si>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</si>
  <si>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</si>
  <si>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</si>
  <si>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</si>
  <si>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</si>
  <si>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</si>
  <si>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</si>
  <si>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</si>
  <si>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</si>
  <si>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</si>
  <si>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</si>
  <si>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</si>
  <si>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</si>
  <si>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</si>
  <si>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</si>
  <si>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</si>
  <si>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</si>
  <si>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</si>
  <si>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</si>
  <si>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</si>
  <si>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</si>
  <si>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</si>
  <si>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</si>
  <si>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</si>
  <si>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</si>
  <si>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</si>
  <si>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</si>
  <si>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</si>
  <si>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</si>
  <si>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</si>
  <si>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</si>
  <si>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</si>
  <si>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</si>
  <si>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</si>
  <si>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</si>
  <si>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</si>
  <si>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</si>
  <si>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</si>
  <si>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</si>
  <si>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</si>
  <si>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</si>
  <si>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</si>
  <si>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</si>
  <si>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</si>
  <si>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</si>
  <si>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</si>
  <si>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</si>
  <si>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</si>
  <si>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</si>
  <si>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</si>
  <si>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</si>
  <si>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</si>
  <si>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</si>
  <si>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</si>
  <si>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</si>
  <si>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</si>
  <si>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</si>
  <si>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</si>
  <si>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</si>
  <si>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</si>
  <si>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</si>
  <si>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</si>
  <si>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</si>
  <si>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</si>
  <si>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</si>
  <si>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</si>
  <si>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</si>
  <si>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</si>
  <si>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</si>
  <si>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</si>
  <si>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</si>
  <si>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</si>
  <si>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</si>
  <si>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</si>
  <si>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</si>
  <si>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</si>
  <si>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</si>
  <si>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</si>
  <si>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</si>
  <si>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</si>
  <si>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</si>
  <si>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</si>
  <si>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</si>
  <si>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</si>
  <si>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</si>
  <si>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</si>
  <si>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</si>
  <si>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</si>
  <si>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</si>
  <si>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</si>
  <si>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</si>
  <si>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</si>
  <si>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</si>
  <si>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</si>
  <si>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</si>
  <si>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</si>
  <si>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</si>
  <si>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</si>
  <si>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</si>
  <si>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</si>
  <si>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</si>
  <si>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</si>
  <si>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</si>
  <si>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</si>
  <si>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</si>
  <si>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</si>
  <si>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</si>
  <si>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</si>
  <si>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</si>
  <si>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</si>
  <si>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</si>
  <si>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</si>
  <si>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</si>
  <si>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</si>
  <si>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</si>
  <si>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</si>
  <si>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</si>
  <si>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</si>
  <si>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</si>
  <si>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</si>
  <si>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</si>
  <si>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</si>
  <si>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</si>
  <si>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</si>
  <si>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</si>
  <si>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</si>
  <si>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</si>
  <si>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</si>
  <si>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</si>
  <si>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</si>
  <si>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</si>
  <si>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</si>
  <si>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</si>
  <si>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</si>
  <si>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</si>
  <si>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</si>
  <si>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</si>
  <si>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</si>
  <si>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</si>
  <si>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</si>
  <si>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</si>
  <si>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</si>
  <si>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</si>
  <si>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</si>
  <si>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</si>
  <si>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</si>
  <si>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</si>
  <si>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</si>
  <si>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</si>
  <si>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</si>
  <si>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</si>
  <si>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</si>
  <si>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</si>
  <si>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</si>
  <si>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</si>
  <si>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</si>
  <si>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</si>
  <si>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</si>
  <si>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</si>
  <si>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</si>
  <si>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</si>
  <si>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</si>
  <si>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</si>
  <si>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</si>
  <si>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</si>
  <si>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</si>
  <si>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</si>
  <si>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</si>
  <si>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</si>
  <si>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</si>
  <si>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</si>
  <si>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</si>
  <si>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</si>
  <si>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</si>
  <si>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</si>
  <si>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</si>
  <si>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</si>
  <si>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</si>
  <si>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</si>
  <si>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</si>
  <si>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</si>
  <si>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</si>
  <si>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</si>
  <si>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</si>
  <si>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</si>
  <si>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</si>
  <si>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</si>
  <si>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</si>
  <si>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</si>
  <si>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</si>
  <si>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</si>
  <si>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</si>
  <si>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</si>
  <si>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</si>
  <si>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</si>
  <si>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</si>
  <si>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</si>
  <si>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</si>
  <si>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</si>
  <si>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</si>
  <si>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</si>
  <si>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</si>
  <si>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</si>
  <si>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</si>
  <si>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</si>
  <si>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</si>
  <si>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</si>
  <si>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</si>
  <si>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</si>
  <si>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</si>
  <si>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</si>
  <si>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</si>
  <si>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</si>
  <si>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</si>
  <si>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</si>
  <si>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</si>
  <si>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</si>
  <si>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</si>
  <si>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</si>
  <si>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</si>
  <si>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</si>
  <si>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</si>
  <si>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</si>
  <si>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</si>
  <si>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</si>
  <si>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</si>
  <si>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</si>
  <si>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</si>
  <si>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</si>
  <si>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</si>
  <si>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</si>
  <si>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</si>
  <si>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</si>
  <si>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</si>
  <si>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</si>
  <si>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</si>
  <si>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</si>
  <si>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</si>
  <si>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</si>
  <si>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</si>
  <si>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</si>
  <si>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</si>
  <si>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</si>
  <si>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</si>
  <si>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</si>
  <si>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</si>
  <si>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</si>
  <si>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</si>
  <si>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</si>
  <si>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</si>
  <si>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</si>
  <si>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</si>
  <si>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</si>
  <si>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</si>
  <si>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</si>
  <si>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</si>
  <si>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</si>
  <si>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</si>
  <si>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</si>
  <si>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</si>
  <si>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</si>
  <si>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</si>
  <si>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</si>
  <si>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</si>
  <si>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</si>
  <si>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</si>
  <si>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</si>
  <si>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</si>
  <si>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</si>
  <si>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</si>
  <si>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</si>
  <si>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</si>
  <si>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</si>
  <si>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</si>
  <si>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</si>
  <si>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</si>
  <si>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</si>
  <si>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</si>
  <si>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</si>
  <si>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</si>
  <si>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</si>
  <si>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</si>
  <si>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</si>
  <si>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</si>
  <si>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</si>
  <si>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</si>
  <si>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</si>
  <si>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</si>
  <si>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</si>
  <si>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</si>
  <si>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</si>
  <si>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</si>
  <si>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</si>
  <si>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</si>
  <si>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</si>
  <si>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</si>
  <si>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</si>
  <si>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</si>
  <si>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</si>
  <si>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</si>
  <si>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</si>
  <si>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</si>
  <si>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</si>
  <si>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</si>
  <si>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</si>
  <si>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</si>
  <si>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</si>
  <si>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</si>
  <si>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</si>
  <si>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</si>
  <si>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</si>
  <si>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</si>
  <si>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</si>
  <si>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</si>
  <si>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</si>
  <si>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</si>
  <si>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</si>
  <si>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</si>
  <si>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</si>
  <si>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</si>
  <si>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</si>
  <si>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</si>
  <si>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</si>
  <si>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</si>
  <si>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</si>
  <si>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</si>
  <si>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</si>
  <si>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</si>
  <si>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</si>
  <si>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</si>
  <si>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</si>
  <si>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</si>
  <si>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</si>
  <si>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</si>
  <si>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</si>
  <si>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</si>
  <si>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</si>
  <si>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</si>
  <si>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</si>
  <si>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</si>
  <si>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</si>
  <si>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</si>
  <si>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</si>
  <si>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</si>
  <si>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</si>
  <si>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</si>
  <si>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</si>
  <si>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</si>
  <si>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</si>
  <si>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</si>
  <si>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</si>
  <si>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</si>
  <si>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</si>
  <si>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</si>
  <si>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</si>
  <si>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</si>
  <si>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</si>
  <si>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</si>
  <si>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</si>
  <si>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</si>
  <si>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</si>
  <si>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</si>
  <si>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</si>
  <si>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</si>
  <si>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</si>
  <si>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</si>
  <si>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</si>
  <si>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</si>
  <si>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</si>
  <si>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</si>
  <si>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</si>
  <si>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</si>
  <si>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</si>
  <si>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</si>
  <si>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</si>
  <si>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</si>
  <si>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</si>
  <si>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</si>
  <si>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</si>
  <si>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</si>
  <si>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</si>
  <si>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</si>
  <si>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</si>
  <si>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</si>
  <si>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</si>
  <si>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</si>
  <si>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</si>
  <si>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</si>
  <si>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</si>
  <si>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</si>
  <si>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</si>
  <si>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</si>
  <si>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</si>
  <si>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</si>
  <si>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</si>
  <si>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</si>
  <si>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</si>
  <si>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</si>
  <si>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</si>
  <si>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</si>
  <si>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</si>
  <si>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</si>
  <si>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</si>
  <si>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</si>
  <si>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</si>
  <si>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</si>
  <si>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</si>
  <si>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</si>
  <si>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</si>
  <si>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</si>
  <si>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</si>
  <si>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</si>
  <si>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</si>
  <si>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</si>
  <si>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</si>
  <si>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</si>
  <si>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</si>
  <si>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</si>
  <si>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</si>
  <si>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</si>
  <si>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</si>
  <si>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</si>
  <si>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</si>
  <si>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</si>
  <si>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</si>
  <si>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</si>
  <si>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</si>
  <si>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</si>
  <si>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</si>
  <si>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</si>
  <si>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</si>
  <si>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</si>
  <si>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</si>
  <si>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</si>
  <si>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</si>
  <si>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</si>
  <si>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</si>
  <si>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</si>
  <si>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</si>
  <si>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</si>
  <si>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</si>
  <si>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</si>
  <si>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</si>
  <si>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</si>
  <si>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</si>
  <si>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</si>
  <si>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</si>
  <si>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</si>
  <si>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</si>
  <si>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</si>
  <si>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</si>
  <si>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</si>
  <si>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GRIFFIN HEALTH SERVICES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</si>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</sst>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7492599</v>
      </c>
      <c r="D13" s="22">
        <v>6748148</v>
      </c>
      <c r="E13" s="22">
        <f t="shared" ref="E13:E22" si="0">D13-C13</f>
        <v>-744451</v>
      </c>
      <c r="F13" s="23">
        <f t="shared" ref="F13:F22" si="1">IF(C13=0,0,E13/C13)</f>
        <v>-9.9358179985342868E-2</v>
      </c>
    </row>
    <row r="14" spans="1:8" ht="24" customHeight="1" x14ac:dyDescent="0.2">
      <c r="A14" s="20">
        <v>2</v>
      </c>
      <c r="B14" s="21" t="s">
        <v>17</v>
      </c>
      <c r="C14" s="22">
        <v>8062643</v>
      </c>
      <c r="D14" s="22">
        <v>7914147</v>
      </c>
      <c r="E14" s="22">
        <f t="shared" si="0"/>
        <v>-148496</v>
      </c>
      <c r="F14" s="23">
        <f t="shared" si="1"/>
        <v>-1.8417781861357375E-2</v>
      </c>
    </row>
    <row r="15" spans="1:8" ht="24" customHeight="1" x14ac:dyDescent="0.2">
      <c r="A15" s="20">
        <v>3</v>
      </c>
      <c r="B15" s="21" t="s">
        <v>18</v>
      </c>
      <c r="C15" s="22">
        <v>12651193</v>
      </c>
      <c r="D15" s="22">
        <v>13268952</v>
      </c>
      <c r="E15" s="22">
        <f t="shared" si="0"/>
        <v>617759</v>
      </c>
      <c r="F15" s="23">
        <f t="shared" si="1"/>
        <v>4.8830098473717061E-2</v>
      </c>
    </row>
    <row r="16" spans="1:8" ht="24" customHeight="1" x14ac:dyDescent="0.2">
      <c r="A16" s="20">
        <v>4</v>
      </c>
      <c r="B16" s="21" t="s">
        <v>19</v>
      </c>
      <c r="C16" s="22">
        <v>718522</v>
      </c>
      <c r="D16" s="22">
        <v>724768</v>
      </c>
      <c r="E16" s="22">
        <f t="shared" si="0"/>
        <v>6246</v>
      </c>
      <c r="F16" s="23">
        <f t="shared" si="1"/>
        <v>8.6928444779700558E-3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940022</v>
      </c>
      <c r="D19" s="22">
        <v>938379</v>
      </c>
      <c r="E19" s="22">
        <f t="shared" si="0"/>
        <v>-1643</v>
      </c>
      <c r="F19" s="23">
        <f t="shared" si="1"/>
        <v>-1.747831433732402E-3</v>
      </c>
    </row>
    <row r="20" spans="1:11" ht="24" customHeight="1" x14ac:dyDescent="0.2">
      <c r="A20" s="20">
        <v>8</v>
      </c>
      <c r="B20" s="21" t="s">
        <v>23</v>
      </c>
      <c r="C20" s="22">
        <v>2653217</v>
      </c>
      <c r="D20" s="22">
        <v>2754649</v>
      </c>
      <c r="E20" s="22">
        <f t="shared" si="0"/>
        <v>101432</v>
      </c>
      <c r="F20" s="23">
        <f t="shared" si="1"/>
        <v>3.8229816860060821E-2</v>
      </c>
    </row>
    <row r="21" spans="1:11" ht="24" customHeight="1" x14ac:dyDescent="0.2">
      <c r="A21" s="20">
        <v>9</v>
      </c>
      <c r="B21" s="21" t="s">
        <v>24</v>
      </c>
      <c r="C21" s="22">
        <v>1480336</v>
      </c>
      <c r="D21" s="22">
        <v>896258</v>
      </c>
      <c r="E21" s="22">
        <f t="shared" si="0"/>
        <v>-584078</v>
      </c>
      <c r="F21" s="23">
        <f t="shared" si="1"/>
        <v>-0.39455772203067413</v>
      </c>
    </row>
    <row r="22" spans="1:11" ht="24" customHeight="1" x14ac:dyDescent="0.25">
      <c r="A22" s="24"/>
      <c r="B22" s="25" t="s">
        <v>25</v>
      </c>
      <c r="C22" s="26">
        <f>SUM(C13:C21)</f>
        <v>33998532</v>
      </c>
      <c r="D22" s="26">
        <f>SUM(D13:D21)</f>
        <v>33245301</v>
      </c>
      <c r="E22" s="26">
        <f t="shared" si="0"/>
        <v>-753231</v>
      </c>
      <c r="F22" s="27">
        <f t="shared" si="1"/>
        <v>-2.2154809507657566E-2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3760171</v>
      </c>
      <c r="D25" s="22">
        <v>3450227</v>
      </c>
      <c r="E25" s="22">
        <f>D25-C25</f>
        <v>-309944</v>
      </c>
      <c r="F25" s="23">
        <f>IF(C25=0,0,E25/C25)</f>
        <v>-8.242816616584725E-2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30866</v>
      </c>
      <c r="D26" s="22">
        <v>23986</v>
      </c>
      <c r="E26" s="22">
        <f>D26-C26</f>
        <v>-6880</v>
      </c>
      <c r="F26" s="23">
        <f>IF(C26=0,0,E26/C26)</f>
        <v>-0.22289898269941036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4289408</v>
      </c>
      <c r="D28" s="22">
        <v>4289023</v>
      </c>
      <c r="E28" s="22">
        <f>D28-C28</f>
        <v>-385</v>
      </c>
      <c r="F28" s="23">
        <f>IF(C28=0,0,E28/C28)</f>
        <v>-8.9755975649786639E-5</v>
      </c>
    </row>
    <row r="29" spans="1:11" ht="24" customHeight="1" x14ac:dyDescent="0.25">
      <c r="A29" s="24"/>
      <c r="B29" s="25" t="s">
        <v>32</v>
      </c>
      <c r="C29" s="26">
        <f>SUM(C25:C28)</f>
        <v>8080445</v>
      </c>
      <c r="D29" s="26">
        <f>SUM(D25:D28)</f>
        <v>7763236</v>
      </c>
      <c r="E29" s="26">
        <f>D29-C29</f>
        <v>-317209</v>
      </c>
      <c r="F29" s="27">
        <f>IF(C29=0,0,E29/C29)</f>
        <v>-3.9256377588115503E-2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1274463</v>
      </c>
      <c r="D32" s="22">
        <v>1233522</v>
      </c>
      <c r="E32" s="22">
        <f>D32-C32</f>
        <v>-40941</v>
      </c>
      <c r="F32" s="23">
        <f>IF(C32=0,0,E32/C32)</f>
        <v>-3.2124118158000661E-2</v>
      </c>
    </row>
    <row r="33" spans="1:8" ht="24" customHeight="1" x14ac:dyDescent="0.2">
      <c r="A33" s="20">
        <v>7</v>
      </c>
      <c r="B33" s="21" t="s">
        <v>35</v>
      </c>
      <c r="C33" s="22">
        <v>22603885</v>
      </c>
      <c r="D33" s="22">
        <v>22068149</v>
      </c>
      <c r="E33" s="22">
        <f>D33-C33</f>
        <v>-535736</v>
      </c>
      <c r="F33" s="23">
        <f>IF(C33=0,0,E33/C33)</f>
        <v>-2.3701058468488936E-2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151939900</v>
      </c>
      <c r="D36" s="22">
        <v>151798653</v>
      </c>
      <c r="E36" s="22">
        <f>D36-C36</f>
        <v>-141247</v>
      </c>
      <c r="F36" s="23">
        <f>IF(C36=0,0,E36/C36)</f>
        <v>-9.2962414744250849E-4</v>
      </c>
    </row>
    <row r="37" spans="1:8" ht="24" customHeight="1" x14ac:dyDescent="0.2">
      <c r="A37" s="20">
        <v>2</v>
      </c>
      <c r="B37" s="21" t="s">
        <v>39</v>
      </c>
      <c r="C37" s="22">
        <v>98968474</v>
      </c>
      <c r="D37" s="22">
        <v>101440870</v>
      </c>
      <c r="E37" s="22">
        <f>D37-C37</f>
        <v>2472396</v>
      </c>
      <c r="F37" s="23">
        <f>IF(C37=0,0,E37/C37)</f>
        <v>2.4981652238065224E-2</v>
      </c>
    </row>
    <row r="38" spans="1:8" ht="24" customHeight="1" x14ac:dyDescent="0.25">
      <c r="A38" s="24"/>
      <c r="B38" s="25" t="s">
        <v>40</v>
      </c>
      <c r="C38" s="26">
        <f>C36-C37</f>
        <v>52971426</v>
      </c>
      <c r="D38" s="26">
        <f>D36-D37</f>
        <v>50357783</v>
      </c>
      <c r="E38" s="26">
        <f>D38-C38</f>
        <v>-2613643</v>
      </c>
      <c r="F38" s="27">
        <f>IF(C38=0,0,E38/C38)</f>
        <v>-4.9340619978778748E-2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166316</v>
      </c>
      <c r="D40" s="22">
        <v>1265026</v>
      </c>
      <c r="E40" s="22">
        <f>D40-C40</f>
        <v>1098710</v>
      </c>
      <c r="F40" s="23">
        <f>IF(C40=0,0,E40/C40)</f>
        <v>6.6061593592919499</v>
      </c>
    </row>
    <row r="41" spans="1:8" ht="24" customHeight="1" x14ac:dyDescent="0.25">
      <c r="A41" s="24"/>
      <c r="B41" s="25" t="s">
        <v>42</v>
      </c>
      <c r="C41" s="26">
        <f>+C38+C40</f>
        <v>53137742</v>
      </c>
      <c r="D41" s="26">
        <f>+D38+D40</f>
        <v>51622809</v>
      </c>
      <c r="E41" s="26">
        <f>D41-C41</f>
        <v>-1514933</v>
      </c>
      <c r="F41" s="27">
        <f>IF(C41=0,0,E41/C41)</f>
        <v>-2.850954788406327E-2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119095067</v>
      </c>
      <c r="D43" s="26">
        <f>D22+D29+D31+D32+D33+D41</f>
        <v>115933017</v>
      </c>
      <c r="E43" s="26">
        <f>D43-C43</f>
        <v>-3162050</v>
      </c>
      <c r="F43" s="27">
        <f>IF(C43=0,0,E43/C43)</f>
        <v>-2.6550637903415428E-2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22130479</v>
      </c>
      <c r="D49" s="22">
        <v>22109429</v>
      </c>
      <c r="E49" s="22">
        <f t="shared" ref="E49:E56" si="2">D49-C49</f>
        <v>-21050</v>
      </c>
      <c r="F49" s="23">
        <f t="shared" ref="F49:F56" si="3">IF(C49=0,0,E49/C49)</f>
        <v>-9.5117688144029779E-4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2269114</v>
      </c>
      <c r="D50" s="22">
        <v>2616945</v>
      </c>
      <c r="E50" s="22">
        <f t="shared" si="2"/>
        <v>347831</v>
      </c>
      <c r="F50" s="23">
        <f t="shared" si="3"/>
        <v>0.15328934553310233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1153146</v>
      </c>
      <c r="E51" s="22">
        <f t="shared" si="2"/>
        <v>1153146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276634</v>
      </c>
      <c r="E52" s="22">
        <f t="shared" si="2"/>
        <v>276634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6170364</v>
      </c>
      <c r="D53" s="22">
        <v>5013100</v>
      </c>
      <c r="E53" s="22">
        <f t="shared" si="2"/>
        <v>-1157264</v>
      </c>
      <c r="F53" s="23">
        <f t="shared" si="3"/>
        <v>-0.18755198234658441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782117</v>
      </c>
      <c r="D55" s="22">
        <v>934426</v>
      </c>
      <c r="E55" s="22">
        <f t="shared" si="2"/>
        <v>152309</v>
      </c>
      <c r="F55" s="23">
        <f t="shared" si="3"/>
        <v>0.19473940599680098</v>
      </c>
    </row>
    <row r="56" spans="1:6" ht="24" customHeight="1" x14ac:dyDescent="0.25">
      <c r="A56" s="24"/>
      <c r="B56" s="25" t="s">
        <v>54</v>
      </c>
      <c r="C56" s="26">
        <f>SUM(C49:C55)</f>
        <v>31352074</v>
      </c>
      <c r="D56" s="26">
        <f>SUM(D49:D55)</f>
        <v>32103680</v>
      </c>
      <c r="E56" s="26">
        <f t="shared" si="2"/>
        <v>751606</v>
      </c>
      <c r="F56" s="27">
        <f t="shared" si="3"/>
        <v>2.3973087075515324E-2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42390534</v>
      </c>
      <c r="D59" s="22">
        <v>41160778</v>
      </c>
      <c r="E59" s="22">
        <f>D59-C59</f>
        <v>-1229756</v>
      </c>
      <c r="F59" s="23">
        <f>IF(C59=0,0,E59/C59)</f>
        <v>-2.9010155899427924E-2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42390534</v>
      </c>
      <c r="D61" s="26">
        <f>SUM(D59:D60)</f>
        <v>41160778</v>
      </c>
      <c r="E61" s="26">
        <f>D61-C61</f>
        <v>-1229756</v>
      </c>
      <c r="F61" s="27">
        <f>IF(C61=0,0,E61/C61)</f>
        <v>-2.9010155899427924E-2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35030914</v>
      </c>
      <c r="D63" s="22">
        <v>45060464</v>
      </c>
      <c r="E63" s="22">
        <f>D63-C63</f>
        <v>10029550</v>
      </c>
      <c r="F63" s="23">
        <f>IF(C63=0,0,E63/C63)</f>
        <v>0.28630568988294169</v>
      </c>
    </row>
    <row r="64" spans="1:6" ht="24" customHeight="1" x14ac:dyDescent="0.2">
      <c r="A64" s="20">
        <v>4</v>
      </c>
      <c r="B64" s="21" t="s">
        <v>60</v>
      </c>
      <c r="C64" s="22">
        <v>26988104</v>
      </c>
      <c r="D64" s="22">
        <v>27184478</v>
      </c>
      <c r="E64" s="22">
        <f>D64-C64</f>
        <v>196374</v>
      </c>
      <c r="F64" s="23">
        <f>IF(C64=0,0,E64/C64)</f>
        <v>7.2763170024837606E-3</v>
      </c>
    </row>
    <row r="65" spans="1:6" ht="24" customHeight="1" x14ac:dyDescent="0.25">
      <c r="A65" s="24"/>
      <c r="B65" s="25" t="s">
        <v>61</v>
      </c>
      <c r="C65" s="26">
        <f>SUM(C61:C64)</f>
        <v>104409552</v>
      </c>
      <c r="D65" s="26">
        <f>SUM(D61:D64)</f>
        <v>113405720</v>
      </c>
      <c r="E65" s="26">
        <f>D65-C65</f>
        <v>8996168</v>
      </c>
      <c r="F65" s="27">
        <f>IF(C65=0,0,E65/C65)</f>
        <v>8.6162308214865244E-2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-26106535</v>
      </c>
      <c r="D70" s="22">
        <v>-39254442</v>
      </c>
      <c r="E70" s="22">
        <f>D70-C70</f>
        <v>-13147907</v>
      </c>
      <c r="F70" s="23">
        <f>IF(C70=0,0,E70/C70)</f>
        <v>0.50362512681211813</v>
      </c>
    </row>
    <row r="71" spans="1:6" ht="24" customHeight="1" x14ac:dyDescent="0.2">
      <c r="A71" s="20">
        <v>2</v>
      </c>
      <c r="B71" s="21" t="s">
        <v>65</v>
      </c>
      <c r="C71" s="22">
        <v>3519544</v>
      </c>
      <c r="D71" s="22">
        <v>4067571</v>
      </c>
      <c r="E71" s="22">
        <f>D71-C71</f>
        <v>548027</v>
      </c>
      <c r="F71" s="23">
        <f>IF(C71=0,0,E71/C71)</f>
        <v>0.15570966011506035</v>
      </c>
    </row>
    <row r="72" spans="1:6" ht="24" customHeight="1" x14ac:dyDescent="0.2">
      <c r="A72" s="20">
        <v>3</v>
      </c>
      <c r="B72" s="21" t="s">
        <v>66</v>
      </c>
      <c r="C72" s="22">
        <v>5920432</v>
      </c>
      <c r="D72" s="22">
        <v>5610488</v>
      </c>
      <c r="E72" s="22">
        <f>D72-C72</f>
        <v>-309944</v>
      </c>
      <c r="F72" s="23">
        <f>IF(C72=0,0,E72/C72)</f>
        <v>-5.2351585154596827E-2</v>
      </c>
    </row>
    <row r="73" spans="1:6" ht="24" customHeight="1" x14ac:dyDescent="0.25">
      <c r="A73" s="20"/>
      <c r="B73" s="25" t="s">
        <v>67</v>
      </c>
      <c r="C73" s="26">
        <f>SUM(C70:C72)</f>
        <v>-16666559</v>
      </c>
      <c r="D73" s="26">
        <f>SUM(D70:D72)</f>
        <v>-29576383</v>
      </c>
      <c r="E73" s="26">
        <f>D73-C73</f>
        <v>-12909824</v>
      </c>
      <c r="F73" s="27">
        <f>IF(C73=0,0,E73/C73)</f>
        <v>0.77459444388010745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119095067</v>
      </c>
      <c r="D75" s="26">
        <f>D56+D65+D67+D73</f>
        <v>115933017</v>
      </c>
      <c r="E75" s="26">
        <f>D75-C75</f>
        <v>-3162050</v>
      </c>
      <c r="F75" s="27">
        <f>IF(C75=0,0,E75/C75)</f>
        <v>-2.6550637903415428E-2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FILING&amp;RGRIFFIN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129011298</v>
      </c>
      <c r="D11" s="76">
        <v>140783254</v>
      </c>
      <c r="E11" s="76">
        <v>151665668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15858922</v>
      </c>
      <c r="D12" s="185">
        <v>12793304</v>
      </c>
      <c r="E12" s="185">
        <v>15016680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144870220</v>
      </c>
      <c r="D13" s="76">
        <f>+D11+D12</f>
        <v>153576558</v>
      </c>
      <c r="E13" s="76">
        <f>+E11+E12</f>
        <v>166682348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149355129</v>
      </c>
      <c r="D14" s="185">
        <v>151471877</v>
      </c>
      <c r="E14" s="185">
        <v>165887433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-4484909</v>
      </c>
      <c r="D15" s="76">
        <f>+D13-D14</f>
        <v>2104681</v>
      </c>
      <c r="E15" s="76">
        <f>+E13-E14</f>
        <v>794915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5640008</v>
      </c>
      <c r="D16" s="185">
        <v>2503583</v>
      </c>
      <c r="E16" s="185">
        <v>-626903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1155099</v>
      </c>
      <c r="D17" s="76">
        <f>D15+D16</f>
        <v>4608264</v>
      </c>
      <c r="E17" s="76">
        <f>E15+E16</f>
        <v>168012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-2.9798034722264857E-2</v>
      </c>
      <c r="D20" s="189">
        <f>IF(+D27=0,0,+D24/+D27)</f>
        <v>1.3484617495316075E-2</v>
      </c>
      <c r="E20" s="189">
        <f>IF(+E27=0,0,+E24/+E27)</f>
        <v>4.7870456762197713E-3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3.7472589570457633E-2</v>
      </c>
      <c r="D21" s="189">
        <f>IF(+D27=0,0,+D26/+D27)</f>
        <v>1.6040368646258463E-2</v>
      </c>
      <c r="E21" s="189">
        <f>IF(+E27=0,0,+E26/+E27)</f>
        <v>-3.7752631357556507E-3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7.6745548481927757E-3</v>
      </c>
      <c r="D22" s="189">
        <f>IF(+D27=0,0,+D28/+D27)</f>
        <v>2.952498614157454E-2</v>
      </c>
      <c r="E22" s="189">
        <f>IF(+E27=0,0,+E28/+E27)</f>
        <v>1.0117825404641202E-3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-4484909</v>
      </c>
      <c r="D24" s="76">
        <f>+D15</f>
        <v>2104681</v>
      </c>
      <c r="E24" s="76">
        <f>+E15</f>
        <v>794915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144870220</v>
      </c>
      <c r="D25" s="76">
        <f>+D13</f>
        <v>153576558</v>
      </c>
      <c r="E25" s="76">
        <f>+E13</f>
        <v>166682348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5640008</v>
      </c>
      <c r="D26" s="76">
        <f>+D16</f>
        <v>2503583</v>
      </c>
      <c r="E26" s="76">
        <f>+E16</f>
        <v>-626903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150510228</v>
      </c>
      <c r="D27" s="76">
        <f>SUM(D25:D26)</f>
        <v>156080141</v>
      </c>
      <c r="E27" s="76">
        <f>SUM(E25:E26)</f>
        <v>166055445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1155099</v>
      </c>
      <c r="D28" s="76">
        <f>+D17</f>
        <v>4608264</v>
      </c>
      <c r="E28" s="76">
        <f>+E17</f>
        <v>168012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-20374016</v>
      </c>
      <c r="D31" s="76">
        <v>-20969896</v>
      </c>
      <c r="E31" s="76">
        <v>-33789551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-11868935</v>
      </c>
      <c r="D32" s="76">
        <v>-11497423</v>
      </c>
      <c r="E32" s="76">
        <v>-24078995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18399800</v>
      </c>
      <c r="D33" s="76">
        <f>+D32-C32</f>
        <v>371512</v>
      </c>
      <c r="E33" s="76">
        <f>+E32-D32</f>
        <v>-12581572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0.3921</v>
      </c>
      <c r="D34" s="193">
        <f>IF(C32=0,0,+D33/C32)</f>
        <v>-3.1301207732623022E-2</v>
      </c>
      <c r="E34" s="193">
        <f>IF(D32=0,0,+E33/D32)</f>
        <v>1.0942949563567419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1.8058385912374373</v>
      </c>
      <c r="D38" s="338">
        <f>IF(+D40=0,0,+D39/+D40)</f>
        <v>1.8866284729137379</v>
      </c>
      <c r="E38" s="338">
        <f>IF(+E40=0,0,+E39/+E40)</f>
        <v>1.9201335540979716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67007519</v>
      </c>
      <c r="D39" s="341">
        <v>67467385</v>
      </c>
      <c r="E39" s="341">
        <v>70261936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37106040</v>
      </c>
      <c r="D40" s="341">
        <v>35760822</v>
      </c>
      <c r="E40" s="341">
        <v>36592213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111.06697718077835</v>
      </c>
      <c r="D42" s="343">
        <f>IF((D48/365)=0,0,+D45/(D48/365))</f>
        <v>113.68637789094979</v>
      </c>
      <c r="E42" s="343">
        <f>IF((E48/365)=0,0,+E45/(E48/365))</f>
        <v>105.71025920658258</v>
      </c>
    </row>
    <row r="43" spans="1:14" ht="24" customHeight="1" x14ac:dyDescent="0.2">
      <c r="A43" s="339">
        <v>5</v>
      </c>
      <c r="B43" s="344" t="s">
        <v>16</v>
      </c>
      <c r="C43" s="345">
        <v>10022977</v>
      </c>
      <c r="D43" s="345">
        <v>13616313</v>
      </c>
      <c r="E43" s="345">
        <v>11774575</v>
      </c>
    </row>
    <row r="44" spans="1:14" ht="24" customHeight="1" x14ac:dyDescent="0.2">
      <c r="A44" s="339">
        <v>6</v>
      </c>
      <c r="B44" s="346" t="s">
        <v>17</v>
      </c>
      <c r="C44" s="345">
        <v>33424704</v>
      </c>
      <c r="D44" s="345">
        <v>31664235</v>
      </c>
      <c r="E44" s="345">
        <v>34851842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43447681</v>
      </c>
      <c r="D45" s="341">
        <f>+D43+D44</f>
        <v>45280548</v>
      </c>
      <c r="E45" s="341">
        <f>+E43+E44</f>
        <v>46626417</v>
      </c>
    </row>
    <row r="46" spans="1:14" ht="24" customHeight="1" x14ac:dyDescent="0.2">
      <c r="A46" s="339">
        <v>8</v>
      </c>
      <c r="B46" s="340" t="s">
        <v>334</v>
      </c>
      <c r="C46" s="341">
        <f>+C14</f>
        <v>149355129</v>
      </c>
      <c r="D46" s="341">
        <f>+D14</f>
        <v>151471877</v>
      </c>
      <c r="E46" s="341">
        <f>+E14</f>
        <v>165887433</v>
      </c>
    </row>
    <row r="47" spans="1:14" ht="24" customHeight="1" x14ac:dyDescent="0.2">
      <c r="A47" s="339">
        <v>9</v>
      </c>
      <c r="B47" s="340" t="s">
        <v>356</v>
      </c>
      <c r="C47" s="341">
        <v>6572783</v>
      </c>
      <c r="D47" s="341">
        <v>6094741</v>
      </c>
      <c r="E47" s="341">
        <v>4894145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142782346</v>
      </c>
      <c r="D48" s="341">
        <f>+D46-D47</f>
        <v>145377136</v>
      </c>
      <c r="E48" s="341">
        <f>+E46-E47</f>
        <v>160993288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41.712660777973106</v>
      </c>
      <c r="D50" s="350">
        <f>IF((D55/365)=0,0,+D54/(D55/365))</f>
        <v>34.13527467549514</v>
      </c>
      <c r="E50" s="350">
        <f>IF((E55/365)=0,0,+E54/(E55/365))</f>
        <v>30.589733960094382</v>
      </c>
    </row>
    <row r="51" spans="1:5" ht="24" customHeight="1" x14ac:dyDescent="0.2">
      <c r="A51" s="339">
        <v>12</v>
      </c>
      <c r="B51" s="344" t="s">
        <v>359</v>
      </c>
      <c r="C51" s="351">
        <v>14743574</v>
      </c>
      <c r="D51" s="351">
        <v>13166233</v>
      </c>
      <c r="E51" s="351">
        <v>13863865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1153146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14743574</v>
      </c>
      <c r="D54" s="352">
        <f>+D51+D52-D53</f>
        <v>13166233</v>
      </c>
      <c r="E54" s="352">
        <f>+E51+E52-E53</f>
        <v>12710719</v>
      </c>
    </row>
    <row r="55" spans="1:5" ht="24" customHeight="1" x14ac:dyDescent="0.2">
      <c r="A55" s="339">
        <v>16</v>
      </c>
      <c r="B55" s="340" t="s">
        <v>75</v>
      </c>
      <c r="C55" s="341">
        <f>+C11</f>
        <v>129011298</v>
      </c>
      <c r="D55" s="341">
        <f>+D11</f>
        <v>140783254</v>
      </c>
      <c r="E55" s="341">
        <f>+E11</f>
        <v>151665668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94.855596503506106</v>
      </c>
      <c r="D57" s="355">
        <f>IF((D61/365)=0,0,+D58/(D61/365))</f>
        <v>89.78509543619019</v>
      </c>
      <c r="E57" s="355">
        <f>IF((E61/365)=0,0,+E58/(E61/365))</f>
        <v>82.960960117790748</v>
      </c>
    </row>
    <row r="58" spans="1:5" ht="24" customHeight="1" x14ac:dyDescent="0.2">
      <c r="A58" s="339">
        <v>18</v>
      </c>
      <c r="B58" s="340" t="s">
        <v>54</v>
      </c>
      <c r="C58" s="353">
        <f>+C40</f>
        <v>37106040</v>
      </c>
      <c r="D58" s="353">
        <f>+D40</f>
        <v>35760822</v>
      </c>
      <c r="E58" s="353">
        <f>+E40</f>
        <v>36592213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149355129</v>
      </c>
      <c r="D59" s="353">
        <f t="shared" si="0"/>
        <v>151471877</v>
      </c>
      <c r="E59" s="353">
        <f t="shared" si="0"/>
        <v>165887433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6572783</v>
      </c>
      <c r="D60" s="356">
        <f t="shared" si="0"/>
        <v>6094741</v>
      </c>
      <c r="E60" s="356">
        <f t="shared" si="0"/>
        <v>4894145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142782346</v>
      </c>
      <c r="D61" s="353">
        <f>+D59-D60</f>
        <v>145377136</v>
      </c>
      <c r="E61" s="353">
        <f>+E59-E60</f>
        <v>160993288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-7.5989310014502838</v>
      </c>
      <c r="D65" s="357">
        <f>IF(D67=0,0,(D66/D67)*100)</f>
        <v>-7.3573643858445417</v>
      </c>
      <c r="E65" s="357">
        <f>IF(E67=0,0,(E66/E67)*100)</f>
        <v>-15.844353289841884</v>
      </c>
    </row>
    <row r="66" spans="1:5" ht="24" customHeight="1" x14ac:dyDescent="0.2">
      <c r="A66" s="339">
        <v>2</v>
      </c>
      <c r="B66" s="340" t="s">
        <v>67</v>
      </c>
      <c r="C66" s="353">
        <f>+C32</f>
        <v>-11868935</v>
      </c>
      <c r="D66" s="353">
        <f>+D32</f>
        <v>-11497423</v>
      </c>
      <c r="E66" s="353">
        <f>+E32</f>
        <v>-24078995</v>
      </c>
    </row>
    <row r="67" spans="1:5" ht="24" customHeight="1" x14ac:dyDescent="0.2">
      <c r="A67" s="339">
        <v>3</v>
      </c>
      <c r="B67" s="340" t="s">
        <v>43</v>
      </c>
      <c r="C67" s="353">
        <v>156192167</v>
      </c>
      <c r="D67" s="353">
        <v>156270947</v>
      </c>
      <c r="E67" s="353">
        <v>151972091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9.2077951085605854</v>
      </c>
      <c r="D69" s="357">
        <f>IF(D75=0,0,(D72/D75)*100)</f>
        <v>13.217742991969031</v>
      </c>
      <c r="E69" s="357">
        <f>IF(E75=0,0,(E72/E75)*100)</f>
        <v>6.2887486929852452</v>
      </c>
    </row>
    <row r="70" spans="1:5" ht="24" customHeight="1" x14ac:dyDescent="0.2">
      <c r="A70" s="339">
        <v>5</v>
      </c>
      <c r="B70" s="340" t="s">
        <v>366</v>
      </c>
      <c r="C70" s="353">
        <f>+C28</f>
        <v>1155099</v>
      </c>
      <c r="D70" s="353">
        <f>+D28</f>
        <v>4608264</v>
      </c>
      <c r="E70" s="353">
        <f>+E28</f>
        <v>168012</v>
      </c>
    </row>
    <row r="71" spans="1:5" ht="24" customHeight="1" x14ac:dyDescent="0.2">
      <c r="A71" s="339">
        <v>6</v>
      </c>
      <c r="B71" s="340" t="s">
        <v>356</v>
      </c>
      <c r="C71" s="356">
        <f>+C47</f>
        <v>6572783</v>
      </c>
      <c r="D71" s="356">
        <f>+D47</f>
        <v>6094741</v>
      </c>
      <c r="E71" s="356">
        <f>+E47</f>
        <v>4894145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7727882</v>
      </c>
      <c r="D72" s="353">
        <f>+D70+D71</f>
        <v>10703005</v>
      </c>
      <c r="E72" s="353">
        <f>+E70+E71</f>
        <v>5062157</v>
      </c>
    </row>
    <row r="73" spans="1:5" ht="24" customHeight="1" x14ac:dyDescent="0.2">
      <c r="A73" s="339">
        <v>8</v>
      </c>
      <c r="B73" s="340" t="s">
        <v>54</v>
      </c>
      <c r="C73" s="341">
        <f>+C40</f>
        <v>37106040</v>
      </c>
      <c r="D73" s="341">
        <f>+D40</f>
        <v>35760822</v>
      </c>
      <c r="E73" s="341">
        <f>+E40</f>
        <v>36592213</v>
      </c>
    </row>
    <row r="74" spans="1:5" ht="24" customHeight="1" x14ac:dyDescent="0.2">
      <c r="A74" s="339">
        <v>9</v>
      </c>
      <c r="B74" s="340" t="s">
        <v>58</v>
      </c>
      <c r="C74" s="353">
        <v>46821566</v>
      </c>
      <c r="D74" s="353">
        <v>45213706</v>
      </c>
      <c r="E74" s="353">
        <v>43903244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83927606</v>
      </c>
      <c r="D75" s="341">
        <f>+D73+D74</f>
        <v>80974528</v>
      </c>
      <c r="E75" s="341">
        <f>+E73+E74</f>
        <v>80495457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133.95720053234334</v>
      </c>
      <c r="D77" s="359">
        <f>IF(D80=0,0,(D78/D80)*100)</f>
        <v>134.10050568148333</v>
      </c>
      <c r="E77" s="359">
        <f>IF(E80=0,0,(E78/E80)*100)</f>
        <v>221.46233130949878</v>
      </c>
    </row>
    <row r="78" spans="1:5" ht="24" customHeight="1" x14ac:dyDescent="0.2">
      <c r="A78" s="339">
        <v>12</v>
      </c>
      <c r="B78" s="340" t="s">
        <v>58</v>
      </c>
      <c r="C78" s="341">
        <f>+C74</f>
        <v>46821566</v>
      </c>
      <c r="D78" s="341">
        <f>+D74</f>
        <v>45213706</v>
      </c>
      <c r="E78" s="341">
        <f>+E74</f>
        <v>43903244</v>
      </c>
    </row>
    <row r="79" spans="1:5" ht="24" customHeight="1" x14ac:dyDescent="0.2">
      <c r="A79" s="339">
        <v>13</v>
      </c>
      <c r="B79" s="340" t="s">
        <v>67</v>
      </c>
      <c r="C79" s="341">
        <f>+C32</f>
        <v>-11868935</v>
      </c>
      <c r="D79" s="341">
        <f>+D32</f>
        <v>-11497423</v>
      </c>
      <c r="E79" s="341">
        <f>+E32</f>
        <v>-24078995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34952631</v>
      </c>
      <c r="D80" s="341">
        <f>+D78+D79</f>
        <v>33716283</v>
      </c>
      <c r="E80" s="341">
        <f>+E78+E79</f>
        <v>19824249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FILING&amp;R&amp;8GRIFFIN HEALTH SERVICES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20723</v>
      </c>
      <c r="D11" s="376">
        <v>5290</v>
      </c>
      <c r="E11" s="376">
        <v>5024</v>
      </c>
      <c r="F11" s="377">
        <v>57</v>
      </c>
      <c r="G11" s="377">
        <v>118</v>
      </c>
      <c r="H11" s="378">
        <f>IF(F11=0,0,$C11/(F11*365))</f>
        <v>0.99605863975006004</v>
      </c>
      <c r="I11" s="378">
        <f>IF(G11=0,0,$C11/(G11*365))</f>
        <v>0.48114697004875784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2800</v>
      </c>
      <c r="D13" s="376">
        <v>266</v>
      </c>
      <c r="E13" s="376">
        <v>0</v>
      </c>
      <c r="F13" s="377">
        <v>8</v>
      </c>
      <c r="G13" s="377">
        <v>14</v>
      </c>
      <c r="H13" s="378">
        <f>IF(F13=0,0,$C13/(F13*365))</f>
        <v>0.95890410958904104</v>
      </c>
      <c r="I13" s="378">
        <f>IF(G13=0,0,$C13/(G13*365))</f>
        <v>0.54794520547945202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4413</v>
      </c>
      <c r="D16" s="376">
        <v>557</v>
      </c>
      <c r="E16" s="376">
        <v>557</v>
      </c>
      <c r="F16" s="377">
        <v>13</v>
      </c>
      <c r="G16" s="377">
        <v>16</v>
      </c>
      <c r="H16" s="378">
        <f t="shared" si="0"/>
        <v>0.93003161222339303</v>
      </c>
      <c r="I16" s="378">
        <f t="shared" si="0"/>
        <v>0.75565068493150689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4413</v>
      </c>
      <c r="D17" s="381">
        <f>SUM(D15:D16)</f>
        <v>557</v>
      </c>
      <c r="E17" s="381">
        <f>SUM(E15:E16)</f>
        <v>557</v>
      </c>
      <c r="F17" s="381">
        <f>SUM(F15:F16)</f>
        <v>13</v>
      </c>
      <c r="G17" s="381">
        <f>SUM(G15:G16)</f>
        <v>16</v>
      </c>
      <c r="H17" s="382">
        <f t="shared" si="0"/>
        <v>0.93003161222339303</v>
      </c>
      <c r="I17" s="382">
        <f t="shared" si="0"/>
        <v>0.75565068493150689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1441</v>
      </c>
      <c r="D21" s="376">
        <v>570</v>
      </c>
      <c r="E21" s="376">
        <v>570</v>
      </c>
      <c r="F21" s="377">
        <v>4</v>
      </c>
      <c r="G21" s="377">
        <v>12</v>
      </c>
      <c r="H21" s="378">
        <f>IF(F21=0,0,$C21/(F21*365))</f>
        <v>0.98698630136986298</v>
      </c>
      <c r="I21" s="378">
        <f>IF(G21=0,0,$C21/(G21*365))</f>
        <v>0.32899543378995433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1217</v>
      </c>
      <c r="D23" s="376">
        <v>533</v>
      </c>
      <c r="E23" s="376">
        <v>533</v>
      </c>
      <c r="F23" s="377">
        <v>4</v>
      </c>
      <c r="G23" s="377">
        <v>20</v>
      </c>
      <c r="H23" s="378">
        <f>IF(F23=0,0,$C23/(F23*365))</f>
        <v>0.83356164383561648</v>
      </c>
      <c r="I23" s="378">
        <f>IF(G23=0,0,$C23/(G23*365))</f>
        <v>0.16671232876712327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29377</v>
      </c>
      <c r="D31" s="384">
        <f>SUM(D10:D29)-D13-D17-D23</f>
        <v>6417</v>
      </c>
      <c r="E31" s="384">
        <f>SUM(E10:E29)-E17-E23</f>
        <v>6151</v>
      </c>
      <c r="F31" s="384">
        <f>SUM(F10:F29)-F17-F23</f>
        <v>82</v>
      </c>
      <c r="G31" s="384">
        <f>SUM(G10:G29)-G17-G23</f>
        <v>160</v>
      </c>
      <c r="H31" s="385">
        <f>IF(F31=0,0,$C31/(F31*365))</f>
        <v>0.98152355496157706</v>
      </c>
      <c r="I31" s="385">
        <f>IF(G31=0,0,$C31/(G31*365))</f>
        <v>0.50303082191780824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30594</v>
      </c>
      <c r="D33" s="384">
        <f>SUM(D10:D29)-D13-D17</f>
        <v>6950</v>
      </c>
      <c r="E33" s="384">
        <f>SUM(E10:E29)-E17</f>
        <v>6684</v>
      </c>
      <c r="F33" s="384">
        <f>SUM(F10:F29)-F17</f>
        <v>86</v>
      </c>
      <c r="G33" s="384">
        <f>SUM(G10:G29)-G17</f>
        <v>180</v>
      </c>
      <c r="H33" s="385">
        <f>IF(F33=0,0,$C33/(F33*365))</f>
        <v>0.97464160560688118</v>
      </c>
      <c r="I33" s="385">
        <f>IF(G33=0,0,$C33/(G33*365))</f>
        <v>0.46566210045662099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30594</v>
      </c>
      <c r="D36" s="384">
        <f t="shared" si="1"/>
        <v>6950</v>
      </c>
      <c r="E36" s="384">
        <f t="shared" si="1"/>
        <v>6684</v>
      </c>
      <c r="F36" s="384">
        <f t="shared" si="1"/>
        <v>86</v>
      </c>
      <c r="G36" s="384">
        <f t="shared" si="1"/>
        <v>180</v>
      </c>
      <c r="H36" s="387">
        <f t="shared" si="1"/>
        <v>0.97464160560688118</v>
      </c>
      <c r="I36" s="387">
        <f t="shared" si="1"/>
        <v>0.46566210045662099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30806</v>
      </c>
      <c r="D37" s="384">
        <v>6935</v>
      </c>
      <c r="E37" s="384">
        <v>6635</v>
      </c>
      <c r="F37" s="386">
        <v>86</v>
      </c>
      <c r="G37" s="386">
        <v>180</v>
      </c>
      <c r="H37" s="385">
        <f>IF(F37=0,0,$C37/(F37*365))</f>
        <v>0.98139534883720925</v>
      </c>
      <c r="I37" s="385">
        <f>IF(G37=0,0,$C37/(G37*365))</f>
        <v>0.46888888888888891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-212</v>
      </c>
      <c r="D38" s="384">
        <f t="shared" si="2"/>
        <v>15</v>
      </c>
      <c r="E38" s="384">
        <f t="shared" si="2"/>
        <v>49</v>
      </c>
      <c r="F38" s="384">
        <f t="shared" si="2"/>
        <v>0</v>
      </c>
      <c r="G38" s="384">
        <f t="shared" si="2"/>
        <v>0</v>
      </c>
      <c r="H38" s="387">
        <f t="shared" si="2"/>
        <v>-6.7537432303280687E-3</v>
      </c>
      <c r="I38" s="387">
        <f t="shared" si="2"/>
        <v>-3.2267884322679241E-3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-6.8817762773485686E-3</v>
      </c>
      <c r="D40" s="389">
        <f t="shared" si="3"/>
        <v>2.1629416005767843E-3</v>
      </c>
      <c r="E40" s="389">
        <f t="shared" si="3"/>
        <v>7.3850791258477768E-3</v>
      </c>
      <c r="F40" s="389">
        <f t="shared" si="3"/>
        <v>0</v>
      </c>
      <c r="G40" s="389">
        <f t="shared" si="3"/>
        <v>0</v>
      </c>
      <c r="H40" s="389">
        <f t="shared" si="3"/>
        <v>-6.8817762773485062E-3</v>
      </c>
      <c r="I40" s="389">
        <f t="shared" si="3"/>
        <v>-6.8817762773486528E-3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FILING&amp;RGRIFFIN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4276</v>
      </c>
      <c r="D12" s="409">
        <v>4679</v>
      </c>
      <c r="E12" s="409">
        <f>+D12-C12</f>
        <v>403</v>
      </c>
      <c r="F12" s="410">
        <f>IF(C12=0,0,+E12/C12)</f>
        <v>9.4246959775491107E-2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8767</v>
      </c>
      <c r="D13" s="409">
        <v>9121</v>
      </c>
      <c r="E13" s="409">
        <f>+D13-C13</f>
        <v>354</v>
      </c>
      <c r="F13" s="410">
        <f>IF(C13=0,0,+E13/C13)</f>
        <v>4.0378692825367858E-2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6066</v>
      </c>
      <c r="D14" s="409">
        <v>6305</v>
      </c>
      <c r="E14" s="409">
        <f>+D14-C14</f>
        <v>239</v>
      </c>
      <c r="F14" s="410">
        <f>IF(C14=0,0,+E14/C14)</f>
        <v>3.9399934058687767E-2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19109</v>
      </c>
      <c r="D16" s="401">
        <f>SUM(D12:D15)</f>
        <v>20105</v>
      </c>
      <c r="E16" s="401">
        <f>+D16-C16</f>
        <v>996</v>
      </c>
      <c r="F16" s="402">
        <f>IF(C16=0,0,+E16/C16)</f>
        <v>5.2122036736616251E-2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440</v>
      </c>
      <c r="D19" s="409">
        <v>442</v>
      </c>
      <c r="E19" s="409">
        <f>+D19-C19</f>
        <v>2</v>
      </c>
      <c r="F19" s="410">
        <f>IF(C19=0,0,+E19/C19)</f>
        <v>4.5454545454545452E-3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3806</v>
      </c>
      <c r="D20" s="409">
        <v>3756</v>
      </c>
      <c r="E20" s="409">
        <f>+D20-C20</f>
        <v>-50</v>
      </c>
      <c r="F20" s="410">
        <f>IF(C20=0,0,+E20/C20)</f>
        <v>-1.3137151865475564E-2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33</v>
      </c>
      <c r="D21" s="409">
        <v>43</v>
      </c>
      <c r="E21" s="409">
        <f>+D21-C21</f>
        <v>10</v>
      </c>
      <c r="F21" s="410">
        <f>IF(C21=0,0,+E21/C21)</f>
        <v>0.30303030303030304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4279</v>
      </c>
      <c r="D23" s="401">
        <f>SUM(D19:D22)</f>
        <v>4241</v>
      </c>
      <c r="E23" s="401">
        <f>+D23-C23</f>
        <v>-38</v>
      </c>
      <c r="F23" s="402">
        <f>IF(C23=0,0,+E23/C23)</f>
        <v>-8.8805795746669785E-3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2</v>
      </c>
      <c r="D26" s="409">
        <v>0</v>
      </c>
      <c r="E26" s="409">
        <f>+D26-C26</f>
        <v>-2</v>
      </c>
      <c r="F26" s="410">
        <f>IF(C26=0,0,+E26/C26)</f>
        <v>-1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223</v>
      </c>
      <c r="D27" s="409">
        <v>189</v>
      </c>
      <c r="E27" s="409">
        <f>+D27-C27</f>
        <v>-34</v>
      </c>
      <c r="F27" s="410">
        <f>IF(C27=0,0,+E27/C27)</f>
        <v>-0.15246636771300448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225</v>
      </c>
      <c r="D30" s="401">
        <f>SUM(D26:D29)</f>
        <v>189</v>
      </c>
      <c r="E30" s="401">
        <f>+D30-C30</f>
        <v>-36</v>
      </c>
      <c r="F30" s="402">
        <f>IF(C30=0,0,+E30/C30)</f>
        <v>-0.16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18</v>
      </c>
      <c r="D43" s="409">
        <v>78</v>
      </c>
      <c r="E43" s="409">
        <f>+D43-C43</f>
        <v>60</v>
      </c>
      <c r="F43" s="410">
        <f>IF(C43=0,0,+E43/C43)</f>
        <v>3.3333333333333335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4551</v>
      </c>
      <c r="D44" s="409">
        <v>4423</v>
      </c>
      <c r="E44" s="409">
        <f>+D44-C44</f>
        <v>-128</v>
      </c>
      <c r="F44" s="410">
        <f>IF(C44=0,0,+E44/C44)</f>
        <v>-2.8125686662272029E-2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4569</v>
      </c>
      <c r="D45" s="401">
        <f>SUM(D43:D44)</f>
        <v>4501</v>
      </c>
      <c r="E45" s="401">
        <f>+D45-C45</f>
        <v>-68</v>
      </c>
      <c r="F45" s="402">
        <f>IF(C45=0,0,+E45/C45)</f>
        <v>-1.4882906544101553E-2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1384</v>
      </c>
      <c r="D63" s="409">
        <v>1409</v>
      </c>
      <c r="E63" s="409">
        <f>+D63-C63</f>
        <v>25</v>
      </c>
      <c r="F63" s="410">
        <f>IF(C63=0,0,+E63/C63)</f>
        <v>1.8063583815028903E-2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3557</v>
      </c>
      <c r="D64" s="409">
        <v>3422</v>
      </c>
      <c r="E64" s="409">
        <f>+D64-C64</f>
        <v>-135</v>
      </c>
      <c r="F64" s="410">
        <f>IF(C64=0,0,+E64/C64)</f>
        <v>-3.7953331459094741E-2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4941</v>
      </c>
      <c r="D65" s="401">
        <f>SUM(D63:D64)</f>
        <v>4831</v>
      </c>
      <c r="E65" s="401">
        <f>+D65-C65</f>
        <v>-110</v>
      </c>
      <c r="F65" s="402">
        <f>IF(C65=0,0,+E65/C65)</f>
        <v>-2.2262699858328273E-2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326</v>
      </c>
      <c r="D68" s="409">
        <v>363</v>
      </c>
      <c r="E68" s="409">
        <f>+D68-C68</f>
        <v>37</v>
      </c>
      <c r="F68" s="410">
        <f>IF(C68=0,0,+E68/C68)</f>
        <v>0.11349693251533742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3049</v>
      </c>
      <c r="D69" s="409">
        <v>3353</v>
      </c>
      <c r="E69" s="409">
        <f>+D69-C69</f>
        <v>304</v>
      </c>
      <c r="F69" s="412">
        <f>IF(C69=0,0,+E69/C69)</f>
        <v>9.9704821252869794E-2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3375</v>
      </c>
      <c r="D70" s="401">
        <f>SUM(D68:D69)</f>
        <v>3716</v>
      </c>
      <c r="E70" s="401">
        <f>+D70-C70</f>
        <v>341</v>
      </c>
      <c r="F70" s="402">
        <f>IF(C70=0,0,+E70/C70)</f>
        <v>0.10103703703703704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4838</v>
      </c>
      <c r="D73" s="376">
        <v>5022</v>
      </c>
      <c r="E73" s="409">
        <f>+D73-C73</f>
        <v>184</v>
      </c>
      <c r="F73" s="410">
        <f>IF(C73=0,0,+E73/C73)</f>
        <v>3.8032244729226956E-2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33063</v>
      </c>
      <c r="D74" s="376">
        <v>32181</v>
      </c>
      <c r="E74" s="409">
        <f>+D74-C74</f>
        <v>-882</v>
      </c>
      <c r="F74" s="410">
        <f>IF(C74=0,0,+E74/C74)</f>
        <v>-2.6676345159241447E-2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37901</v>
      </c>
      <c r="D75" s="401">
        <f>SUM(D73:D74)</f>
        <v>37203</v>
      </c>
      <c r="E75" s="401">
        <f>SUM(E73:E74)</f>
        <v>-698</v>
      </c>
      <c r="F75" s="402">
        <f>IF(C75=0,0,+E75/C75)</f>
        <v>-1.8416400622674862E-2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4870</v>
      </c>
      <c r="D79" s="376">
        <v>4807</v>
      </c>
      <c r="E79" s="409">
        <f t="shared" ref="E79:E92" si="0">+D79-C79</f>
        <v>-63</v>
      </c>
      <c r="F79" s="410">
        <f t="shared" ref="F79:F92" si="1">IF(C79=0,0,+E79/C79)</f>
        <v>-1.2936344969199178E-2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7421</v>
      </c>
      <c r="D81" s="376">
        <v>6663</v>
      </c>
      <c r="E81" s="409">
        <f t="shared" si="0"/>
        <v>-758</v>
      </c>
      <c r="F81" s="410">
        <f t="shared" si="1"/>
        <v>-0.10214256838700984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299</v>
      </c>
      <c r="D86" s="376">
        <v>415</v>
      </c>
      <c r="E86" s="409">
        <f t="shared" si="0"/>
        <v>116</v>
      </c>
      <c r="F86" s="410">
        <f t="shared" si="1"/>
        <v>0.38795986622073581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12590</v>
      </c>
      <c r="D92" s="381">
        <f>SUM(D79:D91)</f>
        <v>11885</v>
      </c>
      <c r="E92" s="401">
        <f t="shared" si="0"/>
        <v>-705</v>
      </c>
      <c r="F92" s="402">
        <f t="shared" si="1"/>
        <v>-5.5996822875297857E-2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15171</v>
      </c>
      <c r="D95" s="414">
        <v>17450</v>
      </c>
      <c r="E95" s="415">
        <f t="shared" ref="E95:E100" si="2">+D95-C95</f>
        <v>2279</v>
      </c>
      <c r="F95" s="412">
        <f t="shared" ref="F95:F100" si="3">IF(C95=0,0,+E95/C95)</f>
        <v>0.15022081603058468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3447</v>
      </c>
      <c r="D96" s="414">
        <v>3965</v>
      </c>
      <c r="E96" s="409">
        <f t="shared" si="2"/>
        <v>518</v>
      </c>
      <c r="F96" s="410">
        <f t="shared" si="3"/>
        <v>0.15027560197272991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1375</v>
      </c>
      <c r="D97" s="414">
        <v>1480</v>
      </c>
      <c r="E97" s="409">
        <f t="shared" si="2"/>
        <v>105</v>
      </c>
      <c r="F97" s="410">
        <f t="shared" si="3"/>
        <v>7.636363636363637E-2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61245</v>
      </c>
      <c r="D99" s="414">
        <v>60088</v>
      </c>
      <c r="E99" s="409">
        <f t="shared" si="2"/>
        <v>-1157</v>
      </c>
      <c r="F99" s="410">
        <f t="shared" si="3"/>
        <v>-1.8891338068413747E-2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81238</v>
      </c>
      <c r="D100" s="381">
        <f>SUM(D95:D99)</f>
        <v>82983</v>
      </c>
      <c r="E100" s="401">
        <f t="shared" si="2"/>
        <v>1745</v>
      </c>
      <c r="F100" s="402">
        <f t="shared" si="3"/>
        <v>2.1480095521800142E-2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315.7</v>
      </c>
      <c r="D104" s="416">
        <v>319.8</v>
      </c>
      <c r="E104" s="417">
        <f>+D104-C104</f>
        <v>4.1000000000000227</v>
      </c>
      <c r="F104" s="410">
        <f>IF(C104=0,0,+E104/C104)</f>
        <v>1.2987012987013059E-2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49.7</v>
      </c>
      <c r="D105" s="416">
        <v>46.6</v>
      </c>
      <c r="E105" s="417">
        <f>+D105-C105</f>
        <v>-3.1000000000000014</v>
      </c>
      <c r="F105" s="410">
        <f>IF(C105=0,0,+E105/C105)</f>
        <v>-6.2374245472837049E-2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558.79999999999995</v>
      </c>
      <c r="D106" s="416">
        <v>602.1</v>
      </c>
      <c r="E106" s="417">
        <f>+D106-C106</f>
        <v>43.300000000000068</v>
      </c>
      <c r="F106" s="410">
        <f>IF(C106=0,0,+E106/C106)</f>
        <v>7.748747315676463E-2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924.19999999999993</v>
      </c>
      <c r="D107" s="418">
        <f>SUM(D104:D106)</f>
        <v>968.5</v>
      </c>
      <c r="E107" s="418">
        <f>+D107-C107</f>
        <v>44.300000000000068</v>
      </c>
      <c r="F107" s="402">
        <f>IF(C107=0,0,+E107/C107)</f>
        <v>4.7933347760225134E-2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FILING&amp;RGRIFFIN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0</v>
      </c>
      <c r="C12" s="409">
        <v>3557</v>
      </c>
      <c r="D12" s="409">
        <v>3422</v>
      </c>
      <c r="E12" s="409">
        <f>+D12-C12</f>
        <v>-135</v>
      </c>
      <c r="F12" s="410">
        <f>IF(C12=0,0,+E12/C12)</f>
        <v>-3.7953331459094741E-2</v>
      </c>
    </row>
    <row r="13" spans="1:6" ht="15.75" customHeight="1" x14ac:dyDescent="0.25">
      <c r="A13" s="374"/>
      <c r="B13" s="399" t="s">
        <v>621</v>
      </c>
      <c r="C13" s="401">
        <f>SUM(C11:C12)</f>
        <v>3557</v>
      </c>
      <c r="D13" s="401">
        <f>SUM(D11:D12)</f>
        <v>3422</v>
      </c>
      <c r="E13" s="401">
        <f>+D13-C13</f>
        <v>-135</v>
      </c>
      <c r="F13" s="402">
        <f>IF(C13=0,0,+E13/C13)</f>
        <v>-3.7953331459094741E-2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0</v>
      </c>
      <c r="C16" s="409">
        <v>3049</v>
      </c>
      <c r="D16" s="409">
        <v>3353</v>
      </c>
      <c r="E16" s="409">
        <f>+D16-C16</f>
        <v>304</v>
      </c>
      <c r="F16" s="410">
        <f>IF(C16=0,0,+E16/C16)</f>
        <v>9.9704821252869794E-2</v>
      </c>
    </row>
    <row r="17" spans="1:6" ht="15.75" customHeight="1" x14ac:dyDescent="0.25">
      <c r="A17" s="374"/>
      <c r="B17" s="399" t="s">
        <v>622</v>
      </c>
      <c r="C17" s="401">
        <f>SUM(C15:C16)</f>
        <v>3049</v>
      </c>
      <c r="D17" s="401">
        <f>SUM(D15:D16)</f>
        <v>3353</v>
      </c>
      <c r="E17" s="401">
        <f>+D17-C17</f>
        <v>304</v>
      </c>
      <c r="F17" s="402">
        <f>IF(C17=0,0,+E17/C17)</f>
        <v>9.9704821252869794E-2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0</v>
      </c>
      <c r="C20" s="409">
        <v>33063</v>
      </c>
      <c r="D20" s="409">
        <v>32181</v>
      </c>
      <c r="E20" s="409">
        <f>+D20-C20</f>
        <v>-882</v>
      </c>
      <c r="F20" s="410">
        <f>IF(C20=0,0,+E20/C20)</f>
        <v>-2.6676345159241447E-2</v>
      </c>
    </row>
    <row r="21" spans="1:6" ht="15.75" customHeight="1" x14ac:dyDescent="0.25">
      <c r="A21" s="374"/>
      <c r="B21" s="399" t="s">
        <v>624</v>
      </c>
      <c r="C21" s="401">
        <f>SUM(C19:C20)</f>
        <v>33063</v>
      </c>
      <c r="D21" s="401">
        <f>SUM(D19:D20)</f>
        <v>32181</v>
      </c>
      <c r="E21" s="401">
        <f>+D21-C21</f>
        <v>-882</v>
      </c>
      <c r="F21" s="402">
        <f>IF(C21=0,0,+E21/C21)</f>
        <v>-2.6676345159241447E-2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FILING&amp;RGRIFFIN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115808490</v>
      </c>
      <c r="D15" s="448">
        <v>122178231</v>
      </c>
      <c r="E15" s="448">
        <f t="shared" ref="E15:E24" si="0">D15-C15</f>
        <v>6369741</v>
      </c>
      <c r="F15" s="449">
        <f t="shared" ref="F15:F24" si="1">IF(C15=0,0,E15/C15)</f>
        <v>5.5002366406815252E-2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34813654</v>
      </c>
      <c r="D16" s="448">
        <v>34829776</v>
      </c>
      <c r="E16" s="448">
        <f t="shared" si="0"/>
        <v>16122</v>
      </c>
      <c r="F16" s="449">
        <f t="shared" si="1"/>
        <v>4.6309416414605601E-4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0.30061400506992192</v>
      </c>
      <c r="D17" s="453">
        <f>IF(LN_IA1=0,0,LN_IA2/LN_IA1)</f>
        <v>0.28507350053218566</v>
      </c>
      <c r="E17" s="454">
        <f t="shared" si="0"/>
        <v>-1.5540504537736255E-2</v>
      </c>
      <c r="F17" s="449">
        <f t="shared" si="1"/>
        <v>-5.1695876691179372E-2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3283</v>
      </c>
      <c r="D18" s="456">
        <v>3387</v>
      </c>
      <c r="E18" s="456">
        <f t="shared" si="0"/>
        <v>104</v>
      </c>
      <c r="F18" s="449">
        <f t="shared" si="1"/>
        <v>3.1678342978982636E-2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1.32358</v>
      </c>
      <c r="D19" s="459">
        <v>1.30745</v>
      </c>
      <c r="E19" s="460">
        <f t="shared" si="0"/>
        <v>-1.6129999999999978E-2</v>
      </c>
      <c r="F19" s="449">
        <f t="shared" si="1"/>
        <v>-1.2186645310445896E-2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4345.3131400000002</v>
      </c>
      <c r="D20" s="463">
        <f>LN_IA4*LN_IA5</f>
        <v>4428.3331500000004</v>
      </c>
      <c r="E20" s="463">
        <f t="shared" si="0"/>
        <v>83.020010000000184</v>
      </c>
      <c r="F20" s="449">
        <f t="shared" si="1"/>
        <v>1.9105644938629252E-2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8011.771045803157</v>
      </c>
      <c r="D21" s="465">
        <f>IF(LN_IA6=0,0,LN_IA2/LN_IA6)</f>
        <v>7865.2113154585031</v>
      </c>
      <c r="E21" s="465">
        <f t="shared" si="0"/>
        <v>-146.55973034465387</v>
      </c>
      <c r="F21" s="449">
        <f t="shared" si="1"/>
        <v>-1.8293050251532952E-2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16402</v>
      </c>
      <c r="D22" s="456">
        <v>16588</v>
      </c>
      <c r="E22" s="456">
        <f t="shared" si="0"/>
        <v>186</v>
      </c>
      <c r="F22" s="449">
        <f t="shared" si="1"/>
        <v>1.1340080477990488E-2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2122.5249359834165</v>
      </c>
      <c r="D23" s="465">
        <f>IF(LN_IA8=0,0,LN_IA2/LN_IA8)</f>
        <v>2099.697130455751</v>
      </c>
      <c r="E23" s="465">
        <f t="shared" si="0"/>
        <v>-22.827805527665532</v>
      </c>
      <c r="F23" s="449">
        <f t="shared" si="1"/>
        <v>-1.0755023482015708E-2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4.9960402071276269</v>
      </c>
      <c r="D24" s="466">
        <f>IF(LN_IA4=0,0,LN_IA8/LN_IA4)</f>
        <v>4.8975494537939177</v>
      </c>
      <c r="E24" s="466">
        <f t="shared" si="0"/>
        <v>-9.8490753333709158E-2</v>
      </c>
      <c r="F24" s="449">
        <f t="shared" si="1"/>
        <v>-1.9713763150504035E-2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94739623</v>
      </c>
      <c r="D27" s="448">
        <v>104874412</v>
      </c>
      <c r="E27" s="448">
        <f t="shared" ref="E27:E32" si="2">D27-C27</f>
        <v>10134789</v>
      </c>
      <c r="F27" s="449">
        <f t="shared" ref="F27:F32" si="3">IF(C27=0,0,E27/C27)</f>
        <v>0.10697518819554518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18803647</v>
      </c>
      <c r="D28" s="448">
        <v>20243295</v>
      </c>
      <c r="E28" s="448">
        <f t="shared" si="2"/>
        <v>1439648</v>
      </c>
      <c r="F28" s="449">
        <f t="shared" si="3"/>
        <v>7.656216903029503E-2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0.1984771144803901</v>
      </c>
      <c r="D29" s="453">
        <f>IF(LN_IA11=0,0,LN_IA12/LN_IA11)</f>
        <v>0.19302415731303457</v>
      </c>
      <c r="E29" s="454">
        <f t="shared" si="2"/>
        <v>-5.4529571673555266E-3</v>
      </c>
      <c r="F29" s="449">
        <f t="shared" si="3"/>
        <v>-2.7473984502602636E-2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0.81807148163316867</v>
      </c>
      <c r="D30" s="453">
        <f>IF(LN_IA1=0,0,LN_IA11/LN_IA1)</f>
        <v>0.85837232329873892</v>
      </c>
      <c r="E30" s="454">
        <f t="shared" si="2"/>
        <v>4.0300841665570242E-2</v>
      </c>
      <c r="F30" s="449">
        <f t="shared" si="3"/>
        <v>4.9263227688997401E-2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2685.7286742016927</v>
      </c>
      <c r="D31" s="463">
        <f>LN_IA14*LN_IA4</f>
        <v>2907.3070590128286</v>
      </c>
      <c r="E31" s="463">
        <f t="shared" si="2"/>
        <v>221.57838481113595</v>
      </c>
      <c r="F31" s="449">
        <f t="shared" si="3"/>
        <v>8.2502148090963817E-2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7001.320416549228</v>
      </c>
      <c r="D32" s="465">
        <f>IF(LN_IA15=0,0,LN_IA12/LN_IA15)</f>
        <v>6962.9022972460216</v>
      </c>
      <c r="E32" s="465">
        <f t="shared" si="2"/>
        <v>-38.418119303206367</v>
      </c>
      <c r="F32" s="449">
        <f t="shared" si="3"/>
        <v>-5.4872676891627933E-3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210548113</v>
      </c>
      <c r="D35" s="448">
        <f>LN_IA1+LN_IA11</f>
        <v>227052643</v>
      </c>
      <c r="E35" s="448">
        <f>D35-C35</f>
        <v>16504530</v>
      </c>
      <c r="F35" s="449">
        <f>IF(C35=0,0,E35/C35)</f>
        <v>7.8388401419679316E-2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53617301</v>
      </c>
      <c r="D36" s="448">
        <f>LN_IA2+LN_IA12</f>
        <v>55073071</v>
      </c>
      <c r="E36" s="448">
        <f>D36-C36</f>
        <v>1455770</v>
      </c>
      <c r="F36" s="449">
        <f>IF(C36=0,0,E36/C36)</f>
        <v>2.7151124223876916E-2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156930812</v>
      </c>
      <c r="D37" s="448">
        <f>LN_IA17-LN_IA18</f>
        <v>171979572</v>
      </c>
      <c r="E37" s="448">
        <f>D37-C37</f>
        <v>15048760</v>
      </c>
      <c r="F37" s="449">
        <f>IF(C37=0,0,E37/C37)</f>
        <v>9.589423395069159E-2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57149246</v>
      </c>
      <c r="D42" s="448">
        <v>53596231</v>
      </c>
      <c r="E42" s="448">
        <f t="shared" ref="E42:E53" si="4">D42-C42</f>
        <v>-3553015</v>
      </c>
      <c r="F42" s="449">
        <f t="shared" ref="F42:F53" si="5">IF(C42=0,0,E42/C42)</f>
        <v>-6.2170811492421089E-2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22894467</v>
      </c>
      <c r="D43" s="448">
        <v>22145603</v>
      </c>
      <c r="E43" s="448">
        <f t="shared" si="4"/>
        <v>-748864</v>
      </c>
      <c r="F43" s="449">
        <f t="shared" si="5"/>
        <v>-3.2709387818462859E-2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0.40060838247979685</v>
      </c>
      <c r="D44" s="453">
        <f>IF(LN_IB1=0,0,LN_IB2/LN_IB1)</f>
        <v>0.41319328965501323</v>
      </c>
      <c r="E44" s="454">
        <f t="shared" si="4"/>
        <v>1.2584907175216375E-2</v>
      </c>
      <c r="F44" s="449">
        <f t="shared" si="5"/>
        <v>3.14144878779491E-2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2232</v>
      </c>
      <c r="D45" s="456">
        <v>2030</v>
      </c>
      <c r="E45" s="456">
        <f t="shared" si="4"/>
        <v>-202</v>
      </c>
      <c r="F45" s="449">
        <f t="shared" si="5"/>
        <v>-9.0501792114695334E-2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1.0301499999999999</v>
      </c>
      <c r="D46" s="459">
        <v>1.0487</v>
      </c>
      <c r="E46" s="460">
        <f t="shared" si="4"/>
        <v>1.8550000000000066E-2</v>
      </c>
      <c r="F46" s="449">
        <f t="shared" si="5"/>
        <v>1.8007086346648611E-2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2299.2947999999997</v>
      </c>
      <c r="D47" s="463">
        <f>LN_IB4*LN_IB5</f>
        <v>2128.8609999999999</v>
      </c>
      <c r="E47" s="463">
        <f t="shared" si="4"/>
        <v>-170.43379999999979</v>
      </c>
      <c r="F47" s="449">
        <f t="shared" si="5"/>
        <v>-7.4124379353182474E-2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9957.1690415687463</v>
      </c>
      <c r="D48" s="465">
        <f>IF(LN_IB6=0,0,LN_IB2/LN_IB6)</f>
        <v>10402.559396785418</v>
      </c>
      <c r="E48" s="465">
        <f t="shared" si="4"/>
        <v>445.39035521667211</v>
      </c>
      <c r="F48" s="449">
        <f t="shared" si="5"/>
        <v>4.473062105878451E-2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-1945.3979957655893</v>
      </c>
      <c r="D49" s="465">
        <f>LN_IA7-LN_IB7</f>
        <v>-2537.3480813269152</v>
      </c>
      <c r="E49" s="465">
        <f t="shared" si="4"/>
        <v>-591.95008556132598</v>
      </c>
      <c r="F49" s="449">
        <f t="shared" si="5"/>
        <v>0.30428225322005165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-4473043.4955942407</v>
      </c>
      <c r="D50" s="479">
        <f>LN_IB8*LN_IB6</f>
        <v>-5401661.3737616977</v>
      </c>
      <c r="E50" s="479">
        <f t="shared" si="4"/>
        <v>-928617.87816745695</v>
      </c>
      <c r="F50" s="449">
        <f t="shared" si="5"/>
        <v>0.20760314069874491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8407</v>
      </c>
      <c r="D51" s="456">
        <v>7332</v>
      </c>
      <c r="E51" s="456">
        <f t="shared" si="4"/>
        <v>-1075</v>
      </c>
      <c r="F51" s="449">
        <f t="shared" si="5"/>
        <v>-0.12786963244914951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2723.262400380635</v>
      </c>
      <c r="D52" s="465">
        <f>IF(LN_IB10=0,0,LN_IB2/LN_IB10)</f>
        <v>3020.4041189307145</v>
      </c>
      <c r="E52" s="465">
        <f t="shared" si="4"/>
        <v>297.14171855007953</v>
      </c>
      <c r="F52" s="449">
        <f t="shared" si="5"/>
        <v>0.1091124081574172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3.7665770609318998</v>
      </c>
      <c r="D53" s="466">
        <f>IF(LN_IB4=0,0,LN_IB10/LN_IB4)</f>
        <v>3.6118226600985222</v>
      </c>
      <c r="E53" s="466">
        <f t="shared" si="4"/>
        <v>-0.15475440083337766</v>
      </c>
      <c r="F53" s="449">
        <f t="shared" si="5"/>
        <v>-4.1086216564779225E-2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124528523</v>
      </c>
      <c r="D56" s="448">
        <v>124009175</v>
      </c>
      <c r="E56" s="448">
        <f t="shared" ref="E56:E63" si="6">D56-C56</f>
        <v>-519348</v>
      </c>
      <c r="F56" s="449">
        <f t="shared" ref="F56:F63" si="7">IF(C56=0,0,E56/C56)</f>
        <v>-4.170514412991151E-3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44223985</v>
      </c>
      <c r="D57" s="448">
        <v>46367895</v>
      </c>
      <c r="E57" s="448">
        <f t="shared" si="6"/>
        <v>2143910</v>
      </c>
      <c r="F57" s="449">
        <f t="shared" si="7"/>
        <v>4.8478444445926798E-2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0.35513137018416252</v>
      </c>
      <c r="D58" s="453">
        <f>IF(LN_IB13=0,0,LN_IB14/LN_IB13)</f>
        <v>0.37390697099629927</v>
      </c>
      <c r="E58" s="454">
        <f t="shared" si="6"/>
        <v>1.877560081213675E-2</v>
      </c>
      <c r="F58" s="449">
        <f t="shared" si="7"/>
        <v>5.2869451669111008E-2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2.1790055287868539</v>
      </c>
      <c r="D59" s="453">
        <f>IF(LN_IB1=0,0,LN_IB13/LN_IB1)</f>
        <v>2.3137667087075582</v>
      </c>
      <c r="E59" s="454">
        <f t="shared" si="6"/>
        <v>0.13476117992070424</v>
      </c>
      <c r="F59" s="449">
        <f t="shared" si="7"/>
        <v>6.1845267549977989E-2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4863.5403402522579</v>
      </c>
      <c r="D60" s="463">
        <f>LN_IB16*LN_IB4</f>
        <v>4696.9464186763435</v>
      </c>
      <c r="E60" s="463">
        <f t="shared" si="6"/>
        <v>-166.59392157591446</v>
      </c>
      <c r="F60" s="449">
        <f t="shared" si="7"/>
        <v>-3.4253632111803087E-2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9092.9614860984639</v>
      </c>
      <c r="D61" s="465">
        <f>IF(LN_IB17=0,0,LN_IB14/LN_IB17)</f>
        <v>9871.9233448413561</v>
      </c>
      <c r="E61" s="465">
        <f t="shared" si="6"/>
        <v>778.96185874289222</v>
      </c>
      <c r="F61" s="449">
        <f t="shared" si="7"/>
        <v>8.5666464103448331E-2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-2091.6410695492359</v>
      </c>
      <c r="D62" s="465">
        <f>LN_IA16-LN_IB18</f>
        <v>-2909.0210475953345</v>
      </c>
      <c r="E62" s="465">
        <f t="shared" si="6"/>
        <v>-817.37997804609859</v>
      </c>
      <c r="F62" s="449">
        <f t="shared" si="7"/>
        <v>0.39078405465726013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-10172780.719081087</v>
      </c>
      <c r="D63" s="448">
        <f>LN_IB19*LN_IB17</f>
        <v>-13663515.991357012</v>
      </c>
      <c r="E63" s="448">
        <f t="shared" si="6"/>
        <v>-3490735.2722759247</v>
      </c>
      <c r="F63" s="449">
        <f t="shared" si="7"/>
        <v>0.34314464930206856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181677769</v>
      </c>
      <c r="D66" s="448">
        <f>LN_IB1+LN_IB13</f>
        <v>177605406</v>
      </c>
      <c r="E66" s="448">
        <f>D66-C66</f>
        <v>-4072363</v>
      </c>
      <c r="F66" s="449">
        <f>IF(C66=0,0,E66/C66)</f>
        <v>-2.2415307180483925E-2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67118452</v>
      </c>
      <c r="D67" s="448">
        <f>LN_IB2+LN_IB14</f>
        <v>68513498</v>
      </c>
      <c r="E67" s="448">
        <f>D67-C67</f>
        <v>1395046</v>
      </c>
      <c r="F67" s="449">
        <f>IF(C67=0,0,E67/C67)</f>
        <v>2.0784835740848134E-2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114559317</v>
      </c>
      <c r="D68" s="448">
        <f>LN_IB21-LN_IB22</f>
        <v>109091908</v>
      </c>
      <c r="E68" s="448">
        <f>D68-C68</f>
        <v>-5467409</v>
      </c>
      <c r="F68" s="449">
        <f>IF(C68=0,0,E68/C68)</f>
        <v>-4.7725572595723492E-2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-14645824.214675328</v>
      </c>
      <c r="D70" s="441">
        <f>LN_IB9+LN_IB20</f>
        <v>-19065177.365118708</v>
      </c>
      <c r="E70" s="448">
        <f>D70-C70</f>
        <v>-4419353.1504433807</v>
      </c>
      <c r="F70" s="449">
        <f>IF(C70=0,0,E70/C70)</f>
        <v>0.30174834039146292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177406112</v>
      </c>
      <c r="D73" s="488">
        <v>174747361</v>
      </c>
      <c r="E73" s="488">
        <f>D73-C73</f>
        <v>-2658751</v>
      </c>
      <c r="F73" s="489">
        <f>IF(C73=0,0,E73/C73)</f>
        <v>-1.4986806091551119E-2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67686329</v>
      </c>
      <c r="D74" s="488">
        <v>70562058</v>
      </c>
      <c r="E74" s="488">
        <f>D74-C74</f>
        <v>2875729</v>
      </c>
      <c r="F74" s="489">
        <f>IF(C74=0,0,E74/C74)</f>
        <v>4.2486112668335137E-2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109719783</v>
      </c>
      <c r="D76" s="441">
        <f>LN_IB32-LN_IB33</f>
        <v>104185303</v>
      </c>
      <c r="E76" s="488">
        <f>D76-C76</f>
        <v>-5534480</v>
      </c>
      <c r="F76" s="489">
        <f>IF(E76=0,0,E76/C76)</f>
        <v>-5.0441951749029615E-2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0.61846675834934028</v>
      </c>
      <c r="D77" s="453">
        <f>IF(LN_IB32=0,0,LN_IB34/LN_IB32)</f>
        <v>0.59620530120623683</v>
      </c>
      <c r="E77" s="493">
        <f>D77-C77</f>
        <v>-2.2261457143103458E-2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776076</v>
      </c>
      <c r="D83" s="448">
        <v>295352</v>
      </c>
      <c r="E83" s="448">
        <f t="shared" ref="E83:E95" si="8">D83-C83</f>
        <v>-480724</v>
      </c>
      <c r="F83" s="449">
        <f t="shared" ref="F83:F95" si="9">IF(C83=0,0,E83/C83)</f>
        <v>-0.6194290249923976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432874</v>
      </c>
      <c r="D84" s="448">
        <v>99041</v>
      </c>
      <c r="E84" s="448">
        <f t="shared" si="8"/>
        <v>-333833</v>
      </c>
      <c r="F84" s="449">
        <f t="shared" si="9"/>
        <v>-0.77120131955257187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0.55777269236518068</v>
      </c>
      <c r="D85" s="453">
        <f>IF(LN_IC1=0,0,LN_IC2/LN_IC1)</f>
        <v>0.33533207833364936</v>
      </c>
      <c r="E85" s="454">
        <f t="shared" si="8"/>
        <v>-0.22244061403153131</v>
      </c>
      <c r="F85" s="449">
        <f t="shared" si="9"/>
        <v>-0.39880154958517888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81</v>
      </c>
      <c r="D86" s="456">
        <v>11</v>
      </c>
      <c r="E86" s="456">
        <f t="shared" si="8"/>
        <v>-70</v>
      </c>
      <c r="F86" s="449">
        <f t="shared" si="9"/>
        <v>-0.86419753086419748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0.85394000000000003</v>
      </c>
      <c r="D87" s="459">
        <v>0.92817000000000005</v>
      </c>
      <c r="E87" s="460">
        <f t="shared" si="8"/>
        <v>7.4230000000000018E-2</v>
      </c>
      <c r="F87" s="449">
        <f t="shared" si="9"/>
        <v>8.6926481954235676E-2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69.169139999999999</v>
      </c>
      <c r="D88" s="463">
        <f>LN_IC4*LN_IC5</f>
        <v>10.20987</v>
      </c>
      <c r="E88" s="463">
        <f t="shared" si="8"/>
        <v>-58.959269999999997</v>
      </c>
      <c r="F88" s="449">
        <f t="shared" si="9"/>
        <v>-0.85239269998152356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6258.1954900697046</v>
      </c>
      <c r="D89" s="465">
        <f>IF(LN_IC6=0,0,LN_IC2/LN_IC6)</f>
        <v>9700.5152856990335</v>
      </c>
      <c r="E89" s="465">
        <f t="shared" si="8"/>
        <v>3442.3197956293288</v>
      </c>
      <c r="F89" s="449">
        <f t="shared" si="9"/>
        <v>0.55004989874341359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3698.9735514990416</v>
      </c>
      <c r="D90" s="465">
        <f>LN_IB7-LN_IC7</f>
        <v>702.04411108638487</v>
      </c>
      <c r="E90" s="465">
        <f t="shared" si="8"/>
        <v>-2996.9294404126567</v>
      </c>
      <c r="F90" s="449">
        <f t="shared" si="9"/>
        <v>-0.81020569590126557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1753.5755557334523</v>
      </c>
      <c r="D91" s="465">
        <f>LN_IA7-LN_IC7</f>
        <v>-1835.3039702405304</v>
      </c>
      <c r="E91" s="465">
        <f t="shared" si="8"/>
        <v>-3588.8795259739827</v>
      </c>
      <c r="F91" s="449">
        <f t="shared" si="9"/>
        <v>-2.0466067254643581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121293.31311510496</v>
      </c>
      <c r="D92" s="441">
        <f>LN_IC9*LN_IC6</f>
        <v>-18738.214946639684</v>
      </c>
      <c r="E92" s="441">
        <f t="shared" si="8"/>
        <v>-140031.52806174464</v>
      </c>
      <c r="F92" s="449">
        <f t="shared" si="9"/>
        <v>-1.1544867929269726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302</v>
      </c>
      <c r="D93" s="456">
        <v>25</v>
      </c>
      <c r="E93" s="456">
        <f t="shared" si="8"/>
        <v>-277</v>
      </c>
      <c r="F93" s="449">
        <f t="shared" si="9"/>
        <v>-0.91721854304635764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1433.3576158940398</v>
      </c>
      <c r="D94" s="499">
        <f>IF(LN_IC11=0,0,LN_IC2/LN_IC11)</f>
        <v>3961.64</v>
      </c>
      <c r="E94" s="499">
        <f t="shared" si="8"/>
        <v>2528.2823841059599</v>
      </c>
      <c r="F94" s="449">
        <f t="shared" si="9"/>
        <v>1.7638880598049314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3.7283950617283952</v>
      </c>
      <c r="D95" s="466">
        <f>IF(LN_IC4=0,0,LN_IC11/LN_IC4)</f>
        <v>2.2727272727272729</v>
      </c>
      <c r="E95" s="466">
        <f t="shared" si="8"/>
        <v>-1.4556677890011223</v>
      </c>
      <c r="F95" s="449">
        <f t="shared" si="9"/>
        <v>-0.39042745334136059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3495581</v>
      </c>
      <c r="D98" s="448">
        <v>2562693</v>
      </c>
      <c r="E98" s="448">
        <f t="shared" ref="E98:E106" si="10">D98-C98</f>
        <v>-932888</v>
      </c>
      <c r="F98" s="449">
        <f t="shared" ref="F98:F106" si="11">IF(C98=0,0,E98/C98)</f>
        <v>-0.26687637906259359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384446</v>
      </c>
      <c r="D99" s="448">
        <v>241000</v>
      </c>
      <c r="E99" s="448">
        <f t="shared" si="10"/>
        <v>-143446</v>
      </c>
      <c r="F99" s="449">
        <f t="shared" si="11"/>
        <v>-0.37312392377603099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0.10998057261439514</v>
      </c>
      <c r="D100" s="453">
        <f>IF(LN_IC14=0,0,LN_IC15/LN_IC14)</f>
        <v>9.4041697542389974E-2</v>
      </c>
      <c r="E100" s="454">
        <f t="shared" si="10"/>
        <v>-1.5938875072005171E-2</v>
      </c>
      <c r="F100" s="449">
        <f t="shared" si="11"/>
        <v>-0.14492445977608015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4.5041735603214121</v>
      </c>
      <c r="D101" s="453">
        <f>IF(LN_IC1=0,0,LN_IC14/LN_IC1)</f>
        <v>8.6767416506405919</v>
      </c>
      <c r="E101" s="454">
        <f t="shared" si="10"/>
        <v>4.1725680903191797</v>
      </c>
      <c r="F101" s="449">
        <f t="shared" si="11"/>
        <v>0.92637817669295819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364.83805838603439</v>
      </c>
      <c r="D102" s="463">
        <f>LN_IC17*LN_IC4</f>
        <v>95.444158157046516</v>
      </c>
      <c r="E102" s="463">
        <f t="shared" si="10"/>
        <v>-269.39390022898789</v>
      </c>
      <c r="F102" s="449">
        <f t="shared" si="11"/>
        <v>-0.73839308711577112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1053.7442329912262</v>
      </c>
      <c r="D103" s="465">
        <f>IF(LN_IC18=0,0,LN_IC15/LN_IC18)</f>
        <v>2525.0366775036327</v>
      </c>
      <c r="E103" s="465">
        <f t="shared" si="10"/>
        <v>1471.2924445124065</v>
      </c>
      <c r="F103" s="449">
        <f t="shared" si="11"/>
        <v>1.3962519541728842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8039.2172531072374</v>
      </c>
      <c r="D104" s="465">
        <f>LN_IB18-LN_IC19</f>
        <v>7346.8866673377233</v>
      </c>
      <c r="E104" s="465">
        <f t="shared" si="10"/>
        <v>-692.33058576951407</v>
      </c>
      <c r="F104" s="449">
        <f t="shared" si="11"/>
        <v>-8.61191536404768E-2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5947.5761835580015</v>
      </c>
      <c r="D105" s="465">
        <f>LN_IA16-LN_IC19</f>
        <v>4437.8656197423888</v>
      </c>
      <c r="E105" s="465">
        <f t="shared" si="10"/>
        <v>-1509.7105638156127</v>
      </c>
      <c r="F105" s="449">
        <f t="shared" si="11"/>
        <v>-0.2538362716545251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2169902.1469123219</v>
      </c>
      <c r="D106" s="448">
        <f>LN_IC21*LN_IC18</f>
        <v>423568.3480904118</v>
      </c>
      <c r="E106" s="448">
        <f t="shared" si="10"/>
        <v>-1746333.7988219101</v>
      </c>
      <c r="F106" s="449">
        <f t="shared" si="11"/>
        <v>-0.80479841052135392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4271657</v>
      </c>
      <c r="D109" s="448">
        <f>LN_IC1+LN_IC14</f>
        <v>2858045</v>
      </c>
      <c r="E109" s="448">
        <f>D109-C109</f>
        <v>-1413612</v>
      </c>
      <c r="F109" s="449">
        <f>IF(C109=0,0,E109/C109)</f>
        <v>-0.33092825570966955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817320</v>
      </c>
      <c r="D110" s="448">
        <f>LN_IC2+LN_IC15</f>
        <v>340041</v>
      </c>
      <c r="E110" s="448">
        <f>D110-C110</f>
        <v>-477279</v>
      </c>
      <c r="F110" s="449">
        <f>IF(C110=0,0,E110/C110)</f>
        <v>-0.58395610042578183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3454337</v>
      </c>
      <c r="D111" s="448">
        <f>LN_IC23-LN_IC24</f>
        <v>2518004</v>
      </c>
      <c r="E111" s="448">
        <f>D111-C111</f>
        <v>-936333</v>
      </c>
      <c r="F111" s="449">
        <f>IF(C111=0,0,E111/C111)</f>
        <v>-0.27106011949615799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2291195.4600274269</v>
      </c>
      <c r="D113" s="448">
        <f>LN_IC10+LN_IC22</f>
        <v>404830.13314377214</v>
      </c>
      <c r="E113" s="448">
        <f>D113-C113</f>
        <v>-1886365.3268836548</v>
      </c>
      <c r="F113" s="449">
        <f>IF(C113=0,0,E113/C113)</f>
        <v>-0.82331052055291432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32386777</v>
      </c>
      <c r="D118" s="448">
        <v>36492468</v>
      </c>
      <c r="E118" s="448">
        <f t="shared" ref="E118:E130" si="12">D118-C118</f>
        <v>4105691</v>
      </c>
      <c r="F118" s="449">
        <f t="shared" ref="F118:F130" si="13">IF(C118=0,0,E118/C118)</f>
        <v>0.12677059529572826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7507994</v>
      </c>
      <c r="D119" s="448">
        <v>7773339</v>
      </c>
      <c r="E119" s="448">
        <f t="shared" si="12"/>
        <v>265345</v>
      </c>
      <c r="F119" s="449">
        <f t="shared" si="13"/>
        <v>3.5341663831910362E-2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0.23182282077651628</v>
      </c>
      <c r="D120" s="453">
        <f>IF(LN_ID1=0,0,LN_1D2/LN_ID1)</f>
        <v>0.2130121481506814</v>
      </c>
      <c r="E120" s="454">
        <f t="shared" si="12"/>
        <v>-1.8810672625834884E-2</v>
      </c>
      <c r="F120" s="449">
        <f t="shared" si="13"/>
        <v>-8.1142454236500308E-2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1416</v>
      </c>
      <c r="D121" s="456">
        <v>1523</v>
      </c>
      <c r="E121" s="456">
        <f t="shared" si="12"/>
        <v>107</v>
      </c>
      <c r="F121" s="449">
        <f t="shared" si="13"/>
        <v>7.5564971751412427E-2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0.84899000000000002</v>
      </c>
      <c r="D122" s="459">
        <v>0.87407999999999997</v>
      </c>
      <c r="E122" s="460">
        <f t="shared" si="12"/>
        <v>2.5089999999999946E-2</v>
      </c>
      <c r="F122" s="449">
        <f t="shared" si="13"/>
        <v>2.9552762694495749E-2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1202.16984</v>
      </c>
      <c r="D123" s="463">
        <f>LN_ID4*LN_ID5</f>
        <v>1331.2238399999999</v>
      </c>
      <c r="E123" s="463">
        <f t="shared" si="12"/>
        <v>129.05399999999986</v>
      </c>
      <c r="F123" s="449">
        <f t="shared" si="13"/>
        <v>0.10735088812409389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6245.3687908191077</v>
      </c>
      <c r="D124" s="465">
        <f>IF(LN_ID6=0,0,LN_1D2/LN_ID6)</f>
        <v>5839.2426325538163</v>
      </c>
      <c r="E124" s="465">
        <f t="shared" si="12"/>
        <v>-406.12615826529145</v>
      </c>
      <c r="F124" s="449">
        <f t="shared" si="13"/>
        <v>-6.5028370920594783E-2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3711.8002507496385</v>
      </c>
      <c r="D125" s="465">
        <f>LN_IB7-LN_ID7</f>
        <v>4563.3167642316021</v>
      </c>
      <c r="E125" s="465">
        <f t="shared" si="12"/>
        <v>851.51651348196356</v>
      </c>
      <c r="F125" s="449">
        <f t="shared" si="13"/>
        <v>0.22940795731397198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1766.4022549840493</v>
      </c>
      <c r="D126" s="465">
        <f>LN_IA7-LN_ID7</f>
        <v>2025.9686829046868</v>
      </c>
      <c r="E126" s="465">
        <f t="shared" si="12"/>
        <v>259.56642792063758</v>
      </c>
      <c r="F126" s="449">
        <f t="shared" si="13"/>
        <v>0.14694638618596051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2123515.5162498136</v>
      </c>
      <c r="D127" s="479">
        <f>LN_ID9*LN_ID6</f>
        <v>2697017.8097761194</v>
      </c>
      <c r="E127" s="479">
        <f t="shared" si="12"/>
        <v>573502.29352630582</v>
      </c>
      <c r="F127" s="449">
        <f t="shared" si="13"/>
        <v>0.27007209937374349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5988</v>
      </c>
      <c r="D128" s="456">
        <v>6648</v>
      </c>
      <c r="E128" s="456">
        <f t="shared" si="12"/>
        <v>660</v>
      </c>
      <c r="F128" s="449">
        <f t="shared" si="13"/>
        <v>0.11022044088176353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1253.8400133600535</v>
      </c>
      <c r="D129" s="465">
        <f>IF(LN_ID11=0,0,LN_1D2/LN_ID11)</f>
        <v>1169.2748194945848</v>
      </c>
      <c r="E129" s="465">
        <f t="shared" si="12"/>
        <v>-84.5651938654687</v>
      </c>
      <c r="F129" s="449">
        <f t="shared" si="13"/>
        <v>-6.7444963443820893E-2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4.2288135593220337</v>
      </c>
      <c r="D130" s="466">
        <f>IF(LN_ID4=0,0,LN_ID11/LN_ID4)</f>
        <v>4.3650689428759026</v>
      </c>
      <c r="E130" s="466">
        <f t="shared" si="12"/>
        <v>0.1362553835538689</v>
      </c>
      <c r="F130" s="449">
        <f t="shared" si="13"/>
        <v>3.2220711942598255E-2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57863722</v>
      </c>
      <c r="D133" s="448">
        <v>70096265</v>
      </c>
      <c r="E133" s="448">
        <f t="shared" ref="E133:E141" si="14">D133-C133</f>
        <v>12232543</v>
      </c>
      <c r="F133" s="449">
        <f t="shared" ref="F133:F141" si="15">IF(C133=0,0,E133/C133)</f>
        <v>0.21140262978589591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10695352</v>
      </c>
      <c r="D134" s="448">
        <v>12593462</v>
      </c>
      <c r="E134" s="448">
        <f t="shared" si="14"/>
        <v>1898110</v>
      </c>
      <c r="F134" s="449">
        <f t="shared" si="15"/>
        <v>0.1774705498238861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0.18483691733483718</v>
      </c>
      <c r="D135" s="453">
        <f>IF(LN_ID14=0,0,LN_ID15/LN_ID14)</f>
        <v>0.17965952964826301</v>
      </c>
      <c r="E135" s="454">
        <f t="shared" si="14"/>
        <v>-5.1773876865741641E-3</v>
      </c>
      <c r="F135" s="449">
        <f t="shared" si="15"/>
        <v>-2.8010571487703313E-2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1.7866465069988287</v>
      </c>
      <c r="D136" s="453">
        <f>IF(LN_ID1=0,0,LN_ID14/LN_ID1)</f>
        <v>1.92084199402463</v>
      </c>
      <c r="E136" s="454">
        <f t="shared" si="14"/>
        <v>0.13419548702580131</v>
      </c>
      <c r="F136" s="449">
        <f t="shared" si="15"/>
        <v>7.511026187895449E-2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2529.8914539103412</v>
      </c>
      <c r="D137" s="463">
        <f>LN_ID17*LN_ID4</f>
        <v>2925.4423568995117</v>
      </c>
      <c r="E137" s="463">
        <f t="shared" si="14"/>
        <v>395.55090298917048</v>
      </c>
      <c r="F137" s="449">
        <f t="shared" si="15"/>
        <v>0.15635093844749148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4227.5932366460502</v>
      </c>
      <c r="D138" s="465">
        <f>IF(LN_ID18=0,0,LN_ID15/LN_ID18)</f>
        <v>4304.8060647303273</v>
      </c>
      <c r="E138" s="465">
        <f t="shared" si="14"/>
        <v>77.212828084277135</v>
      </c>
      <c r="F138" s="449">
        <f t="shared" si="15"/>
        <v>1.8264015424893084E-2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4865.3682494524137</v>
      </c>
      <c r="D139" s="465">
        <f>LN_IB18-LN_ID19</f>
        <v>5567.1172801110288</v>
      </c>
      <c r="E139" s="465">
        <f t="shared" si="14"/>
        <v>701.74903065861508</v>
      </c>
      <c r="F139" s="449">
        <f t="shared" si="15"/>
        <v>0.14423348751404283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2773.7271799031778</v>
      </c>
      <c r="D140" s="465">
        <f>LN_IA16-LN_ID19</f>
        <v>2658.0962325156943</v>
      </c>
      <c r="E140" s="465">
        <f t="shared" si="14"/>
        <v>-115.6309473874835</v>
      </c>
      <c r="F140" s="449">
        <f t="shared" si="15"/>
        <v>-4.1687931035639857E-2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7017228.6879158812</v>
      </c>
      <c r="D141" s="441">
        <f>LN_ID21*LN_ID18</f>
        <v>7776107.3073164253</v>
      </c>
      <c r="E141" s="441">
        <f t="shared" si="14"/>
        <v>758878.61940054409</v>
      </c>
      <c r="F141" s="449">
        <f t="shared" si="15"/>
        <v>0.10814506027249501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90250499</v>
      </c>
      <c r="D144" s="448">
        <f>LN_ID1+LN_ID14</f>
        <v>106588733</v>
      </c>
      <c r="E144" s="448">
        <f>D144-C144</f>
        <v>16338234</v>
      </c>
      <c r="F144" s="449">
        <f>IF(C144=0,0,E144/C144)</f>
        <v>0.18103206277009062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18203346</v>
      </c>
      <c r="D145" s="448">
        <f>LN_1D2+LN_ID15</f>
        <v>20366801</v>
      </c>
      <c r="E145" s="448">
        <f>D145-C145</f>
        <v>2163455</v>
      </c>
      <c r="F145" s="449">
        <f>IF(C145=0,0,E145/C145)</f>
        <v>0.11884930385875213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72047153</v>
      </c>
      <c r="D146" s="448">
        <f>LN_ID23-LN_ID24</f>
        <v>86221932</v>
      </c>
      <c r="E146" s="448">
        <f>D146-C146</f>
        <v>14174779</v>
      </c>
      <c r="F146" s="449">
        <f>IF(C146=0,0,E146/C146)</f>
        <v>0.19674308296401385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9140744.2041656952</v>
      </c>
      <c r="D148" s="448">
        <f>LN_ID10+LN_ID22</f>
        <v>10473125.117092544</v>
      </c>
      <c r="E148" s="448">
        <f>D148-C148</f>
        <v>1332380.912926849</v>
      </c>
      <c r="F148" s="503">
        <f>IF(C148=0,0,E148/C148)</f>
        <v>0.14576284853476651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9957.1690415687463</v>
      </c>
      <c r="D160" s="465">
        <f>LN_IB7-LN_IE7</f>
        <v>10402.559396785418</v>
      </c>
      <c r="E160" s="465">
        <f t="shared" si="16"/>
        <v>445.39035521667211</v>
      </c>
      <c r="F160" s="449">
        <f t="shared" si="17"/>
        <v>4.473062105878451E-2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8011.771045803157</v>
      </c>
      <c r="D161" s="465">
        <f>LN_IA7-LN_IE7</f>
        <v>7865.2113154585031</v>
      </c>
      <c r="E161" s="465">
        <f t="shared" si="16"/>
        <v>-146.55973034465387</v>
      </c>
      <c r="F161" s="449">
        <f t="shared" si="17"/>
        <v>-1.8293050251532952E-2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9092.9614860984639</v>
      </c>
      <c r="D174" s="465">
        <f>LN_IB18-LN_IE19</f>
        <v>9871.9233448413561</v>
      </c>
      <c r="E174" s="465">
        <f t="shared" si="18"/>
        <v>778.96185874289222</v>
      </c>
      <c r="F174" s="449">
        <f t="shared" si="19"/>
        <v>8.5666464103448331E-2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7001.320416549228</v>
      </c>
      <c r="D175" s="465">
        <f>LN_IA16-LN_IE19</f>
        <v>6962.9022972460216</v>
      </c>
      <c r="E175" s="465">
        <f t="shared" si="18"/>
        <v>-38.418119303206367</v>
      </c>
      <c r="F175" s="449">
        <f t="shared" si="19"/>
        <v>-5.4872676891627933E-3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32386777</v>
      </c>
      <c r="D188" s="448">
        <f>LN_ID1+LN_IE1</f>
        <v>36492468</v>
      </c>
      <c r="E188" s="448">
        <f t="shared" ref="E188:E200" si="20">D188-C188</f>
        <v>4105691</v>
      </c>
      <c r="F188" s="449">
        <f t="shared" ref="F188:F200" si="21">IF(C188=0,0,E188/C188)</f>
        <v>0.12677059529572826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7507994</v>
      </c>
      <c r="D189" s="448">
        <f>LN_1D2+LN_IE2</f>
        <v>7773339</v>
      </c>
      <c r="E189" s="448">
        <f t="shared" si="20"/>
        <v>265345</v>
      </c>
      <c r="F189" s="449">
        <f t="shared" si="21"/>
        <v>3.5341663831910362E-2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0.23182282077651628</v>
      </c>
      <c r="D190" s="453">
        <f>IF(LN_IF1=0,0,LN_IF2/LN_IF1)</f>
        <v>0.2130121481506814</v>
      </c>
      <c r="E190" s="454">
        <f t="shared" si="20"/>
        <v>-1.8810672625834884E-2</v>
      </c>
      <c r="F190" s="449">
        <f t="shared" si="21"/>
        <v>-8.1142454236500308E-2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1416</v>
      </c>
      <c r="D191" s="456">
        <f>LN_ID4+LN_IE4</f>
        <v>1523</v>
      </c>
      <c r="E191" s="456">
        <f t="shared" si="20"/>
        <v>107</v>
      </c>
      <c r="F191" s="449">
        <f t="shared" si="21"/>
        <v>7.5564971751412427E-2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0.84899000000000002</v>
      </c>
      <c r="D192" s="459">
        <f>IF((LN_ID4+LN_IE4)=0,0,(LN_ID6+LN_IE6)/(LN_ID4+LN_IE4))</f>
        <v>0.87407999999999997</v>
      </c>
      <c r="E192" s="460">
        <f t="shared" si="20"/>
        <v>2.5089999999999946E-2</v>
      </c>
      <c r="F192" s="449">
        <f t="shared" si="21"/>
        <v>2.9552762694495749E-2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1202.16984</v>
      </c>
      <c r="D193" s="463">
        <f>LN_IF4*LN_IF5</f>
        <v>1331.2238399999999</v>
      </c>
      <c r="E193" s="463">
        <f t="shared" si="20"/>
        <v>129.05399999999986</v>
      </c>
      <c r="F193" s="449">
        <f t="shared" si="21"/>
        <v>0.10735088812409389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6245.3687908191077</v>
      </c>
      <c r="D194" s="465">
        <f>IF(LN_IF6=0,0,LN_IF2/LN_IF6)</f>
        <v>5839.2426325538163</v>
      </c>
      <c r="E194" s="465">
        <f t="shared" si="20"/>
        <v>-406.12615826529145</v>
      </c>
      <c r="F194" s="449">
        <f t="shared" si="21"/>
        <v>-6.5028370920594783E-2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3711.8002507496385</v>
      </c>
      <c r="D195" s="465">
        <f>LN_IB7-LN_IF7</f>
        <v>4563.3167642316021</v>
      </c>
      <c r="E195" s="465">
        <f t="shared" si="20"/>
        <v>851.51651348196356</v>
      </c>
      <c r="F195" s="449">
        <f t="shared" si="21"/>
        <v>0.22940795731397198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1766.4022549840493</v>
      </c>
      <c r="D196" s="465">
        <f>LN_IA7-LN_IF7</f>
        <v>2025.9686829046868</v>
      </c>
      <c r="E196" s="465">
        <f t="shared" si="20"/>
        <v>259.56642792063758</v>
      </c>
      <c r="F196" s="449">
        <f t="shared" si="21"/>
        <v>0.14694638618596051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2123515.5162498136</v>
      </c>
      <c r="D197" s="479">
        <f>LN_IF9*LN_IF6</f>
        <v>2697017.8097761194</v>
      </c>
      <c r="E197" s="479">
        <f t="shared" si="20"/>
        <v>573502.29352630582</v>
      </c>
      <c r="F197" s="449">
        <f t="shared" si="21"/>
        <v>0.27007209937374349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5988</v>
      </c>
      <c r="D198" s="456">
        <f>LN_ID11+LN_IE11</f>
        <v>6648</v>
      </c>
      <c r="E198" s="456">
        <f t="shared" si="20"/>
        <v>660</v>
      </c>
      <c r="F198" s="449">
        <f t="shared" si="21"/>
        <v>0.11022044088176353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1253.8400133600535</v>
      </c>
      <c r="D199" s="519">
        <f>IF(LN_IF11=0,0,LN_IF2/LN_IF11)</f>
        <v>1169.2748194945848</v>
      </c>
      <c r="E199" s="519">
        <f t="shared" si="20"/>
        <v>-84.5651938654687</v>
      </c>
      <c r="F199" s="449">
        <f t="shared" si="21"/>
        <v>-6.7444963443820893E-2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4.2288135593220337</v>
      </c>
      <c r="D200" s="466">
        <f>IF(LN_IF4=0,0,LN_IF11/LN_IF4)</f>
        <v>4.3650689428759026</v>
      </c>
      <c r="E200" s="466">
        <f t="shared" si="20"/>
        <v>0.1362553835538689</v>
      </c>
      <c r="F200" s="449">
        <f t="shared" si="21"/>
        <v>3.2220711942598255E-2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57863722</v>
      </c>
      <c r="D203" s="448">
        <f>LN_ID14+LN_IE14</f>
        <v>70096265</v>
      </c>
      <c r="E203" s="448">
        <f t="shared" ref="E203:E211" si="22">D203-C203</f>
        <v>12232543</v>
      </c>
      <c r="F203" s="449">
        <f t="shared" ref="F203:F211" si="23">IF(C203=0,0,E203/C203)</f>
        <v>0.21140262978589591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10695352</v>
      </c>
      <c r="D204" s="448">
        <f>LN_ID15+LN_IE15</f>
        <v>12593462</v>
      </c>
      <c r="E204" s="448">
        <f t="shared" si="22"/>
        <v>1898110</v>
      </c>
      <c r="F204" s="449">
        <f t="shared" si="23"/>
        <v>0.1774705498238861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0.18483691733483718</v>
      </c>
      <c r="D205" s="453">
        <f>IF(LN_IF14=0,0,LN_IF15/LN_IF14)</f>
        <v>0.17965952964826301</v>
      </c>
      <c r="E205" s="454">
        <f t="shared" si="22"/>
        <v>-5.1773876865741641E-3</v>
      </c>
      <c r="F205" s="449">
        <f t="shared" si="23"/>
        <v>-2.8010571487703313E-2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1.7866465069988287</v>
      </c>
      <c r="D206" s="453">
        <f>IF(LN_IF1=0,0,LN_IF14/LN_IF1)</f>
        <v>1.92084199402463</v>
      </c>
      <c r="E206" s="454">
        <f t="shared" si="22"/>
        <v>0.13419548702580131</v>
      </c>
      <c r="F206" s="449">
        <f t="shared" si="23"/>
        <v>7.511026187895449E-2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2529.8914539103412</v>
      </c>
      <c r="D207" s="463">
        <f>LN_ID18+LN_IE18</f>
        <v>2925.4423568995117</v>
      </c>
      <c r="E207" s="463">
        <f t="shared" si="22"/>
        <v>395.55090298917048</v>
      </c>
      <c r="F207" s="449">
        <f t="shared" si="23"/>
        <v>0.15635093844749148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4227.5932366460502</v>
      </c>
      <c r="D208" s="465">
        <f>IF(LN_IF18=0,0,LN_IF15/LN_IF18)</f>
        <v>4304.8060647303273</v>
      </c>
      <c r="E208" s="465">
        <f t="shared" si="22"/>
        <v>77.212828084277135</v>
      </c>
      <c r="F208" s="449">
        <f t="shared" si="23"/>
        <v>1.8264015424893084E-2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4865.3682494524137</v>
      </c>
      <c r="D209" s="465">
        <f>LN_IB18-LN_IF19</f>
        <v>5567.1172801110288</v>
      </c>
      <c r="E209" s="465">
        <f t="shared" si="22"/>
        <v>701.74903065861508</v>
      </c>
      <c r="F209" s="449">
        <f t="shared" si="23"/>
        <v>0.14423348751404283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2773.7271799031778</v>
      </c>
      <c r="D210" s="465">
        <f>LN_IA16-LN_IF19</f>
        <v>2658.0962325156943</v>
      </c>
      <c r="E210" s="465">
        <f t="shared" si="22"/>
        <v>-115.6309473874835</v>
      </c>
      <c r="F210" s="449">
        <f t="shared" si="23"/>
        <v>-4.1687931035639857E-2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7017228.6879158812</v>
      </c>
      <c r="D211" s="441">
        <f>LN_IF21*LN_IF18</f>
        <v>7776107.3073164253</v>
      </c>
      <c r="E211" s="441">
        <f t="shared" si="22"/>
        <v>758878.61940054409</v>
      </c>
      <c r="F211" s="449">
        <f t="shared" si="23"/>
        <v>0.10814506027249501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90250499</v>
      </c>
      <c r="D214" s="448">
        <f>LN_IF1+LN_IF14</f>
        <v>106588733</v>
      </c>
      <c r="E214" s="448">
        <f>D214-C214</f>
        <v>16338234</v>
      </c>
      <c r="F214" s="449">
        <f>IF(C214=0,0,E214/C214)</f>
        <v>0.18103206277009062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18203346</v>
      </c>
      <c r="D215" s="448">
        <f>LN_IF2+LN_IF15</f>
        <v>20366801</v>
      </c>
      <c r="E215" s="448">
        <f>D215-C215</f>
        <v>2163455</v>
      </c>
      <c r="F215" s="449">
        <f>IF(C215=0,0,E215/C215)</f>
        <v>0.11884930385875213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72047153</v>
      </c>
      <c r="D216" s="448">
        <f>LN_IF23-LN_IF24</f>
        <v>86221932</v>
      </c>
      <c r="E216" s="448">
        <f>D216-C216</f>
        <v>14174779</v>
      </c>
      <c r="F216" s="449">
        <f>IF(C216=0,0,E216/C216)</f>
        <v>0.19674308296401385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111721</v>
      </c>
      <c r="D221" s="448">
        <v>147675</v>
      </c>
      <c r="E221" s="448">
        <f t="shared" ref="E221:E230" si="24">D221-C221</f>
        <v>35954</v>
      </c>
      <c r="F221" s="449">
        <f t="shared" ref="F221:F230" si="25">IF(C221=0,0,E221/C221)</f>
        <v>0.32181953258563745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38332</v>
      </c>
      <c r="D222" s="448">
        <v>0</v>
      </c>
      <c r="E222" s="448">
        <f t="shared" si="24"/>
        <v>-38332</v>
      </c>
      <c r="F222" s="449">
        <f t="shared" si="25"/>
        <v>-1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0.34310469831097107</v>
      </c>
      <c r="D223" s="453">
        <f>IF(LN_IG1=0,0,LN_IG2/LN_IG1)</f>
        <v>0</v>
      </c>
      <c r="E223" s="454">
        <f t="shared" si="24"/>
        <v>-0.34310469831097107</v>
      </c>
      <c r="F223" s="449">
        <f t="shared" si="25"/>
        <v>-1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</v>
      </c>
      <c r="D224" s="456">
        <v>10</v>
      </c>
      <c r="E224" s="456">
        <f t="shared" si="24"/>
        <v>6</v>
      </c>
      <c r="F224" s="449">
        <f t="shared" si="25"/>
        <v>1.5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1.24465</v>
      </c>
      <c r="D225" s="459">
        <v>0.65644999999999998</v>
      </c>
      <c r="E225" s="460">
        <f t="shared" si="24"/>
        <v>-0.58820000000000006</v>
      </c>
      <c r="F225" s="449">
        <f t="shared" si="25"/>
        <v>-0.47258265375808461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4.9786000000000001</v>
      </c>
      <c r="D226" s="463">
        <f>LN_IG3*LN_IG4</f>
        <v>6.5644999999999998</v>
      </c>
      <c r="E226" s="463">
        <f t="shared" si="24"/>
        <v>1.5858999999999996</v>
      </c>
      <c r="F226" s="449">
        <f t="shared" si="25"/>
        <v>0.31854336560478841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7699.3532318322414</v>
      </c>
      <c r="D227" s="465">
        <f>IF(LN_IG5=0,0,LN_IG2/LN_IG5)</f>
        <v>0</v>
      </c>
      <c r="E227" s="465">
        <f t="shared" si="24"/>
        <v>-7699.3532318322414</v>
      </c>
      <c r="F227" s="449">
        <f t="shared" si="25"/>
        <v>-1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9</v>
      </c>
      <c r="D228" s="456">
        <v>26</v>
      </c>
      <c r="E228" s="456">
        <f t="shared" si="24"/>
        <v>17</v>
      </c>
      <c r="F228" s="449">
        <f t="shared" si="25"/>
        <v>1.8888888888888888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4259.1111111111113</v>
      </c>
      <c r="D229" s="465">
        <f>IF(LN_IG6=0,0,LN_IG2/LN_IG6)</f>
        <v>0</v>
      </c>
      <c r="E229" s="465">
        <f t="shared" si="24"/>
        <v>-4259.1111111111113</v>
      </c>
      <c r="F229" s="449">
        <f t="shared" si="25"/>
        <v>-1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2.25</v>
      </c>
      <c r="D230" s="466">
        <f>IF(LN_IG3=0,0,LN_IG6/LN_IG3)</f>
        <v>2.6</v>
      </c>
      <c r="E230" s="466">
        <f t="shared" si="24"/>
        <v>0.35000000000000009</v>
      </c>
      <c r="F230" s="449">
        <f t="shared" si="25"/>
        <v>0.15555555555555559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330872</v>
      </c>
      <c r="D233" s="448">
        <v>415176</v>
      </c>
      <c r="E233" s="448">
        <f>D233-C233</f>
        <v>84304</v>
      </c>
      <c r="F233" s="449">
        <f>IF(C233=0,0,E233/C233)</f>
        <v>0.25479339442443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72683</v>
      </c>
      <c r="D234" s="448">
        <v>76825</v>
      </c>
      <c r="E234" s="448">
        <f>D234-C234</f>
        <v>4142</v>
      </c>
      <c r="F234" s="449">
        <f>IF(C234=0,0,E234/C234)</f>
        <v>5.6987190952492328E-2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442593</v>
      </c>
      <c r="D237" s="448">
        <f>LN_IG1+LN_IG9</f>
        <v>562851</v>
      </c>
      <c r="E237" s="448">
        <f>D237-C237</f>
        <v>120258</v>
      </c>
      <c r="F237" s="449">
        <f>IF(C237=0,0,E237/C237)</f>
        <v>0.27171238587144397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111015</v>
      </c>
      <c r="D238" s="448">
        <f>LN_IG2+LN_IG10</f>
        <v>76825</v>
      </c>
      <c r="E238" s="448">
        <f>D238-C238</f>
        <v>-34190</v>
      </c>
      <c r="F238" s="449">
        <f>IF(C238=0,0,E238/C238)</f>
        <v>-0.3079763995856416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331578</v>
      </c>
      <c r="D239" s="448">
        <f>LN_IG13-LN_IG14</f>
        <v>486026</v>
      </c>
      <c r="E239" s="448">
        <f>D239-C239</f>
        <v>154448</v>
      </c>
      <c r="F239" s="449">
        <f>IF(C239=0,0,E239/C239)</f>
        <v>0.4657968864038024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3270624</v>
      </c>
      <c r="D243" s="448">
        <v>5691910</v>
      </c>
      <c r="E243" s="441">
        <f>D243-C243</f>
        <v>2421286</v>
      </c>
      <c r="F243" s="503">
        <f>IF(C243=0,0,E243/C243)</f>
        <v>0.74031316348195331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130275487</v>
      </c>
      <c r="D244" s="448">
        <v>141153441</v>
      </c>
      <c r="E244" s="441">
        <f>D244-C244</f>
        <v>10877954</v>
      </c>
      <c r="F244" s="503">
        <f>IF(C244=0,0,E244/C244)</f>
        <v>8.3499622611274527E-2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3784978</v>
      </c>
      <c r="D248" s="441">
        <v>3122499</v>
      </c>
      <c r="E248" s="441">
        <f>D248-C248</f>
        <v>-662479</v>
      </c>
      <c r="F248" s="449">
        <f>IF(C248=0,0,E248/C248)</f>
        <v>-0.17502849422110248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1054556</v>
      </c>
      <c r="D249" s="441">
        <v>1784106</v>
      </c>
      <c r="E249" s="441">
        <f>D249-C249</f>
        <v>729550</v>
      </c>
      <c r="F249" s="449">
        <f>IF(C249=0,0,E249/C249)</f>
        <v>0.69180773709504284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4839534</v>
      </c>
      <c r="D250" s="441">
        <f>LN_IH4+LN_IH5</f>
        <v>4906605</v>
      </c>
      <c r="E250" s="441">
        <f>D250-C250</f>
        <v>67071</v>
      </c>
      <c r="F250" s="449">
        <f>IF(C250=0,0,E250/C250)</f>
        <v>1.3858978984340228E-2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1393479.632479456</v>
      </c>
      <c r="D251" s="441">
        <f>LN_IH6*LN_III10</f>
        <v>1380785.4119423637</v>
      </c>
      <c r="E251" s="441">
        <f>D251-C251</f>
        <v>-12694.220537092304</v>
      </c>
      <c r="F251" s="449">
        <f>IF(C251=0,0,E251/C251)</f>
        <v>-9.1097280801335674E-3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90250499</v>
      </c>
      <c r="D254" s="441">
        <f>LN_IF23</f>
        <v>106588733</v>
      </c>
      <c r="E254" s="441">
        <f>D254-C254</f>
        <v>16338234</v>
      </c>
      <c r="F254" s="449">
        <f>IF(C254=0,0,E254/C254)</f>
        <v>0.18103206277009062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18203346</v>
      </c>
      <c r="D255" s="441">
        <f>LN_IF24</f>
        <v>20366801</v>
      </c>
      <c r="E255" s="441">
        <f>D255-C255</f>
        <v>2163455</v>
      </c>
      <c r="F255" s="449">
        <f>IF(C255=0,0,E255/C255)</f>
        <v>0.11884930385875213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25986434.267763697</v>
      </c>
      <c r="D256" s="441">
        <f>LN_IH8*LN_III10</f>
        <v>29995519.835776392</v>
      </c>
      <c r="E256" s="441">
        <f>D256-C256</f>
        <v>4009085.5680126958</v>
      </c>
      <c r="F256" s="449">
        <f>IF(C256=0,0,E256/C256)</f>
        <v>0.15427609369962644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7783088.2677636966</v>
      </c>
      <c r="D257" s="441">
        <f>LN_IH10-LN_IH9</f>
        <v>9628718.8357763924</v>
      </c>
      <c r="E257" s="441">
        <f>D257-C257</f>
        <v>1845630.5680126958</v>
      </c>
      <c r="F257" s="449">
        <f>IF(C257=0,0,E257/C257)</f>
        <v>0.2371334494119772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205456234</v>
      </c>
      <c r="D261" s="448">
        <f>LN_IA1+LN_IB1+LN_IF1+LN_IG1</f>
        <v>212414605</v>
      </c>
      <c r="E261" s="448">
        <f t="shared" ref="E261:E274" si="26">D261-C261</f>
        <v>6958371</v>
      </c>
      <c r="F261" s="503">
        <f t="shared" ref="F261:F274" si="27">IF(C261=0,0,E261/C261)</f>
        <v>3.3867899087452365E-2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65254447</v>
      </c>
      <c r="D262" s="448">
        <f>+LN_IA2+LN_IB2+LN_IF2+LN_IG2</f>
        <v>64748718</v>
      </c>
      <c r="E262" s="448">
        <f t="shared" si="26"/>
        <v>-505729</v>
      </c>
      <c r="F262" s="503">
        <f t="shared" si="27"/>
        <v>-7.7501078202379062E-3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0.31760752998130004</v>
      </c>
      <c r="D263" s="453">
        <f>IF(LN_IIA1=0,0,LN_IIA2/LN_IIA1)</f>
        <v>0.3048223449606961</v>
      </c>
      <c r="E263" s="454">
        <f t="shared" si="26"/>
        <v>-1.278518502060394E-2</v>
      </c>
      <c r="F263" s="458">
        <f t="shared" si="27"/>
        <v>-4.0254665943709522E-2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6935</v>
      </c>
      <c r="D264" s="456">
        <f>LN_IA4+LN_IB4+LN_IF4+LN_IG3</f>
        <v>6950</v>
      </c>
      <c r="E264" s="456">
        <f t="shared" si="26"/>
        <v>15</v>
      </c>
      <c r="F264" s="503">
        <f t="shared" si="27"/>
        <v>2.1629416005767843E-3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1.1321927007930788</v>
      </c>
      <c r="D265" s="525">
        <f>IF(LN_IIA4=0,0,LN_IIA6/LN_IIA4)</f>
        <v>1.1359687035971224</v>
      </c>
      <c r="E265" s="525">
        <f t="shared" si="26"/>
        <v>3.7760028040436655E-3</v>
      </c>
      <c r="F265" s="503">
        <f t="shared" si="27"/>
        <v>3.3351237836091413E-3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7851.7563800000007</v>
      </c>
      <c r="D266" s="463">
        <f>LN_IA6+LN_IB6+LN_IF6+LN_IG5</f>
        <v>7894.9824900000003</v>
      </c>
      <c r="E266" s="463">
        <f t="shared" si="26"/>
        <v>43.226109999999608</v>
      </c>
      <c r="F266" s="503">
        <f t="shared" si="27"/>
        <v>5.5052790621605615E-3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277462740</v>
      </c>
      <c r="D267" s="448">
        <f>LN_IA11+LN_IB13+LN_IF14+LN_IG9</f>
        <v>299395028</v>
      </c>
      <c r="E267" s="448">
        <f t="shared" si="26"/>
        <v>21932288</v>
      </c>
      <c r="F267" s="503">
        <f t="shared" si="27"/>
        <v>7.9045885584493256E-2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1.3504712638702412</v>
      </c>
      <c r="D268" s="453">
        <f>IF(LN_IIA1=0,0,LN_IIA7/LN_IIA1)</f>
        <v>1.4094841924829038</v>
      </c>
      <c r="E268" s="454">
        <f t="shared" si="26"/>
        <v>5.9012928612662607E-2</v>
      </c>
      <c r="F268" s="458">
        <f t="shared" si="27"/>
        <v>4.3698026156840028E-2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73795667</v>
      </c>
      <c r="D269" s="448">
        <f>LN_IA12+LN_IB14+LN_IF15+LN_IG10</f>
        <v>79281477</v>
      </c>
      <c r="E269" s="448">
        <f t="shared" si="26"/>
        <v>5485810</v>
      </c>
      <c r="F269" s="503">
        <f t="shared" si="27"/>
        <v>7.433783341236011E-2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0.26596604286398962</v>
      </c>
      <c r="D270" s="453">
        <f>IF(LN_IIA7=0,0,LN_IIA9/LN_IIA7)</f>
        <v>0.26480558989109199</v>
      </c>
      <c r="E270" s="454">
        <f t="shared" si="26"/>
        <v>-1.1604529728976298E-3</v>
      </c>
      <c r="F270" s="458">
        <f t="shared" si="27"/>
        <v>-4.363162155595424E-3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482918974</v>
      </c>
      <c r="D271" s="441">
        <f>LN_IIA1+LN_IIA7</f>
        <v>511809633</v>
      </c>
      <c r="E271" s="441">
        <f t="shared" si="26"/>
        <v>28890659</v>
      </c>
      <c r="F271" s="503">
        <f t="shared" si="27"/>
        <v>5.9825064980776672E-2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139050114</v>
      </c>
      <c r="D272" s="441">
        <f>LN_IIA2+LN_IIA9</f>
        <v>144030195</v>
      </c>
      <c r="E272" s="441">
        <f t="shared" si="26"/>
        <v>4980081</v>
      </c>
      <c r="F272" s="503">
        <f t="shared" si="27"/>
        <v>3.5815008393304877E-2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0.28793673780976764</v>
      </c>
      <c r="D273" s="453">
        <f>IF(LN_IIA11=0,0,LN_IIA12/LN_IIA11)</f>
        <v>0.28141360715654995</v>
      </c>
      <c r="E273" s="454">
        <f t="shared" si="26"/>
        <v>-6.5231306532176903E-3</v>
      </c>
      <c r="F273" s="458">
        <f t="shared" si="27"/>
        <v>-2.2654735560445761E-2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30806</v>
      </c>
      <c r="D274" s="508">
        <f>LN_IA8+LN_IB10+LN_IF11+LN_IG6</f>
        <v>30594</v>
      </c>
      <c r="E274" s="528">
        <f t="shared" si="26"/>
        <v>-212</v>
      </c>
      <c r="F274" s="458">
        <f t="shared" si="27"/>
        <v>-6.8817762773485686E-3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148306988</v>
      </c>
      <c r="D277" s="448">
        <f>LN_IA1+LN_IF1+LN_IG1</f>
        <v>158818374</v>
      </c>
      <c r="E277" s="448">
        <f t="shared" ref="E277:E291" si="28">D277-C277</f>
        <v>10511386</v>
      </c>
      <c r="F277" s="503">
        <f t="shared" ref="F277:F291" si="29">IF(C277=0,0,E277/C277)</f>
        <v>7.0875864595132898E-2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42359980</v>
      </c>
      <c r="D278" s="448">
        <f>LN_IA2+LN_IF2+LN_IG2</f>
        <v>42603115</v>
      </c>
      <c r="E278" s="448">
        <f t="shared" si="28"/>
        <v>243135</v>
      </c>
      <c r="F278" s="503">
        <f t="shared" si="29"/>
        <v>5.7397335881650561E-3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0.28562362820017623</v>
      </c>
      <c r="D279" s="453">
        <f>IF(D277=0,0,LN_IIB2/D277)</f>
        <v>0.2682505425977979</v>
      </c>
      <c r="E279" s="454">
        <f t="shared" si="28"/>
        <v>-1.7373085602378324E-2</v>
      </c>
      <c r="F279" s="458">
        <f t="shared" si="29"/>
        <v>-6.0825099491427878E-2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4703</v>
      </c>
      <c r="D280" s="456">
        <f>LN_IA4+LN_IF4+LN_IG3</f>
        <v>4920</v>
      </c>
      <c r="E280" s="456">
        <f t="shared" si="28"/>
        <v>217</v>
      </c>
      <c r="F280" s="503">
        <f t="shared" si="29"/>
        <v>4.6140761216244948E-2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1.1806212162449503</v>
      </c>
      <c r="D281" s="525">
        <f>IF(LN_IIB4=0,0,LN_IIB6/LN_IIB4)</f>
        <v>1.171975912601626</v>
      </c>
      <c r="E281" s="525">
        <f t="shared" si="28"/>
        <v>-8.6453036433242758E-3</v>
      </c>
      <c r="F281" s="503">
        <f t="shared" si="29"/>
        <v>-7.3226734573018084E-3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5552.461580000001</v>
      </c>
      <c r="D282" s="463">
        <f>LN_IA6+LN_IF6+LN_IG5</f>
        <v>5766.1214900000004</v>
      </c>
      <c r="E282" s="463">
        <f t="shared" si="28"/>
        <v>213.6599099999994</v>
      </c>
      <c r="F282" s="503">
        <f t="shared" si="29"/>
        <v>3.8480214031485355E-2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152934217</v>
      </c>
      <c r="D283" s="448">
        <f>LN_IA11+LN_IF14+LN_IG9</f>
        <v>175385853</v>
      </c>
      <c r="E283" s="448">
        <f t="shared" si="28"/>
        <v>22451636</v>
      </c>
      <c r="F283" s="503">
        <f t="shared" si="29"/>
        <v>0.14680583874830314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1.0312003437086863</v>
      </c>
      <c r="D284" s="453">
        <f>IF(D277=0,0,LN_IIB7/D277)</f>
        <v>1.104317142801122</v>
      </c>
      <c r="E284" s="454">
        <f t="shared" si="28"/>
        <v>7.3116799092435736E-2</v>
      </c>
      <c r="F284" s="458">
        <f t="shared" si="29"/>
        <v>7.0904552678360239E-2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29571682</v>
      </c>
      <c r="D285" s="448">
        <f>LN_IA12+LN_IF15+LN_IG10</f>
        <v>32913582</v>
      </c>
      <c r="E285" s="448">
        <f t="shared" si="28"/>
        <v>3341900</v>
      </c>
      <c r="F285" s="503">
        <f t="shared" si="29"/>
        <v>0.11301014260872953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0.19336210417842595</v>
      </c>
      <c r="D286" s="453">
        <f>IF(LN_IIB7=0,0,LN_IIB9/LN_IIB7)</f>
        <v>0.18766383626163965</v>
      </c>
      <c r="E286" s="454">
        <f t="shared" si="28"/>
        <v>-5.6982679167862926E-3</v>
      </c>
      <c r="F286" s="458">
        <f t="shared" si="29"/>
        <v>-2.9469414087096323E-2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301241205</v>
      </c>
      <c r="D287" s="441">
        <f>D277+LN_IIB7</f>
        <v>334204227</v>
      </c>
      <c r="E287" s="441">
        <f t="shared" si="28"/>
        <v>32963022</v>
      </c>
      <c r="F287" s="503">
        <f t="shared" si="29"/>
        <v>0.10942401455338754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71931662</v>
      </c>
      <c r="D288" s="441">
        <f>LN_IIB2+LN_IIB9</f>
        <v>75516697</v>
      </c>
      <c r="E288" s="441">
        <f t="shared" si="28"/>
        <v>3585035</v>
      </c>
      <c r="F288" s="503">
        <f t="shared" si="29"/>
        <v>4.9839457344944986E-2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0.23878427255660459</v>
      </c>
      <c r="D289" s="453">
        <f>IF(LN_IIB11=0,0,LN_IIB12/LN_IIB11)</f>
        <v>0.22595973030586475</v>
      </c>
      <c r="E289" s="454">
        <f t="shared" si="28"/>
        <v>-1.282454225073984E-2</v>
      </c>
      <c r="F289" s="458">
        <f t="shared" si="29"/>
        <v>-5.3707650480622593E-2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22399</v>
      </c>
      <c r="D290" s="508">
        <f>LN_IA8+LN_IF11+LN_IG6</f>
        <v>23262</v>
      </c>
      <c r="E290" s="528">
        <f t="shared" si="28"/>
        <v>863</v>
      </c>
      <c r="F290" s="458">
        <f t="shared" si="29"/>
        <v>3.8528505736863256E-2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229309543</v>
      </c>
      <c r="D291" s="516">
        <f>LN_IIB11-LN_IIB12</f>
        <v>258687530</v>
      </c>
      <c r="E291" s="441">
        <f t="shared" si="28"/>
        <v>29377987</v>
      </c>
      <c r="F291" s="503">
        <f t="shared" si="29"/>
        <v>0.12811497775301919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4.9960402071276269</v>
      </c>
      <c r="D294" s="466">
        <f>IF(LN_IA4=0,0,LN_IA8/LN_IA4)</f>
        <v>4.8975494537939177</v>
      </c>
      <c r="E294" s="466">
        <f t="shared" ref="E294:E300" si="30">D294-C294</f>
        <v>-9.8490753333709158E-2</v>
      </c>
      <c r="F294" s="503">
        <f t="shared" ref="F294:F300" si="31">IF(C294=0,0,E294/C294)</f>
        <v>-1.9713763150504035E-2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3.7665770609318998</v>
      </c>
      <c r="D295" s="466">
        <f>IF(LN_IB4=0,0,(LN_IB10)/(LN_IB4))</f>
        <v>3.6118226600985222</v>
      </c>
      <c r="E295" s="466">
        <f t="shared" si="30"/>
        <v>-0.15475440083337766</v>
      </c>
      <c r="F295" s="503">
        <f t="shared" si="31"/>
        <v>-4.1086216564779225E-2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3.7283950617283952</v>
      </c>
      <c r="D296" s="466">
        <f>IF(LN_IC4=0,0,LN_IC11/LN_IC4)</f>
        <v>2.2727272727272729</v>
      </c>
      <c r="E296" s="466">
        <f t="shared" si="30"/>
        <v>-1.4556677890011223</v>
      </c>
      <c r="F296" s="503">
        <f t="shared" si="31"/>
        <v>-0.39042745334136059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4.2288135593220337</v>
      </c>
      <c r="D297" s="466">
        <f>IF(LN_ID4=0,0,LN_ID11/LN_ID4)</f>
        <v>4.3650689428759026</v>
      </c>
      <c r="E297" s="466">
        <f t="shared" si="30"/>
        <v>0.1362553835538689</v>
      </c>
      <c r="F297" s="503">
        <f t="shared" si="31"/>
        <v>3.2220711942598255E-2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2.25</v>
      </c>
      <c r="D299" s="466">
        <f>IF(LN_IG3=0,0,LN_IG6/LN_IG3)</f>
        <v>2.6</v>
      </c>
      <c r="E299" s="466">
        <f t="shared" si="30"/>
        <v>0.35000000000000009</v>
      </c>
      <c r="F299" s="503">
        <f t="shared" si="31"/>
        <v>0.15555555555555559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4.4421052631578943</v>
      </c>
      <c r="D300" s="466">
        <f>IF(LN_IIA4=0,0,LN_IIA14/LN_IIA4)</f>
        <v>4.4020143884892082</v>
      </c>
      <c r="E300" s="466">
        <f t="shared" si="30"/>
        <v>-4.0090874668686105E-2</v>
      </c>
      <c r="F300" s="503">
        <f t="shared" si="31"/>
        <v>-9.0251969040881057E-3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482918974</v>
      </c>
      <c r="D304" s="441">
        <f>LN_IIA11</f>
        <v>511809633</v>
      </c>
      <c r="E304" s="441">
        <f t="shared" ref="E304:E316" si="32">D304-C304</f>
        <v>28890659</v>
      </c>
      <c r="F304" s="449">
        <f>IF(C304=0,0,E304/C304)</f>
        <v>5.9825064980776672E-2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229309543</v>
      </c>
      <c r="D305" s="441">
        <f>LN_IIB14</f>
        <v>258687530</v>
      </c>
      <c r="E305" s="441">
        <f t="shared" si="32"/>
        <v>29377987</v>
      </c>
      <c r="F305" s="449">
        <f>IF(C305=0,0,E305/C305)</f>
        <v>0.12811497775301919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4839534</v>
      </c>
      <c r="D306" s="441">
        <f>LN_IH6</f>
        <v>4906605</v>
      </c>
      <c r="E306" s="441">
        <f t="shared" si="32"/>
        <v>67071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109719783</v>
      </c>
      <c r="D307" s="441">
        <f>LN_IB32-LN_IB33</f>
        <v>104185303</v>
      </c>
      <c r="E307" s="441">
        <f t="shared" si="32"/>
        <v>-5534480</v>
      </c>
      <c r="F307" s="449">
        <f t="shared" ref="F307:F316" si="33">IF(C307=0,0,E307/C307)</f>
        <v>-5.0441951749029615E-2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343868860</v>
      </c>
      <c r="D309" s="441">
        <f>LN_III2+LN_III3+LN_III4+LN_III5</f>
        <v>367779438</v>
      </c>
      <c r="E309" s="441">
        <f t="shared" si="32"/>
        <v>23910578</v>
      </c>
      <c r="F309" s="449">
        <f t="shared" si="33"/>
        <v>6.9534002002972883E-2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139050114</v>
      </c>
      <c r="D310" s="441">
        <f>LN_III1-LN_III6</f>
        <v>144030195</v>
      </c>
      <c r="E310" s="441">
        <f t="shared" si="32"/>
        <v>4980081</v>
      </c>
      <c r="F310" s="449">
        <f t="shared" si="33"/>
        <v>3.5815008393304877E-2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139050114</v>
      </c>
      <c r="D312" s="441">
        <f>LN_III7+LN_III8</f>
        <v>144030195</v>
      </c>
      <c r="E312" s="441">
        <f t="shared" si="32"/>
        <v>4980081</v>
      </c>
      <c r="F312" s="449">
        <f t="shared" si="33"/>
        <v>3.5815008393304877E-2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0.28793673780976764</v>
      </c>
      <c r="D313" s="532">
        <f>IF(LN_III1=0,0,LN_III9/LN_III1)</f>
        <v>0.28141360715654995</v>
      </c>
      <c r="E313" s="532">
        <f t="shared" si="32"/>
        <v>-6.5231306532176903E-3</v>
      </c>
      <c r="F313" s="449">
        <f t="shared" si="33"/>
        <v>-2.2654735560445761E-2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1393479.632479456</v>
      </c>
      <c r="D314" s="441">
        <f>D313*LN_III5</f>
        <v>1380785.4119423637</v>
      </c>
      <c r="E314" s="441">
        <f t="shared" si="32"/>
        <v>-12694.220537092304</v>
      </c>
      <c r="F314" s="449">
        <f t="shared" si="33"/>
        <v>-9.1097280801335674E-3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7783088.2677636966</v>
      </c>
      <c r="D315" s="441">
        <f>D313*LN_IH8-LN_IH9</f>
        <v>9628718.8357763924</v>
      </c>
      <c r="E315" s="441">
        <f t="shared" si="32"/>
        <v>1845630.5680126958</v>
      </c>
      <c r="F315" s="449">
        <f t="shared" si="33"/>
        <v>0.2371334494119772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9176567.9002431519</v>
      </c>
      <c r="D318" s="441">
        <f>D314+D315+D316</f>
        <v>11009504.247718755</v>
      </c>
      <c r="E318" s="441">
        <f>D318-C318</f>
        <v>1832936.3474756032</v>
      </c>
      <c r="F318" s="449">
        <f>IF(C318=0,0,E318/C318)</f>
        <v>0.19974094535136996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7017228.6879158812</v>
      </c>
      <c r="D322" s="441">
        <f>LN_ID22</f>
        <v>7776107.3073164253</v>
      </c>
      <c r="E322" s="441">
        <f>LN_IV2-C322</f>
        <v>758878.61940054409</v>
      </c>
      <c r="F322" s="449">
        <f>IF(C322=0,0,E322/C322)</f>
        <v>0.10814506027249501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2291195.4600274269</v>
      </c>
      <c r="D324" s="441">
        <f>LN_IC10+LN_IC22</f>
        <v>404830.13314377214</v>
      </c>
      <c r="E324" s="441">
        <f>LN_IV1-C324</f>
        <v>-1886365.3268836548</v>
      </c>
      <c r="F324" s="449">
        <f>IF(C324=0,0,E324/C324)</f>
        <v>-0.82331052055291432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9308424.1479433086</v>
      </c>
      <c r="D325" s="516">
        <f>LN_IV1+LN_IV2+LN_IV3</f>
        <v>8180937.4404601976</v>
      </c>
      <c r="E325" s="441">
        <f>LN_IV4-C325</f>
        <v>-1127486.7074831109</v>
      </c>
      <c r="F325" s="449">
        <f>IF(C325=0,0,E325/C325)</f>
        <v>-0.12112541173064492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-3152120</v>
      </c>
      <c r="D330" s="516">
        <v>-1080839</v>
      </c>
      <c r="E330" s="518">
        <f t="shared" si="34"/>
        <v>2071281</v>
      </c>
      <c r="F330" s="543">
        <f t="shared" si="35"/>
        <v>-0.65710728017968856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135897993</v>
      </c>
      <c r="D331" s="516">
        <v>142949359</v>
      </c>
      <c r="E331" s="518">
        <f t="shared" si="34"/>
        <v>7051366</v>
      </c>
      <c r="F331" s="542">
        <f t="shared" si="35"/>
        <v>5.1887197480539687E-2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482918974</v>
      </c>
      <c r="D333" s="516">
        <v>511809632</v>
      </c>
      <c r="E333" s="518">
        <f t="shared" si="34"/>
        <v>28890658</v>
      </c>
      <c r="F333" s="542">
        <f t="shared" si="35"/>
        <v>5.982506291003592E-2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4839534</v>
      </c>
      <c r="D335" s="516">
        <v>4906605</v>
      </c>
      <c r="E335" s="516">
        <f t="shared" si="34"/>
        <v>67071</v>
      </c>
      <c r="F335" s="542">
        <f t="shared" si="35"/>
        <v>1.3858978984340228E-2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FILING&amp;RGRIFFIN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57149246</v>
      </c>
      <c r="D14" s="589">
        <v>53596231</v>
      </c>
      <c r="E14" s="590">
        <f t="shared" ref="E14:E22" si="0">D14-C14</f>
        <v>-3553015</v>
      </c>
    </row>
    <row r="15" spans="1:5" s="421" customFormat="1" x14ac:dyDescent="0.2">
      <c r="A15" s="588">
        <v>2</v>
      </c>
      <c r="B15" s="587" t="s">
        <v>634</v>
      </c>
      <c r="C15" s="589">
        <v>115808490</v>
      </c>
      <c r="D15" s="591">
        <v>122178231</v>
      </c>
      <c r="E15" s="590">
        <f t="shared" si="0"/>
        <v>6369741</v>
      </c>
    </row>
    <row r="16" spans="1:5" s="421" customFormat="1" x14ac:dyDescent="0.2">
      <c r="A16" s="588">
        <v>3</v>
      </c>
      <c r="B16" s="587" t="s">
        <v>776</v>
      </c>
      <c r="C16" s="589">
        <v>32386777</v>
      </c>
      <c r="D16" s="591">
        <v>36492468</v>
      </c>
      <c r="E16" s="590">
        <f t="shared" si="0"/>
        <v>4105691</v>
      </c>
    </row>
    <row r="17" spans="1:5" s="421" customFormat="1" x14ac:dyDescent="0.2">
      <c r="A17" s="588">
        <v>4</v>
      </c>
      <c r="B17" s="587" t="s">
        <v>115</v>
      </c>
      <c r="C17" s="589">
        <v>32386777</v>
      </c>
      <c r="D17" s="591">
        <v>36492468</v>
      </c>
      <c r="E17" s="590">
        <f t="shared" si="0"/>
        <v>4105691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111721</v>
      </c>
      <c r="D19" s="591">
        <v>147675</v>
      </c>
      <c r="E19" s="590">
        <f t="shared" si="0"/>
        <v>35954</v>
      </c>
    </row>
    <row r="20" spans="1:5" s="421" customFormat="1" x14ac:dyDescent="0.2">
      <c r="A20" s="588">
        <v>7</v>
      </c>
      <c r="B20" s="587" t="s">
        <v>757</v>
      </c>
      <c r="C20" s="589">
        <v>776076</v>
      </c>
      <c r="D20" s="591">
        <v>295352</v>
      </c>
      <c r="E20" s="590">
        <f t="shared" si="0"/>
        <v>-480724</v>
      </c>
    </row>
    <row r="21" spans="1:5" s="421" customFormat="1" x14ac:dyDescent="0.2">
      <c r="A21" s="588"/>
      <c r="B21" s="592" t="s">
        <v>777</v>
      </c>
      <c r="C21" s="593">
        <f>SUM(C15+C16+C19)</f>
        <v>148306988</v>
      </c>
      <c r="D21" s="593">
        <f>SUM(D15+D16+D19)</f>
        <v>158818374</v>
      </c>
      <c r="E21" s="593">
        <f t="shared" si="0"/>
        <v>10511386</v>
      </c>
    </row>
    <row r="22" spans="1:5" s="421" customFormat="1" x14ac:dyDescent="0.2">
      <c r="A22" s="588"/>
      <c r="B22" s="592" t="s">
        <v>465</v>
      </c>
      <c r="C22" s="593">
        <f>SUM(C14+C21)</f>
        <v>205456234</v>
      </c>
      <c r="D22" s="593">
        <f>SUM(D14+D21)</f>
        <v>212414605</v>
      </c>
      <c r="E22" s="593">
        <f t="shared" si="0"/>
        <v>6958371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124528523</v>
      </c>
      <c r="D25" s="589">
        <v>124009175</v>
      </c>
      <c r="E25" s="590">
        <f t="shared" ref="E25:E33" si="1">D25-C25</f>
        <v>-519348</v>
      </c>
    </row>
    <row r="26" spans="1:5" s="421" customFormat="1" x14ac:dyDescent="0.2">
      <c r="A26" s="588">
        <v>2</v>
      </c>
      <c r="B26" s="587" t="s">
        <v>634</v>
      </c>
      <c r="C26" s="589">
        <v>94739623</v>
      </c>
      <c r="D26" s="591">
        <v>104874412</v>
      </c>
      <c r="E26" s="590">
        <f t="shared" si="1"/>
        <v>10134789</v>
      </c>
    </row>
    <row r="27" spans="1:5" s="421" customFormat="1" x14ac:dyDescent="0.2">
      <c r="A27" s="588">
        <v>3</v>
      </c>
      <c r="B27" s="587" t="s">
        <v>776</v>
      </c>
      <c r="C27" s="589">
        <v>57863722</v>
      </c>
      <c r="D27" s="591">
        <v>70096265</v>
      </c>
      <c r="E27" s="590">
        <f t="shared" si="1"/>
        <v>12232543</v>
      </c>
    </row>
    <row r="28" spans="1:5" s="421" customFormat="1" x14ac:dyDescent="0.2">
      <c r="A28" s="588">
        <v>4</v>
      </c>
      <c r="B28" s="587" t="s">
        <v>115</v>
      </c>
      <c r="C28" s="589">
        <v>57863722</v>
      </c>
      <c r="D28" s="591">
        <v>70096265</v>
      </c>
      <c r="E28" s="590">
        <f t="shared" si="1"/>
        <v>12232543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330872</v>
      </c>
      <c r="D30" s="591">
        <v>415176</v>
      </c>
      <c r="E30" s="590">
        <f t="shared" si="1"/>
        <v>84304</v>
      </c>
    </row>
    <row r="31" spans="1:5" s="421" customFormat="1" x14ac:dyDescent="0.2">
      <c r="A31" s="588">
        <v>7</v>
      </c>
      <c r="B31" s="587" t="s">
        <v>757</v>
      </c>
      <c r="C31" s="590">
        <v>3495581</v>
      </c>
      <c r="D31" s="594">
        <v>2562693</v>
      </c>
      <c r="E31" s="590">
        <f t="shared" si="1"/>
        <v>-932888</v>
      </c>
    </row>
    <row r="32" spans="1:5" s="421" customFormat="1" x14ac:dyDescent="0.2">
      <c r="A32" s="588"/>
      <c r="B32" s="592" t="s">
        <v>779</v>
      </c>
      <c r="C32" s="593">
        <f>SUM(C26+C27+C30)</f>
        <v>152934217</v>
      </c>
      <c r="D32" s="593">
        <f>SUM(D26+D27+D30)</f>
        <v>175385853</v>
      </c>
      <c r="E32" s="593">
        <f t="shared" si="1"/>
        <v>22451636</v>
      </c>
    </row>
    <row r="33" spans="1:5" s="421" customFormat="1" x14ac:dyDescent="0.2">
      <c r="A33" s="588"/>
      <c r="B33" s="592" t="s">
        <v>467</v>
      </c>
      <c r="C33" s="593">
        <f>SUM(C25+C32)</f>
        <v>277462740</v>
      </c>
      <c r="D33" s="593">
        <f>SUM(D25+D32)</f>
        <v>299395028</v>
      </c>
      <c r="E33" s="593">
        <f t="shared" si="1"/>
        <v>21932288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181677769</v>
      </c>
      <c r="D36" s="590">
        <f t="shared" si="2"/>
        <v>177605406</v>
      </c>
      <c r="E36" s="590">
        <f t="shared" ref="E36:E44" si="3">D36-C36</f>
        <v>-4072363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210548113</v>
      </c>
      <c r="D37" s="590">
        <f t="shared" si="2"/>
        <v>227052643</v>
      </c>
      <c r="E37" s="590">
        <f t="shared" si="3"/>
        <v>16504530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90250499</v>
      </c>
      <c r="D38" s="590">
        <f t="shared" si="2"/>
        <v>106588733</v>
      </c>
      <c r="E38" s="590">
        <f t="shared" si="3"/>
        <v>16338234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90250499</v>
      </c>
      <c r="D39" s="590">
        <f t="shared" si="2"/>
        <v>106588733</v>
      </c>
      <c r="E39" s="590">
        <f t="shared" si="3"/>
        <v>16338234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442593</v>
      </c>
      <c r="D41" s="590">
        <f t="shared" si="2"/>
        <v>562851</v>
      </c>
      <c r="E41" s="590">
        <f t="shared" si="3"/>
        <v>120258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4271657</v>
      </c>
      <c r="D42" s="590">
        <f t="shared" si="2"/>
        <v>2858045</v>
      </c>
      <c r="E42" s="590">
        <f t="shared" si="3"/>
        <v>-1413612</v>
      </c>
    </row>
    <row r="43" spans="1:5" s="421" customFormat="1" x14ac:dyDescent="0.2">
      <c r="A43" s="588"/>
      <c r="B43" s="592" t="s">
        <v>787</v>
      </c>
      <c r="C43" s="593">
        <f>SUM(C37+C38+C41)</f>
        <v>301241205</v>
      </c>
      <c r="D43" s="593">
        <f>SUM(D37+D38+D41)</f>
        <v>334204227</v>
      </c>
      <c r="E43" s="593">
        <f t="shared" si="3"/>
        <v>32963022</v>
      </c>
    </row>
    <row r="44" spans="1:5" s="421" customFormat="1" x14ac:dyDescent="0.2">
      <c r="A44" s="588"/>
      <c r="B44" s="592" t="s">
        <v>724</v>
      </c>
      <c r="C44" s="593">
        <f>SUM(C36+C43)</f>
        <v>482918974</v>
      </c>
      <c r="D44" s="593">
        <f>SUM(D36+D43)</f>
        <v>511809633</v>
      </c>
      <c r="E44" s="593">
        <f t="shared" si="3"/>
        <v>28890659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22894467</v>
      </c>
      <c r="D47" s="589">
        <v>22145603</v>
      </c>
      <c r="E47" s="590">
        <f t="shared" ref="E47:E55" si="4">D47-C47</f>
        <v>-748864</v>
      </c>
    </row>
    <row r="48" spans="1:5" s="421" customFormat="1" x14ac:dyDescent="0.2">
      <c r="A48" s="588">
        <v>2</v>
      </c>
      <c r="B48" s="587" t="s">
        <v>634</v>
      </c>
      <c r="C48" s="589">
        <v>34813654</v>
      </c>
      <c r="D48" s="591">
        <v>34829776</v>
      </c>
      <c r="E48" s="590">
        <f t="shared" si="4"/>
        <v>16122</v>
      </c>
    </row>
    <row r="49" spans="1:5" s="421" customFormat="1" x14ac:dyDescent="0.2">
      <c r="A49" s="588">
        <v>3</v>
      </c>
      <c r="B49" s="587" t="s">
        <v>776</v>
      </c>
      <c r="C49" s="589">
        <v>7507994</v>
      </c>
      <c r="D49" s="591">
        <v>7773339</v>
      </c>
      <c r="E49" s="590">
        <f t="shared" si="4"/>
        <v>265345</v>
      </c>
    </row>
    <row r="50" spans="1:5" s="421" customFormat="1" x14ac:dyDescent="0.2">
      <c r="A50" s="588">
        <v>4</v>
      </c>
      <c r="B50" s="587" t="s">
        <v>115</v>
      </c>
      <c r="C50" s="589">
        <v>7507994</v>
      </c>
      <c r="D50" s="591">
        <v>7773339</v>
      </c>
      <c r="E50" s="590">
        <f t="shared" si="4"/>
        <v>265345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38332</v>
      </c>
      <c r="D52" s="591">
        <v>0</v>
      </c>
      <c r="E52" s="590">
        <f t="shared" si="4"/>
        <v>-38332</v>
      </c>
    </row>
    <row r="53" spans="1:5" s="421" customFormat="1" x14ac:dyDescent="0.2">
      <c r="A53" s="588">
        <v>7</v>
      </c>
      <c r="B53" s="587" t="s">
        <v>757</v>
      </c>
      <c r="C53" s="589">
        <v>432874</v>
      </c>
      <c r="D53" s="591">
        <v>99041</v>
      </c>
      <c r="E53" s="590">
        <f t="shared" si="4"/>
        <v>-333833</v>
      </c>
    </row>
    <row r="54" spans="1:5" s="421" customFormat="1" x14ac:dyDescent="0.2">
      <c r="A54" s="588"/>
      <c r="B54" s="592" t="s">
        <v>789</v>
      </c>
      <c r="C54" s="593">
        <f>SUM(C48+C49+C52)</f>
        <v>42359980</v>
      </c>
      <c r="D54" s="593">
        <f>SUM(D48+D49+D52)</f>
        <v>42603115</v>
      </c>
      <c r="E54" s="593">
        <f t="shared" si="4"/>
        <v>243135</v>
      </c>
    </row>
    <row r="55" spans="1:5" s="421" customFormat="1" x14ac:dyDescent="0.2">
      <c r="A55" s="588"/>
      <c r="B55" s="592" t="s">
        <v>466</v>
      </c>
      <c r="C55" s="593">
        <f>SUM(C47+C54)</f>
        <v>65254447</v>
      </c>
      <c r="D55" s="593">
        <f>SUM(D47+D54)</f>
        <v>64748718</v>
      </c>
      <c r="E55" s="593">
        <f t="shared" si="4"/>
        <v>-505729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44223985</v>
      </c>
      <c r="D58" s="589">
        <v>46367895</v>
      </c>
      <c r="E58" s="590">
        <f t="shared" ref="E58:E66" si="5">D58-C58</f>
        <v>2143910</v>
      </c>
    </row>
    <row r="59" spans="1:5" s="421" customFormat="1" x14ac:dyDescent="0.2">
      <c r="A59" s="588">
        <v>2</v>
      </c>
      <c r="B59" s="587" t="s">
        <v>634</v>
      </c>
      <c r="C59" s="589">
        <v>18803647</v>
      </c>
      <c r="D59" s="591">
        <v>20243295</v>
      </c>
      <c r="E59" s="590">
        <f t="shared" si="5"/>
        <v>1439648</v>
      </c>
    </row>
    <row r="60" spans="1:5" s="421" customFormat="1" x14ac:dyDescent="0.2">
      <c r="A60" s="588">
        <v>3</v>
      </c>
      <c r="B60" s="587" t="s">
        <v>776</v>
      </c>
      <c r="C60" s="589">
        <f>C61+C62</f>
        <v>10695352</v>
      </c>
      <c r="D60" s="591">
        <f>D61+D62</f>
        <v>12593462</v>
      </c>
      <c r="E60" s="590">
        <f t="shared" si="5"/>
        <v>1898110</v>
      </c>
    </row>
    <row r="61" spans="1:5" s="421" customFormat="1" x14ac:dyDescent="0.2">
      <c r="A61" s="588">
        <v>4</v>
      </c>
      <c r="B61" s="587" t="s">
        <v>115</v>
      </c>
      <c r="C61" s="589">
        <v>10695352</v>
      </c>
      <c r="D61" s="591">
        <v>12593462</v>
      </c>
      <c r="E61" s="590">
        <f t="shared" si="5"/>
        <v>1898110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72683</v>
      </c>
      <c r="D63" s="591">
        <v>76825</v>
      </c>
      <c r="E63" s="590">
        <f t="shared" si="5"/>
        <v>4142</v>
      </c>
    </row>
    <row r="64" spans="1:5" s="421" customFormat="1" x14ac:dyDescent="0.2">
      <c r="A64" s="588">
        <v>7</v>
      </c>
      <c r="B64" s="587" t="s">
        <v>757</v>
      </c>
      <c r="C64" s="589">
        <v>384446</v>
      </c>
      <c r="D64" s="591">
        <v>241000</v>
      </c>
      <c r="E64" s="590">
        <f t="shared" si="5"/>
        <v>-143446</v>
      </c>
    </row>
    <row r="65" spans="1:5" s="421" customFormat="1" x14ac:dyDescent="0.2">
      <c r="A65" s="588"/>
      <c r="B65" s="592" t="s">
        <v>791</v>
      </c>
      <c r="C65" s="593">
        <f>SUM(C59+C60+C63)</f>
        <v>29571682</v>
      </c>
      <c r="D65" s="593">
        <f>SUM(D59+D60+D63)</f>
        <v>32913582</v>
      </c>
      <c r="E65" s="593">
        <f t="shared" si="5"/>
        <v>3341900</v>
      </c>
    </row>
    <row r="66" spans="1:5" s="421" customFormat="1" x14ac:dyDescent="0.2">
      <c r="A66" s="588"/>
      <c r="B66" s="592" t="s">
        <v>468</v>
      </c>
      <c r="C66" s="593">
        <f>SUM(C58+C65)</f>
        <v>73795667</v>
      </c>
      <c r="D66" s="593">
        <f>SUM(D58+D65)</f>
        <v>79281477</v>
      </c>
      <c r="E66" s="593">
        <f t="shared" si="5"/>
        <v>5485810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67118452</v>
      </c>
      <c r="D69" s="590">
        <f t="shared" si="6"/>
        <v>68513498</v>
      </c>
      <c r="E69" s="590">
        <f t="shared" ref="E69:E77" si="7">D69-C69</f>
        <v>1395046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53617301</v>
      </c>
      <c r="D70" s="590">
        <f t="shared" si="6"/>
        <v>55073071</v>
      </c>
      <c r="E70" s="590">
        <f t="shared" si="7"/>
        <v>1455770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18203346</v>
      </c>
      <c r="D71" s="590">
        <f t="shared" si="6"/>
        <v>20366801</v>
      </c>
      <c r="E71" s="590">
        <f t="shared" si="7"/>
        <v>2163455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18203346</v>
      </c>
      <c r="D72" s="590">
        <f t="shared" si="6"/>
        <v>20366801</v>
      </c>
      <c r="E72" s="590">
        <f t="shared" si="7"/>
        <v>2163455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111015</v>
      </c>
      <c r="D74" s="590">
        <f t="shared" si="6"/>
        <v>76825</v>
      </c>
      <c r="E74" s="590">
        <f t="shared" si="7"/>
        <v>-34190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817320</v>
      </c>
      <c r="D75" s="590">
        <f t="shared" si="6"/>
        <v>340041</v>
      </c>
      <c r="E75" s="590">
        <f t="shared" si="7"/>
        <v>-477279</v>
      </c>
    </row>
    <row r="76" spans="1:5" s="421" customFormat="1" x14ac:dyDescent="0.2">
      <c r="A76" s="588"/>
      <c r="B76" s="592" t="s">
        <v>792</v>
      </c>
      <c r="C76" s="593">
        <f>SUM(C70+C71+C74)</f>
        <v>71931662</v>
      </c>
      <c r="D76" s="593">
        <f>SUM(D70+D71+D74)</f>
        <v>75516697</v>
      </c>
      <c r="E76" s="593">
        <f t="shared" si="7"/>
        <v>3585035</v>
      </c>
    </row>
    <row r="77" spans="1:5" s="421" customFormat="1" x14ac:dyDescent="0.2">
      <c r="A77" s="588"/>
      <c r="B77" s="592" t="s">
        <v>725</v>
      </c>
      <c r="C77" s="593">
        <f>SUM(C69+C76)</f>
        <v>139050114</v>
      </c>
      <c r="D77" s="593">
        <f>SUM(D69+D76)</f>
        <v>144030195</v>
      </c>
      <c r="E77" s="593">
        <f t="shared" si="7"/>
        <v>4980081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0.11834127271213825</v>
      </c>
      <c r="D83" s="599">
        <f t="shared" si="8"/>
        <v>0.1047190743281692</v>
      </c>
      <c r="E83" s="599">
        <f t="shared" ref="E83:E91" si="9">D83-C83</f>
        <v>-1.3622198383969053E-2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0.23980935982026666</v>
      </c>
      <c r="D84" s="599">
        <f t="shared" si="8"/>
        <v>0.23871811533488663</v>
      </c>
      <c r="E84" s="599">
        <f t="shared" si="9"/>
        <v>-1.0912444853800329E-3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6.7064619001696135E-2</v>
      </c>
      <c r="D85" s="599">
        <f t="shared" si="8"/>
        <v>7.1300861974983573E-2</v>
      </c>
      <c r="E85" s="599">
        <f t="shared" si="9"/>
        <v>4.2362429732874379E-3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6.7064619001696135E-2</v>
      </c>
      <c r="D86" s="599">
        <f t="shared" si="8"/>
        <v>7.1300861974983573E-2</v>
      </c>
      <c r="E86" s="599">
        <f t="shared" si="9"/>
        <v>4.2362429732874379E-3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2.3134522769859112E-4</v>
      </c>
      <c r="D88" s="599">
        <f t="shared" si="8"/>
        <v>2.8853501473662184E-4</v>
      </c>
      <c r="E88" s="599">
        <f t="shared" si="9"/>
        <v>5.7189787038030719E-5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1.6070522008522282E-3</v>
      </c>
      <c r="D89" s="599">
        <f t="shared" si="8"/>
        <v>5.770739371761688E-4</v>
      </c>
      <c r="E89" s="599">
        <f t="shared" si="9"/>
        <v>-1.0299782636760593E-3</v>
      </c>
    </row>
    <row r="90" spans="1:5" s="421" customFormat="1" x14ac:dyDescent="0.2">
      <c r="A90" s="588"/>
      <c r="B90" s="592" t="s">
        <v>795</v>
      </c>
      <c r="C90" s="600">
        <f>SUM(C84+C85+C88)</f>
        <v>0.30710532404966134</v>
      </c>
      <c r="D90" s="600">
        <f>SUM(D84+D85+D88)</f>
        <v>0.31030751232460685</v>
      </c>
      <c r="E90" s="601">
        <f t="shared" si="9"/>
        <v>3.2021882749455055E-3</v>
      </c>
    </row>
    <row r="91" spans="1:5" s="421" customFormat="1" x14ac:dyDescent="0.2">
      <c r="A91" s="588"/>
      <c r="B91" s="592" t="s">
        <v>796</v>
      </c>
      <c r="C91" s="600">
        <f>SUM(C83+C90)</f>
        <v>0.42544659676179958</v>
      </c>
      <c r="D91" s="600">
        <f>SUM(D83+D90)</f>
        <v>0.41502658665277603</v>
      </c>
      <c r="E91" s="601">
        <f t="shared" si="9"/>
        <v>-1.0420010109023548E-2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0.25786628752342211</v>
      </c>
      <c r="D95" s="599">
        <f t="shared" si="10"/>
        <v>0.24229550794719021</v>
      </c>
      <c r="E95" s="599">
        <f t="shared" ref="E95:E103" si="11">D95-C95</f>
        <v>-1.5570779576231902E-2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0.19618119829766723</v>
      </c>
      <c r="D96" s="599">
        <f t="shared" si="10"/>
        <v>0.20490902327350294</v>
      </c>
      <c r="E96" s="599">
        <f t="shared" si="11"/>
        <v>8.7278249758357129E-3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0.11982076728258766</v>
      </c>
      <c r="D97" s="599">
        <f t="shared" si="10"/>
        <v>0.13695768989170237</v>
      </c>
      <c r="E97" s="599">
        <f t="shared" si="11"/>
        <v>1.7136922609114716E-2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0.11982076728258766</v>
      </c>
      <c r="D98" s="599">
        <f t="shared" si="10"/>
        <v>0.13695768989170237</v>
      </c>
      <c r="E98" s="599">
        <f t="shared" si="11"/>
        <v>1.7136922609114716E-2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6.8515013452339517E-4</v>
      </c>
      <c r="D100" s="599">
        <f t="shared" si="10"/>
        <v>8.1119223482845233E-4</v>
      </c>
      <c r="E100" s="599">
        <f t="shared" si="11"/>
        <v>1.2604210030505716E-4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7.2384420331349413E-3</v>
      </c>
      <c r="D101" s="599">
        <f t="shared" si="10"/>
        <v>5.0071214661956158E-3</v>
      </c>
      <c r="E101" s="599">
        <f t="shared" si="11"/>
        <v>-2.2313205669393255E-3</v>
      </c>
    </row>
    <row r="102" spans="1:5" s="421" customFormat="1" x14ac:dyDescent="0.2">
      <c r="A102" s="588"/>
      <c r="B102" s="592" t="s">
        <v>798</v>
      </c>
      <c r="C102" s="600">
        <f>SUM(C96+C97+C100)</f>
        <v>0.31668711571477831</v>
      </c>
      <c r="D102" s="600">
        <f>SUM(D96+D97+D100)</f>
        <v>0.34267790540003379</v>
      </c>
      <c r="E102" s="601">
        <f t="shared" si="11"/>
        <v>2.5990789685255478E-2</v>
      </c>
    </row>
    <row r="103" spans="1:5" s="421" customFormat="1" x14ac:dyDescent="0.2">
      <c r="A103" s="588"/>
      <c r="B103" s="592" t="s">
        <v>799</v>
      </c>
      <c r="C103" s="600">
        <f>SUM(C95+C102)</f>
        <v>0.57455340323820048</v>
      </c>
      <c r="D103" s="600">
        <f>SUM(D95+D102)</f>
        <v>0.58497341334722397</v>
      </c>
      <c r="E103" s="601">
        <f t="shared" si="11"/>
        <v>1.0420010109023492E-2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0.16464903437619618</v>
      </c>
      <c r="D109" s="599">
        <f t="shared" si="12"/>
        <v>0.1537566688707184</v>
      </c>
      <c r="E109" s="599">
        <f t="shared" ref="E109:E117" si="13">D109-C109</f>
        <v>-1.0892365505477786E-2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0.25036767679313088</v>
      </c>
      <c r="D110" s="599">
        <f t="shared" si="12"/>
        <v>0.24182273723922959</v>
      </c>
      <c r="E110" s="599">
        <f t="shared" si="13"/>
        <v>-8.5449395539012873E-3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5.399487842203423E-2</v>
      </c>
      <c r="D111" s="599">
        <f t="shared" si="12"/>
        <v>5.3970203956191266E-2</v>
      </c>
      <c r="E111" s="599">
        <f t="shared" si="13"/>
        <v>-2.4674465842963733E-5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5.399487842203423E-2</v>
      </c>
      <c r="D112" s="599">
        <f t="shared" si="12"/>
        <v>5.3970203956191266E-2</v>
      </c>
      <c r="E112" s="599">
        <f t="shared" si="13"/>
        <v>-2.4674465842963733E-5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2.7567039607029738E-4</v>
      </c>
      <c r="D114" s="599">
        <f t="shared" si="12"/>
        <v>0</v>
      </c>
      <c r="E114" s="599">
        <f t="shared" si="13"/>
        <v>-2.7567039607029738E-4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3.1130790730599473E-3</v>
      </c>
      <c r="D115" s="599">
        <f t="shared" si="12"/>
        <v>6.8764053259804303E-4</v>
      </c>
      <c r="E115" s="599">
        <f t="shared" si="13"/>
        <v>-2.4254385404619042E-3</v>
      </c>
    </row>
    <row r="116" spans="1:5" s="421" customFormat="1" x14ac:dyDescent="0.2">
      <c r="A116" s="588"/>
      <c r="B116" s="592" t="s">
        <v>795</v>
      </c>
      <c r="C116" s="600">
        <f>SUM(C110+C111+C114)</f>
        <v>0.30463822561123538</v>
      </c>
      <c r="D116" s="600">
        <f>SUM(D110+D111+D114)</f>
        <v>0.29579294119542088</v>
      </c>
      <c r="E116" s="601">
        <f t="shared" si="13"/>
        <v>-8.8452844158145028E-3</v>
      </c>
    </row>
    <row r="117" spans="1:5" s="421" customFormat="1" x14ac:dyDescent="0.2">
      <c r="A117" s="588"/>
      <c r="B117" s="592" t="s">
        <v>796</v>
      </c>
      <c r="C117" s="600">
        <f>SUM(C109+C116)</f>
        <v>0.46928725998743159</v>
      </c>
      <c r="D117" s="600">
        <f>SUM(D109+D116)</f>
        <v>0.44954961006613925</v>
      </c>
      <c r="E117" s="601">
        <f t="shared" si="13"/>
        <v>-1.9737649921292344E-2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0.31804350048932717</v>
      </c>
      <c r="D121" s="599">
        <f t="shared" si="14"/>
        <v>0.32193176576619925</v>
      </c>
      <c r="E121" s="599">
        <f t="shared" ref="E121:E129" si="15">D121-C121</f>
        <v>3.8882652768720827E-3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0.13522928143733848</v>
      </c>
      <c r="D122" s="599">
        <f t="shared" si="14"/>
        <v>0.1405489661386628</v>
      </c>
      <c r="E122" s="599">
        <f t="shared" si="15"/>
        <v>5.3196847013243231E-3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7.6917247259502428E-2</v>
      </c>
      <c r="D123" s="599">
        <f t="shared" si="14"/>
        <v>8.7436262930838907E-2</v>
      </c>
      <c r="E123" s="599">
        <f t="shared" si="15"/>
        <v>1.0519015671336479E-2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7.6917247259502428E-2</v>
      </c>
      <c r="D124" s="599">
        <f t="shared" si="14"/>
        <v>8.7436262930838907E-2</v>
      </c>
      <c r="E124" s="599">
        <f t="shared" si="15"/>
        <v>1.0519015671336479E-2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5.2271082640032926E-4</v>
      </c>
      <c r="D126" s="599">
        <f t="shared" si="14"/>
        <v>5.3339509815979907E-4</v>
      </c>
      <c r="E126" s="599">
        <f t="shared" si="15"/>
        <v>1.0684271759469808E-5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2.764801760608409E-3</v>
      </c>
      <c r="D127" s="599">
        <f t="shared" si="14"/>
        <v>1.673260249352575E-3</v>
      </c>
      <c r="E127" s="599">
        <f t="shared" si="15"/>
        <v>-1.091541511255834E-3</v>
      </c>
    </row>
    <row r="128" spans="1:5" s="421" customFormat="1" x14ac:dyDescent="0.2">
      <c r="A128" s="588"/>
      <c r="B128" s="592" t="s">
        <v>798</v>
      </c>
      <c r="C128" s="600">
        <f>SUM(C122+C123+C126)</f>
        <v>0.21266923952324124</v>
      </c>
      <c r="D128" s="600">
        <f>SUM(D122+D123+D126)</f>
        <v>0.2285186241676615</v>
      </c>
      <c r="E128" s="601">
        <f t="shared" si="15"/>
        <v>1.5849384644420261E-2</v>
      </c>
    </row>
    <row r="129" spans="1:5" s="421" customFormat="1" x14ac:dyDescent="0.2">
      <c r="A129" s="588"/>
      <c r="B129" s="592" t="s">
        <v>799</v>
      </c>
      <c r="C129" s="600">
        <f>SUM(C121+C128)</f>
        <v>0.53071274001256841</v>
      </c>
      <c r="D129" s="600">
        <f>SUM(D121+D128)</f>
        <v>0.55045038993386075</v>
      </c>
      <c r="E129" s="601">
        <f t="shared" si="15"/>
        <v>1.9737649921292344E-2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2232</v>
      </c>
      <c r="D137" s="606">
        <v>2030</v>
      </c>
      <c r="E137" s="607">
        <f t="shared" ref="E137:E145" si="16">D137-C137</f>
        <v>-202</v>
      </c>
    </row>
    <row r="138" spans="1:5" s="421" customFormat="1" x14ac:dyDescent="0.2">
      <c r="A138" s="588">
        <v>2</v>
      </c>
      <c r="B138" s="587" t="s">
        <v>634</v>
      </c>
      <c r="C138" s="606">
        <v>3283</v>
      </c>
      <c r="D138" s="606">
        <v>3387</v>
      </c>
      <c r="E138" s="607">
        <f t="shared" si="16"/>
        <v>104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1416</v>
      </c>
      <c r="D139" s="606">
        <f>D140+D141</f>
        <v>1523</v>
      </c>
      <c r="E139" s="607">
        <f t="shared" si="16"/>
        <v>107</v>
      </c>
    </row>
    <row r="140" spans="1:5" s="421" customFormat="1" x14ac:dyDescent="0.2">
      <c r="A140" s="588">
        <v>4</v>
      </c>
      <c r="B140" s="587" t="s">
        <v>115</v>
      </c>
      <c r="C140" s="606">
        <v>1416</v>
      </c>
      <c r="D140" s="606">
        <v>1523</v>
      </c>
      <c r="E140" s="607">
        <f t="shared" si="16"/>
        <v>107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</v>
      </c>
      <c r="D142" s="606">
        <v>10</v>
      </c>
      <c r="E142" s="607">
        <f t="shared" si="16"/>
        <v>6</v>
      </c>
    </row>
    <row r="143" spans="1:5" s="421" customFormat="1" x14ac:dyDescent="0.2">
      <c r="A143" s="588">
        <v>7</v>
      </c>
      <c r="B143" s="587" t="s">
        <v>757</v>
      </c>
      <c r="C143" s="606">
        <v>81</v>
      </c>
      <c r="D143" s="606">
        <v>11</v>
      </c>
      <c r="E143" s="607">
        <f t="shared" si="16"/>
        <v>-70</v>
      </c>
    </row>
    <row r="144" spans="1:5" s="421" customFormat="1" x14ac:dyDescent="0.2">
      <c r="A144" s="588"/>
      <c r="B144" s="592" t="s">
        <v>806</v>
      </c>
      <c r="C144" s="608">
        <f>SUM(C138+C139+C142)</f>
        <v>4703</v>
      </c>
      <c r="D144" s="608">
        <f>SUM(D138+D139+D142)</f>
        <v>4920</v>
      </c>
      <c r="E144" s="609">
        <f t="shared" si="16"/>
        <v>217</v>
      </c>
    </row>
    <row r="145" spans="1:5" s="421" customFormat="1" x14ac:dyDescent="0.2">
      <c r="A145" s="588"/>
      <c r="B145" s="592" t="s">
        <v>138</v>
      </c>
      <c r="C145" s="608">
        <f>SUM(C137+C144)</f>
        <v>6935</v>
      </c>
      <c r="D145" s="608">
        <f>SUM(D137+D144)</f>
        <v>6950</v>
      </c>
      <c r="E145" s="609">
        <f t="shared" si="16"/>
        <v>15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8407</v>
      </c>
      <c r="D149" s="610">
        <v>7332</v>
      </c>
      <c r="E149" s="607">
        <f t="shared" ref="E149:E157" si="17">D149-C149</f>
        <v>-1075</v>
      </c>
    </row>
    <row r="150" spans="1:5" s="421" customFormat="1" x14ac:dyDescent="0.2">
      <c r="A150" s="588">
        <v>2</v>
      </c>
      <c r="B150" s="587" t="s">
        <v>634</v>
      </c>
      <c r="C150" s="610">
        <v>16402</v>
      </c>
      <c r="D150" s="610">
        <v>16588</v>
      </c>
      <c r="E150" s="607">
        <f t="shared" si="17"/>
        <v>186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5988</v>
      </c>
      <c r="D151" s="610">
        <f>D152+D153</f>
        <v>6648</v>
      </c>
      <c r="E151" s="607">
        <f t="shared" si="17"/>
        <v>660</v>
      </c>
    </row>
    <row r="152" spans="1:5" s="421" customFormat="1" x14ac:dyDescent="0.2">
      <c r="A152" s="588">
        <v>4</v>
      </c>
      <c r="B152" s="587" t="s">
        <v>115</v>
      </c>
      <c r="C152" s="610">
        <v>5988</v>
      </c>
      <c r="D152" s="610">
        <v>6648</v>
      </c>
      <c r="E152" s="607">
        <f t="shared" si="17"/>
        <v>660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9</v>
      </c>
      <c r="D154" s="610">
        <v>26</v>
      </c>
      <c r="E154" s="607">
        <f t="shared" si="17"/>
        <v>17</v>
      </c>
    </row>
    <row r="155" spans="1:5" s="421" customFormat="1" x14ac:dyDescent="0.2">
      <c r="A155" s="588">
        <v>7</v>
      </c>
      <c r="B155" s="587" t="s">
        <v>757</v>
      </c>
      <c r="C155" s="610">
        <v>302</v>
      </c>
      <c r="D155" s="610">
        <v>25</v>
      </c>
      <c r="E155" s="607">
        <f t="shared" si="17"/>
        <v>-277</v>
      </c>
    </row>
    <row r="156" spans="1:5" s="421" customFormat="1" x14ac:dyDescent="0.2">
      <c r="A156" s="588"/>
      <c r="B156" s="592" t="s">
        <v>807</v>
      </c>
      <c r="C156" s="608">
        <f>SUM(C150+C151+C154)</f>
        <v>22399</v>
      </c>
      <c r="D156" s="608">
        <f>SUM(D150+D151+D154)</f>
        <v>23262</v>
      </c>
      <c r="E156" s="609">
        <f t="shared" si="17"/>
        <v>863</v>
      </c>
    </row>
    <row r="157" spans="1:5" s="421" customFormat="1" x14ac:dyDescent="0.2">
      <c r="A157" s="588"/>
      <c r="B157" s="592" t="s">
        <v>140</v>
      </c>
      <c r="C157" s="608">
        <f>SUM(C149+C156)</f>
        <v>30806</v>
      </c>
      <c r="D157" s="608">
        <f>SUM(D149+D156)</f>
        <v>30594</v>
      </c>
      <c r="E157" s="609">
        <f t="shared" si="17"/>
        <v>-212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3.7665770609318998</v>
      </c>
      <c r="D161" s="612">
        <f t="shared" si="18"/>
        <v>3.6118226600985222</v>
      </c>
      <c r="E161" s="613">
        <f t="shared" ref="E161:E169" si="19">D161-C161</f>
        <v>-0.15475440083337766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4.9960402071276269</v>
      </c>
      <c r="D162" s="612">
        <f t="shared" si="18"/>
        <v>4.8975494537939177</v>
      </c>
      <c r="E162" s="613">
        <f t="shared" si="19"/>
        <v>-9.8490753333709158E-2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4.2288135593220337</v>
      </c>
      <c r="D163" s="612">
        <f t="shared" si="18"/>
        <v>4.3650689428759026</v>
      </c>
      <c r="E163" s="613">
        <f t="shared" si="19"/>
        <v>0.1362553835538689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4.2288135593220337</v>
      </c>
      <c r="D164" s="612">
        <f t="shared" si="18"/>
        <v>4.3650689428759026</v>
      </c>
      <c r="E164" s="613">
        <f t="shared" si="19"/>
        <v>0.1362553835538689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2.25</v>
      </c>
      <c r="D166" s="612">
        <f t="shared" si="18"/>
        <v>2.6</v>
      </c>
      <c r="E166" s="613">
        <f t="shared" si="19"/>
        <v>0.35000000000000009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3.7283950617283952</v>
      </c>
      <c r="D167" s="612">
        <f t="shared" si="18"/>
        <v>2.2727272727272729</v>
      </c>
      <c r="E167" s="613">
        <f t="shared" si="19"/>
        <v>-1.4556677890011223</v>
      </c>
    </row>
    <row r="168" spans="1:5" s="421" customFormat="1" x14ac:dyDescent="0.2">
      <c r="A168" s="588"/>
      <c r="B168" s="592" t="s">
        <v>809</v>
      </c>
      <c r="C168" s="614">
        <f t="shared" si="18"/>
        <v>4.7627046566021685</v>
      </c>
      <c r="D168" s="614">
        <f t="shared" si="18"/>
        <v>4.7280487804878053</v>
      </c>
      <c r="E168" s="615">
        <f t="shared" si="19"/>
        <v>-3.465587611436316E-2</v>
      </c>
    </row>
    <row r="169" spans="1:5" s="421" customFormat="1" x14ac:dyDescent="0.2">
      <c r="A169" s="588"/>
      <c r="B169" s="592" t="s">
        <v>743</v>
      </c>
      <c r="C169" s="614">
        <f t="shared" si="18"/>
        <v>4.4421052631578943</v>
      </c>
      <c r="D169" s="614">
        <f t="shared" si="18"/>
        <v>4.4020143884892082</v>
      </c>
      <c r="E169" s="615">
        <f t="shared" si="19"/>
        <v>-4.0090874668686105E-2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1.0301499999999999</v>
      </c>
      <c r="D173" s="617">
        <f t="shared" si="20"/>
        <v>1.0487</v>
      </c>
      <c r="E173" s="618">
        <f t="shared" ref="E173:E181" si="21">D173-C173</f>
        <v>1.8550000000000066E-2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1.32358</v>
      </c>
      <c r="D174" s="617">
        <f t="shared" si="20"/>
        <v>1.3074500000000002</v>
      </c>
      <c r="E174" s="618">
        <f t="shared" si="21"/>
        <v>-1.6129999999999756E-2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0.84899000000000002</v>
      </c>
      <c r="D175" s="617">
        <f t="shared" si="20"/>
        <v>0.87407999999999997</v>
      </c>
      <c r="E175" s="618">
        <f t="shared" si="21"/>
        <v>2.5089999999999946E-2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0.84899000000000002</v>
      </c>
      <c r="D176" s="617">
        <f t="shared" si="20"/>
        <v>0.87407999999999997</v>
      </c>
      <c r="E176" s="618">
        <f t="shared" si="21"/>
        <v>2.5089999999999946E-2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1.24465</v>
      </c>
      <c r="D178" s="617">
        <f t="shared" si="20"/>
        <v>0.65644999999999998</v>
      </c>
      <c r="E178" s="618">
        <f t="shared" si="21"/>
        <v>-0.58820000000000006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0.85394000000000003</v>
      </c>
      <c r="D179" s="617">
        <f t="shared" si="20"/>
        <v>0.92817000000000005</v>
      </c>
      <c r="E179" s="618">
        <f t="shared" si="21"/>
        <v>7.4230000000000018E-2</v>
      </c>
    </row>
    <row r="180" spans="1:5" s="421" customFormat="1" x14ac:dyDescent="0.2">
      <c r="A180" s="588"/>
      <c r="B180" s="592" t="s">
        <v>811</v>
      </c>
      <c r="C180" s="619">
        <f t="shared" si="20"/>
        <v>1.1806212162449503</v>
      </c>
      <c r="D180" s="619">
        <f t="shared" si="20"/>
        <v>1.171975912601626</v>
      </c>
      <c r="E180" s="620">
        <f t="shared" si="21"/>
        <v>-8.6453036433242758E-3</v>
      </c>
    </row>
    <row r="181" spans="1:5" s="421" customFormat="1" x14ac:dyDescent="0.2">
      <c r="A181" s="588"/>
      <c r="B181" s="592" t="s">
        <v>722</v>
      </c>
      <c r="C181" s="619">
        <f t="shared" si="20"/>
        <v>1.1321927007930788</v>
      </c>
      <c r="D181" s="619">
        <f t="shared" si="20"/>
        <v>1.1359687035971224</v>
      </c>
      <c r="E181" s="620">
        <f t="shared" si="21"/>
        <v>3.7760028040436655E-3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177406112</v>
      </c>
      <c r="D185" s="589">
        <v>174747361</v>
      </c>
      <c r="E185" s="590">
        <f>D185-C185</f>
        <v>-2658751</v>
      </c>
    </row>
    <row r="186" spans="1:5" s="421" customFormat="1" ht="25.5" x14ac:dyDescent="0.2">
      <c r="A186" s="588">
        <v>2</v>
      </c>
      <c r="B186" s="587" t="s">
        <v>814</v>
      </c>
      <c r="C186" s="589">
        <v>67686329</v>
      </c>
      <c r="D186" s="589">
        <v>70562058</v>
      </c>
      <c r="E186" s="590">
        <f>D186-C186</f>
        <v>2875729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109719783</v>
      </c>
      <c r="D188" s="622">
        <f>+D185-D186</f>
        <v>104185303</v>
      </c>
      <c r="E188" s="590">
        <f t="shared" ref="E188:E197" si="22">D188-C188</f>
        <v>-5534480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0.61846675834934028</v>
      </c>
      <c r="D189" s="623">
        <f>IF(D185=0,0,+D188/D185)</f>
        <v>0.59620530120623683</v>
      </c>
      <c r="E189" s="599">
        <f t="shared" si="22"/>
        <v>-2.2261457143103458E-2</v>
      </c>
    </row>
    <row r="190" spans="1:5" s="421" customFormat="1" x14ac:dyDescent="0.2">
      <c r="A190" s="588">
        <v>5</v>
      </c>
      <c r="B190" s="587" t="s">
        <v>761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747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3784978</v>
      </c>
      <c r="D193" s="589">
        <v>3122499</v>
      </c>
      <c r="E193" s="622">
        <f t="shared" si="22"/>
        <v>-662479</v>
      </c>
    </row>
    <row r="194" spans="1:5" s="421" customFormat="1" x14ac:dyDescent="0.2">
      <c r="A194" s="588">
        <v>9</v>
      </c>
      <c r="B194" s="587" t="s">
        <v>817</v>
      </c>
      <c r="C194" s="589">
        <v>1054556</v>
      </c>
      <c r="D194" s="589">
        <v>1784106</v>
      </c>
      <c r="E194" s="622">
        <f t="shared" si="22"/>
        <v>729550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4839534</v>
      </c>
      <c r="D195" s="589">
        <f>+D193+D194</f>
        <v>4906605</v>
      </c>
      <c r="E195" s="625">
        <f t="shared" si="22"/>
        <v>67071</v>
      </c>
    </row>
    <row r="196" spans="1:5" s="421" customFormat="1" x14ac:dyDescent="0.2">
      <c r="A196" s="588">
        <v>11</v>
      </c>
      <c r="B196" s="587" t="s">
        <v>819</v>
      </c>
      <c r="C196" s="589">
        <v>3270624</v>
      </c>
      <c r="D196" s="589">
        <v>5691910</v>
      </c>
      <c r="E196" s="622">
        <f t="shared" si="22"/>
        <v>2421286</v>
      </c>
    </row>
    <row r="197" spans="1:5" s="421" customFormat="1" x14ac:dyDescent="0.2">
      <c r="A197" s="588">
        <v>12</v>
      </c>
      <c r="B197" s="587" t="s">
        <v>709</v>
      </c>
      <c r="C197" s="589">
        <v>130275487</v>
      </c>
      <c r="D197" s="589">
        <v>141153441</v>
      </c>
      <c r="E197" s="622">
        <f t="shared" si="22"/>
        <v>10877954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2299.2947999999997</v>
      </c>
      <c r="D203" s="629">
        <v>2128.8609999999999</v>
      </c>
      <c r="E203" s="630">
        <f t="shared" ref="E203:E211" si="23">D203-C203</f>
        <v>-170.43379999999979</v>
      </c>
    </row>
    <row r="204" spans="1:5" s="421" customFormat="1" x14ac:dyDescent="0.2">
      <c r="A204" s="588">
        <v>2</v>
      </c>
      <c r="B204" s="587" t="s">
        <v>634</v>
      </c>
      <c r="C204" s="629">
        <v>4345.3131400000002</v>
      </c>
      <c r="D204" s="629">
        <v>4428.3331500000004</v>
      </c>
      <c r="E204" s="630">
        <f t="shared" si="23"/>
        <v>83.020010000000184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1202.16984</v>
      </c>
      <c r="D205" s="629">
        <f>D206+D207</f>
        <v>1331.2238399999999</v>
      </c>
      <c r="E205" s="630">
        <f t="shared" si="23"/>
        <v>129.05399999999986</v>
      </c>
    </row>
    <row r="206" spans="1:5" s="421" customFormat="1" x14ac:dyDescent="0.2">
      <c r="A206" s="588">
        <v>4</v>
      </c>
      <c r="B206" s="587" t="s">
        <v>115</v>
      </c>
      <c r="C206" s="629">
        <v>1202.16984</v>
      </c>
      <c r="D206" s="629">
        <v>1331.2238399999999</v>
      </c>
      <c r="E206" s="630">
        <f t="shared" si="23"/>
        <v>129.05399999999986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4.9786000000000001</v>
      </c>
      <c r="D208" s="629">
        <v>6.5644999999999998</v>
      </c>
      <c r="E208" s="630">
        <f t="shared" si="23"/>
        <v>1.5858999999999996</v>
      </c>
    </row>
    <row r="209" spans="1:5" s="421" customFormat="1" x14ac:dyDescent="0.2">
      <c r="A209" s="588">
        <v>7</v>
      </c>
      <c r="B209" s="587" t="s">
        <v>757</v>
      </c>
      <c r="C209" s="629">
        <v>69.169139999999999</v>
      </c>
      <c r="D209" s="629">
        <v>10.20987</v>
      </c>
      <c r="E209" s="630">
        <f t="shared" si="23"/>
        <v>-58.959269999999997</v>
      </c>
    </row>
    <row r="210" spans="1:5" s="421" customFormat="1" x14ac:dyDescent="0.2">
      <c r="A210" s="588"/>
      <c r="B210" s="592" t="s">
        <v>822</v>
      </c>
      <c r="C210" s="631">
        <f>C204+C205+C208</f>
        <v>5552.461580000001</v>
      </c>
      <c r="D210" s="631">
        <f>D204+D205+D208</f>
        <v>5766.1214900000004</v>
      </c>
      <c r="E210" s="632">
        <f t="shared" si="23"/>
        <v>213.6599099999994</v>
      </c>
    </row>
    <row r="211" spans="1:5" s="421" customFormat="1" x14ac:dyDescent="0.2">
      <c r="A211" s="588"/>
      <c r="B211" s="592" t="s">
        <v>723</v>
      </c>
      <c r="C211" s="631">
        <f>C210+C203</f>
        <v>7851.7563800000007</v>
      </c>
      <c r="D211" s="631">
        <f>D210+D203</f>
        <v>7894.9824900000003</v>
      </c>
      <c r="E211" s="632">
        <f t="shared" si="23"/>
        <v>43.226109999999608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4863.5403402522579</v>
      </c>
      <c r="D215" s="633">
        <f>IF(D14*D137=0,0,D25/D14*D137)</f>
        <v>4696.9464186763435</v>
      </c>
      <c r="E215" s="633">
        <f t="shared" ref="E215:E223" si="24">D215-C215</f>
        <v>-166.59392157591446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2685.7286742016927</v>
      </c>
      <c r="D216" s="633">
        <f>IF(D15*D138=0,0,D26/D15*D138)</f>
        <v>2907.3070590128286</v>
      </c>
      <c r="E216" s="633">
        <f t="shared" si="24"/>
        <v>221.57838481113595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2529.8914539103412</v>
      </c>
      <c r="D217" s="633">
        <f>D218+D219</f>
        <v>2925.4423568995117</v>
      </c>
      <c r="E217" s="633">
        <f t="shared" si="24"/>
        <v>395.55090298917048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2529.8914539103412</v>
      </c>
      <c r="D218" s="633">
        <f t="shared" si="25"/>
        <v>2925.4423568995117</v>
      </c>
      <c r="E218" s="633">
        <f t="shared" si="24"/>
        <v>395.55090298917048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11.846367289945489</v>
      </c>
      <c r="D220" s="633">
        <f t="shared" si="25"/>
        <v>28.114169629253428</v>
      </c>
      <c r="E220" s="633">
        <f t="shared" si="24"/>
        <v>16.267802339307941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364.83805838603439</v>
      </c>
      <c r="D221" s="633">
        <f t="shared" si="25"/>
        <v>95.444158157046516</v>
      </c>
      <c r="E221" s="633">
        <f t="shared" si="24"/>
        <v>-269.39390022898789</v>
      </c>
    </row>
    <row r="222" spans="1:5" s="421" customFormat="1" x14ac:dyDescent="0.2">
      <c r="A222" s="588"/>
      <c r="B222" s="592" t="s">
        <v>824</v>
      </c>
      <c r="C222" s="634">
        <f>C216+C218+C219+C220</f>
        <v>5227.466495401979</v>
      </c>
      <c r="D222" s="634">
        <f>D216+D218+D219+D220</f>
        <v>5860.8635855415932</v>
      </c>
      <c r="E222" s="634">
        <f t="shared" si="24"/>
        <v>633.39709013961419</v>
      </c>
    </row>
    <row r="223" spans="1:5" s="421" customFormat="1" x14ac:dyDescent="0.2">
      <c r="A223" s="588"/>
      <c r="B223" s="592" t="s">
        <v>825</v>
      </c>
      <c r="C223" s="634">
        <f>C215+C222</f>
        <v>10091.006835654236</v>
      </c>
      <c r="D223" s="634">
        <f>D215+D222</f>
        <v>10557.810004217936</v>
      </c>
      <c r="E223" s="634">
        <f t="shared" si="24"/>
        <v>466.80316856369973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9957.1690415687463</v>
      </c>
      <c r="D227" s="636">
        <f t="shared" si="26"/>
        <v>10402.559396785418</v>
      </c>
      <c r="E227" s="636">
        <f t="shared" ref="E227:E235" si="27">D227-C227</f>
        <v>445.39035521667211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8011.771045803157</v>
      </c>
      <c r="D228" s="636">
        <f t="shared" si="26"/>
        <v>7865.2113154585031</v>
      </c>
      <c r="E228" s="636">
        <f t="shared" si="27"/>
        <v>-146.55973034465387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6245.3687908191077</v>
      </c>
      <c r="D229" s="636">
        <f t="shared" si="26"/>
        <v>5839.2426325538163</v>
      </c>
      <c r="E229" s="636">
        <f t="shared" si="27"/>
        <v>-406.12615826529145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6245.3687908191077</v>
      </c>
      <c r="D230" s="636">
        <f t="shared" si="26"/>
        <v>5839.2426325538163</v>
      </c>
      <c r="E230" s="636">
        <f t="shared" si="27"/>
        <v>-406.12615826529145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7699.3532318322414</v>
      </c>
      <c r="D232" s="636">
        <f t="shared" si="26"/>
        <v>0</v>
      </c>
      <c r="E232" s="636">
        <f t="shared" si="27"/>
        <v>-7699.3532318322414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6258.1954900697046</v>
      </c>
      <c r="D233" s="636">
        <f t="shared" si="26"/>
        <v>9700.5152856990335</v>
      </c>
      <c r="E233" s="636">
        <f t="shared" si="27"/>
        <v>3442.3197956293288</v>
      </c>
    </row>
    <row r="234" spans="1:5" x14ac:dyDescent="0.2">
      <c r="A234" s="588"/>
      <c r="B234" s="592" t="s">
        <v>827</v>
      </c>
      <c r="C234" s="637">
        <f t="shared" si="26"/>
        <v>7629.0451342483657</v>
      </c>
      <c r="D234" s="637">
        <f t="shared" si="26"/>
        <v>7388.5219161415898</v>
      </c>
      <c r="E234" s="637">
        <f t="shared" si="27"/>
        <v>-240.52321810677586</v>
      </c>
    </row>
    <row r="235" spans="1:5" s="421" customFormat="1" x14ac:dyDescent="0.2">
      <c r="A235" s="588"/>
      <c r="B235" s="592" t="s">
        <v>828</v>
      </c>
      <c r="C235" s="637">
        <f t="shared" si="26"/>
        <v>8310.808925021689</v>
      </c>
      <c r="D235" s="637">
        <f t="shared" si="26"/>
        <v>8201.2490948539144</v>
      </c>
      <c r="E235" s="637">
        <f t="shared" si="27"/>
        <v>-109.55983016777463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9092.9614860984639</v>
      </c>
      <c r="D239" s="636">
        <f t="shared" si="28"/>
        <v>9871.9233448413561</v>
      </c>
      <c r="E239" s="638">
        <f t="shared" ref="E239:E247" si="29">D239-C239</f>
        <v>778.96185874289222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7001.320416549228</v>
      </c>
      <c r="D240" s="636">
        <f t="shared" si="28"/>
        <v>6962.9022972460216</v>
      </c>
      <c r="E240" s="638">
        <f t="shared" si="29"/>
        <v>-38.418119303206367</v>
      </c>
    </row>
    <row r="241" spans="1:5" x14ac:dyDescent="0.2">
      <c r="A241" s="588">
        <v>3</v>
      </c>
      <c r="B241" s="587" t="s">
        <v>776</v>
      </c>
      <c r="C241" s="636">
        <f t="shared" si="28"/>
        <v>4227.5932366460502</v>
      </c>
      <c r="D241" s="636">
        <f t="shared" si="28"/>
        <v>4304.8060647303273</v>
      </c>
      <c r="E241" s="638">
        <f t="shared" si="29"/>
        <v>77.212828084277135</v>
      </c>
    </row>
    <row r="242" spans="1:5" x14ac:dyDescent="0.2">
      <c r="A242" s="588">
        <v>4</v>
      </c>
      <c r="B242" s="587" t="s">
        <v>115</v>
      </c>
      <c r="C242" s="636">
        <f t="shared" si="28"/>
        <v>4227.5932366460502</v>
      </c>
      <c r="D242" s="636">
        <f t="shared" si="28"/>
        <v>4304.8060647303273</v>
      </c>
      <c r="E242" s="638">
        <f t="shared" si="29"/>
        <v>77.212828084277135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6135.4673733347036</v>
      </c>
      <c r="D244" s="636">
        <f t="shared" si="28"/>
        <v>2732.6078277646106</v>
      </c>
      <c r="E244" s="638">
        <f t="shared" si="29"/>
        <v>-3402.8595455700929</v>
      </c>
    </row>
    <row r="245" spans="1:5" x14ac:dyDescent="0.2">
      <c r="A245" s="588">
        <v>7</v>
      </c>
      <c r="B245" s="587" t="s">
        <v>757</v>
      </c>
      <c r="C245" s="636">
        <f t="shared" si="28"/>
        <v>1053.7442329912262</v>
      </c>
      <c r="D245" s="636">
        <f t="shared" si="28"/>
        <v>2525.0366775036327</v>
      </c>
      <c r="E245" s="638">
        <f t="shared" si="29"/>
        <v>1471.2924445124065</v>
      </c>
    </row>
    <row r="246" spans="1:5" ht="25.5" x14ac:dyDescent="0.2">
      <c r="A246" s="588"/>
      <c r="B246" s="592" t="s">
        <v>830</v>
      </c>
      <c r="C246" s="637">
        <f t="shared" si="28"/>
        <v>5656.9816422565154</v>
      </c>
      <c r="D246" s="637">
        <f t="shared" si="28"/>
        <v>5615.8246169038766</v>
      </c>
      <c r="E246" s="639">
        <f t="shared" si="29"/>
        <v>-41.157025352638811</v>
      </c>
    </row>
    <row r="247" spans="1:5" x14ac:dyDescent="0.2">
      <c r="A247" s="588"/>
      <c r="B247" s="592" t="s">
        <v>831</v>
      </c>
      <c r="C247" s="637">
        <f t="shared" si="28"/>
        <v>7313.0132802269145</v>
      </c>
      <c r="D247" s="637">
        <f t="shared" si="28"/>
        <v>7509.2729428097655</v>
      </c>
      <c r="E247" s="639">
        <f t="shared" si="29"/>
        <v>196.25966258285098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7017228.6879158812</v>
      </c>
      <c r="D251" s="622">
        <f>((IF((IF(D15=0,0,D26/D15)*D138)=0,0,D59/(IF(D15=0,0,D26/D15)*D138)))-(IF((IF(D17=0,0,D28/D17)*D140)=0,0,D61/(IF(D17=0,0,D28/D17)*D140))))*(IF(D17=0,0,D28/D17)*D140)</f>
        <v>7776107.3073164253</v>
      </c>
      <c r="E251" s="622">
        <f>D251-C251</f>
        <v>758878.61940054409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2291195.4600274269</v>
      </c>
      <c r="D253" s="622">
        <f>IF(D233=0,0,(D228-D233)*D209+IF(D221=0,0,(D240-D245)*D221))</f>
        <v>404830.13314377214</v>
      </c>
      <c r="E253" s="622">
        <f>D253-C253</f>
        <v>-1886365.3268836548</v>
      </c>
    </row>
    <row r="254" spans="1:5" ht="15" customHeight="1" x14ac:dyDescent="0.2">
      <c r="A254" s="588"/>
      <c r="B254" s="592" t="s">
        <v>758</v>
      </c>
      <c r="C254" s="640">
        <f>+C251+C252+C253</f>
        <v>9308424.1479433086</v>
      </c>
      <c r="D254" s="640">
        <f>+D251+D252+D253</f>
        <v>8180937.4404601976</v>
      </c>
      <c r="E254" s="640">
        <f>D254-C254</f>
        <v>-1127486.7074831109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482918974</v>
      </c>
      <c r="D258" s="625">
        <f>+D44</f>
        <v>511809633</v>
      </c>
      <c r="E258" s="622">
        <f t="shared" ref="E258:E271" si="30">D258-C258</f>
        <v>28890659</v>
      </c>
    </row>
    <row r="259" spans="1:5" x14ac:dyDescent="0.2">
      <c r="A259" s="588">
        <v>2</v>
      </c>
      <c r="B259" s="587" t="s">
        <v>741</v>
      </c>
      <c r="C259" s="622">
        <f>+(C43-C76)</f>
        <v>229309543</v>
      </c>
      <c r="D259" s="625">
        <f>+(D43-D76)</f>
        <v>258687530</v>
      </c>
      <c r="E259" s="622">
        <f t="shared" si="30"/>
        <v>29377987</v>
      </c>
    </row>
    <row r="260" spans="1:5" x14ac:dyDescent="0.2">
      <c r="A260" s="588">
        <v>3</v>
      </c>
      <c r="B260" s="587" t="s">
        <v>745</v>
      </c>
      <c r="C260" s="622">
        <f>C195</f>
        <v>4839534</v>
      </c>
      <c r="D260" s="622">
        <f>D195</f>
        <v>4906605</v>
      </c>
      <c r="E260" s="622">
        <f t="shared" si="30"/>
        <v>67071</v>
      </c>
    </row>
    <row r="261" spans="1:5" x14ac:dyDescent="0.2">
      <c r="A261" s="588">
        <v>4</v>
      </c>
      <c r="B261" s="587" t="s">
        <v>746</v>
      </c>
      <c r="C261" s="622">
        <f>C188</f>
        <v>109719783</v>
      </c>
      <c r="D261" s="622">
        <f>D188</f>
        <v>104185303</v>
      </c>
      <c r="E261" s="622">
        <f t="shared" si="30"/>
        <v>-5534480</v>
      </c>
    </row>
    <row r="262" spans="1:5" x14ac:dyDescent="0.2">
      <c r="A262" s="588">
        <v>5</v>
      </c>
      <c r="B262" s="587" t="s">
        <v>747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748</v>
      </c>
      <c r="C263" s="622">
        <f>+C259+C260+C261+C262</f>
        <v>343868860</v>
      </c>
      <c r="D263" s="622">
        <f>+D259+D260+D261+D262</f>
        <v>367779438</v>
      </c>
      <c r="E263" s="622">
        <f t="shared" si="30"/>
        <v>23910578</v>
      </c>
    </row>
    <row r="264" spans="1:5" x14ac:dyDescent="0.2">
      <c r="A264" s="588">
        <v>7</v>
      </c>
      <c r="B264" s="587" t="s">
        <v>653</v>
      </c>
      <c r="C264" s="622">
        <f>+C258-C263</f>
        <v>139050114</v>
      </c>
      <c r="D264" s="622">
        <f>+D258-D263</f>
        <v>144030195</v>
      </c>
      <c r="E264" s="622">
        <f t="shared" si="30"/>
        <v>4980081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139050114</v>
      </c>
      <c r="D266" s="622">
        <f>+D264+D265</f>
        <v>144030195</v>
      </c>
      <c r="E266" s="641">
        <f t="shared" si="30"/>
        <v>4980081</v>
      </c>
    </row>
    <row r="267" spans="1:5" x14ac:dyDescent="0.2">
      <c r="A267" s="588">
        <v>10</v>
      </c>
      <c r="B267" s="587" t="s">
        <v>836</v>
      </c>
      <c r="C267" s="642">
        <f>IF(C258=0,0,C266/C258)</f>
        <v>0.28793673780976764</v>
      </c>
      <c r="D267" s="642">
        <f>IF(D258=0,0,D266/D258)</f>
        <v>0.28141360715654995</v>
      </c>
      <c r="E267" s="643">
        <f t="shared" si="30"/>
        <v>-6.5231306532176903E-3</v>
      </c>
    </row>
    <row r="268" spans="1:5" x14ac:dyDescent="0.2">
      <c r="A268" s="588">
        <v>11</v>
      </c>
      <c r="B268" s="587" t="s">
        <v>715</v>
      </c>
      <c r="C268" s="622">
        <f>+C260*C267</f>
        <v>1393479.632479456</v>
      </c>
      <c r="D268" s="644">
        <f>+D260*D267</f>
        <v>1380785.4119423637</v>
      </c>
      <c r="E268" s="622">
        <f t="shared" si="30"/>
        <v>-12694.220537092304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7783088.2677636966</v>
      </c>
      <c r="D269" s="644">
        <f>((D17+D18+D28+D29)*D267)-(D50+D51+D61+D62)</f>
        <v>9628718.8357763924</v>
      </c>
      <c r="E269" s="622">
        <f t="shared" si="30"/>
        <v>1845630.5680126958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9176567.9002431519</v>
      </c>
      <c r="D271" s="622">
        <f>+D268+D269+D270</f>
        <v>11009504.247718755</v>
      </c>
      <c r="E271" s="625">
        <f t="shared" si="30"/>
        <v>1832936.3474756032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0.40060838247979685</v>
      </c>
      <c r="D276" s="623">
        <f t="shared" si="31"/>
        <v>0.41319328965501323</v>
      </c>
      <c r="E276" s="650">
        <f t="shared" ref="E276:E284" si="32">D276-C276</f>
        <v>1.2584907175216375E-2</v>
      </c>
    </row>
    <row r="277" spans="1:5" x14ac:dyDescent="0.2">
      <c r="A277" s="588">
        <v>2</v>
      </c>
      <c r="B277" s="587" t="s">
        <v>634</v>
      </c>
      <c r="C277" s="623">
        <f t="shared" si="31"/>
        <v>0.30061400506992192</v>
      </c>
      <c r="D277" s="623">
        <f t="shared" si="31"/>
        <v>0.28507350053218566</v>
      </c>
      <c r="E277" s="650">
        <f t="shared" si="32"/>
        <v>-1.5540504537736255E-2</v>
      </c>
    </row>
    <row r="278" spans="1:5" x14ac:dyDescent="0.2">
      <c r="A278" s="588">
        <v>3</v>
      </c>
      <c r="B278" s="587" t="s">
        <v>776</v>
      </c>
      <c r="C278" s="623">
        <f t="shared" si="31"/>
        <v>0.23182282077651628</v>
      </c>
      <c r="D278" s="623">
        <f t="shared" si="31"/>
        <v>0.2130121481506814</v>
      </c>
      <c r="E278" s="650">
        <f t="shared" si="32"/>
        <v>-1.8810672625834884E-2</v>
      </c>
    </row>
    <row r="279" spans="1:5" x14ac:dyDescent="0.2">
      <c r="A279" s="588">
        <v>4</v>
      </c>
      <c r="B279" s="587" t="s">
        <v>115</v>
      </c>
      <c r="C279" s="623">
        <f t="shared" si="31"/>
        <v>0.23182282077651628</v>
      </c>
      <c r="D279" s="623">
        <f t="shared" si="31"/>
        <v>0.2130121481506814</v>
      </c>
      <c r="E279" s="650">
        <f t="shared" si="32"/>
        <v>-1.8810672625834884E-2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0.34310469831097107</v>
      </c>
      <c r="D281" s="623">
        <f t="shared" si="31"/>
        <v>0</v>
      </c>
      <c r="E281" s="650">
        <f t="shared" si="32"/>
        <v>-0.34310469831097107</v>
      </c>
    </row>
    <row r="282" spans="1:5" x14ac:dyDescent="0.2">
      <c r="A282" s="588">
        <v>7</v>
      </c>
      <c r="B282" s="587" t="s">
        <v>757</v>
      </c>
      <c r="C282" s="623">
        <f t="shared" si="31"/>
        <v>0.55777269236518068</v>
      </c>
      <c r="D282" s="623">
        <f t="shared" si="31"/>
        <v>0.33533207833364936</v>
      </c>
      <c r="E282" s="650">
        <f t="shared" si="32"/>
        <v>-0.22244061403153131</v>
      </c>
    </row>
    <row r="283" spans="1:5" ht="29.25" customHeight="1" x14ac:dyDescent="0.2">
      <c r="A283" s="588"/>
      <c r="B283" s="592" t="s">
        <v>843</v>
      </c>
      <c r="C283" s="651">
        <f t="shared" si="31"/>
        <v>0.28562362820017623</v>
      </c>
      <c r="D283" s="651">
        <f t="shared" si="31"/>
        <v>0.2682505425977979</v>
      </c>
      <c r="E283" s="652">
        <f t="shared" si="32"/>
        <v>-1.7373085602378324E-2</v>
      </c>
    </row>
    <row r="284" spans="1:5" x14ac:dyDescent="0.2">
      <c r="A284" s="588"/>
      <c r="B284" s="592" t="s">
        <v>844</v>
      </c>
      <c r="C284" s="651">
        <f t="shared" si="31"/>
        <v>0.31760752998130004</v>
      </c>
      <c r="D284" s="651">
        <f t="shared" si="31"/>
        <v>0.3048223449606961</v>
      </c>
      <c r="E284" s="652">
        <f t="shared" si="32"/>
        <v>-1.278518502060394E-2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0.35513137018416252</v>
      </c>
      <c r="D287" s="623">
        <f t="shared" si="33"/>
        <v>0.37390697099629927</v>
      </c>
      <c r="E287" s="650">
        <f t="shared" ref="E287:E295" si="34">D287-C287</f>
        <v>1.877560081213675E-2</v>
      </c>
    </row>
    <row r="288" spans="1:5" x14ac:dyDescent="0.2">
      <c r="A288" s="588">
        <v>2</v>
      </c>
      <c r="B288" s="587" t="s">
        <v>634</v>
      </c>
      <c r="C288" s="623">
        <f t="shared" si="33"/>
        <v>0.1984771144803901</v>
      </c>
      <c r="D288" s="623">
        <f t="shared" si="33"/>
        <v>0.19302415731303457</v>
      </c>
      <c r="E288" s="650">
        <f t="shared" si="34"/>
        <v>-5.4529571673555266E-3</v>
      </c>
    </row>
    <row r="289" spans="1:5" x14ac:dyDescent="0.2">
      <c r="A289" s="588">
        <v>3</v>
      </c>
      <c r="B289" s="587" t="s">
        <v>776</v>
      </c>
      <c r="C289" s="623">
        <f t="shared" si="33"/>
        <v>0.18483691733483718</v>
      </c>
      <c r="D289" s="623">
        <f t="shared" si="33"/>
        <v>0.17965952964826301</v>
      </c>
      <c r="E289" s="650">
        <f t="shared" si="34"/>
        <v>-5.1773876865741641E-3</v>
      </c>
    </row>
    <row r="290" spans="1:5" x14ac:dyDescent="0.2">
      <c r="A290" s="588">
        <v>4</v>
      </c>
      <c r="B290" s="587" t="s">
        <v>115</v>
      </c>
      <c r="C290" s="623">
        <f t="shared" si="33"/>
        <v>0.18483691733483718</v>
      </c>
      <c r="D290" s="623">
        <f t="shared" si="33"/>
        <v>0.17965952964826301</v>
      </c>
      <c r="E290" s="650">
        <f t="shared" si="34"/>
        <v>-5.1773876865741641E-3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0.21967105104088591</v>
      </c>
      <c r="D292" s="623">
        <f t="shared" si="33"/>
        <v>0.1850420062816733</v>
      </c>
      <c r="E292" s="650">
        <f t="shared" si="34"/>
        <v>-3.4629044759212607E-2</v>
      </c>
    </row>
    <row r="293" spans="1:5" x14ac:dyDescent="0.2">
      <c r="A293" s="588">
        <v>7</v>
      </c>
      <c r="B293" s="587" t="s">
        <v>757</v>
      </c>
      <c r="C293" s="623">
        <f t="shared" si="33"/>
        <v>0.10998057261439514</v>
      </c>
      <c r="D293" s="623">
        <f t="shared" si="33"/>
        <v>9.4041697542389974E-2</v>
      </c>
      <c r="E293" s="650">
        <f t="shared" si="34"/>
        <v>-1.5938875072005171E-2</v>
      </c>
    </row>
    <row r="294" spans="1:5" ht="29.25" customHeight="1" x14ac:dyDescent="0.2">
      <c r="A294" s="588"/>
      <c r="B294" s="592" t="s">
        <v>846</v>
      </c>
      <c r="C294" s="651">
        <f t="shared" si="33"/>
        <v>0.19336210417842595</v>
      </c>
      <c r="D294" s="651">
        <f t="shared" si="33"/>
        <v>0.18766383626163965</v>
      </c>
      <c r="E294" s="652">
        <f t="shared" si="34"/>
        <v>-5.6982679167862926E-3</v>
      </c>
    </row>
    <row r="295" spans="1:5" x14ac:dyDescent="0.2">
      <c r="A295" s="588"/>
      <c r="B295" s="592" t="s">
        <v>847</v>
      </c>
      <c r="C295" s="651">
        <f t="shared" si="33"/>
        <v>0.26596604286398962</v>
      </c>
      <c r="D295" s="651">
        <f t="shared" si="33"/>
        <v>0.26480558989109199</v>
      </c>
      <c r="E295" s="652">
        <f t="shared" si="34"/>
        <v>-1.1604529728976298E-3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139050114</v>
      </c>
      <c r="D301" s="590">
        <f>+D48+D47+D50+D51+D52+D59+D58+D61+D62+D63</f>
        <v>144030195</v>
      </c>
      <c r="E301" s="590">
        <f>D301-C301</f>
        <v>4980081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139050114</v>
      </c>
      <c r="D303" s="593">
        <f>+D301+D302</f>
        <v>144030195</v>
      </c>
      <c r="E303" s="593">
        <f>D303-C303</f>
        <v>4980081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-3152120</v>
      </c>
      <c r="D305" s="654">
        <v>-1080839</v>
      </c>
      <c r="E305" s="655">
        <f>D305-C305</f>
        <v>2071281</v>
      </c>
    </row>
    <row r="306" spans="1:5" x14ac:dyDescent="0.2">
      <c r="A306" s="588">
        <v>4</v>
      </c>
      <c r="B306" s="592" t="s">
        <v>854</v>
      </c>
      <c r="C306" s="593">
        <f>+C303+C305+C194+C190-C191</f>
        <v>136952550</v>
      </c>
      <c r="D306" s="593">
        <f>+D303+D305</f>
        <v>142949356</v>
      </c>
      <c r="E306" s="656">
        <f>D306-C306</f>
        <v>5996806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135897993</v>
      </c>
      <c r="D308" s="589">
        <v>142949359</v>
      </c>
      <c r="E308" s="590">
        <f>D308-C308</f>
        <v>7051366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1054557</v>
      </c>
      <c r="D310" s="658">
        <f>D306-D308</f>
        <v>-3</v>
      </c>
      <c r="E310" s="656">
        <f>D310-C310</f>
        <v>-1054560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482918974</v>
      </c>
      <c r="D314" s="590">
        <f>+D14+D15+D16+D19+D25+D26+D27+D30</f>
        <v>511809633</v>
      </c>
      <c r="E314" s="590">
        <f>D314-C314</f>
        <v>28890659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482918974</v>
      </c>
      <c r="D316" s="657">
        <f>D314+D315</f>
        <v>511809633</v>
      </c>
      <c r="E316" s="593">
        <f>D316-C316</f>
        <v>28890659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482918974</v>
      </c>
      <c r="D318" s="589">
        <v>511809632</v>
      </c>
      <c r="E318" s="590">
        <f>D318-C318</f>
        <v>28890658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4839534</v>
      </c>
      <c r="D324" s="589">
        <f>+D193+D194</f>
        <v>4906605</v>
      </c>
      <c r="E324" s="590">
        <f>D324-C324</f>
        <v>67071</v>
      </c>
    </row>
    <row r="325" spans="1:5" x14ac:dyDescent="0.2">
      <c r="A325" s="588">
        <v>2</v>
      </c>
      <c r="B325" s="587" t="s">
        <v>864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865</v>
      </c>
      <c r="C326" s="657">
        <f>C324+C325</f>
        <v>4839534</v>
      </c>
      <c r="D326" s="657">
        <f>D324+D325</f>
        <v>4906605</v>
      </c>
      <c r="E326" s="593">
        <f>D326-C326</f>
        <v>67071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4839534</v>
      </c>
      <c r="D328" s="589">
        <v>4906605</v>
      </c>
      <c r="E328" s="590">
        <f>D328-C328</f>
        <v>67071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FILING&amp;RGRIFFIN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53596231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122178231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36492468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36492468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147675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295352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158818374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212414605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124009175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104874412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70096265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70096265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415176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2562693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175385853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299395028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177605406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334204227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511809633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22145603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34829776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7773339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7773339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99041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42603115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64748718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46367895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20243295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12593462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12593462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76825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241000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32913582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79281477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68513498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75516697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144030195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2030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3387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1523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1523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11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4920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6950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1.0487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1.30745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0.87407999999999997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0.87407999999999997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0.65644999999999998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0.92817000000000005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1.171975912601626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1.1359687035971224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174747361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70562058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104185303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0.59620530120623683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3122499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1784106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4906605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5691910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141153441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144030195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144030195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-1080839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142949356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142949359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-3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511809633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511809633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511809632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4906605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4906605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4906605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FILING&amp;RGRIFFIN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278</v>
      </c>
      <c r="D12" s="185">
        <v>195</v>
      </c>
      <c r="E12" s="185">
        <f>+D12-C12</f>
        <v>-83</v>
      </c>
      <c r="F12" s="77">
        <f>IF(C12=0,0,+E12/C12)</f>
        <v>-0.29856115107913667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206</v>
      </c>
      <c r="D13" s="185">
        <v>150</v>
      </c>
      <c r="E13" s="185">
        <f>+D13-C13</f>
        <v>-56</v>
      </c>
      <c r="F13" s="77">
        <f>IF(C13=0,0,+E13/C13)</f>
        <v>-0.27184466019417475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3784978</v>
      </c>
      <c r="D15" s="76">
        <v>3122499</v>
      </c>
      <c r="E15" s="76">
        <f>+D15-C15</f>
        <v>-662479</v>
      </c>
      <c r="F15" s="77">
        <f>IF(C15=0,0,+E15/C15)</f>
        <v>-0.17502849422110248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18373.679611650485</v>
      </c>
      <c r="D16" s="79">
        <f>IF(D13=0,0,+D15/+D13)</f>
        <v>20816.66</v>
      </c>
      <c r="E16" s="79">
        <f>+D16-C16</f>
        <v>2442.9803883495151</v>
      </c>
      <c r="F16" s="80">
        <f>IF(C16=0,0,+E16/C16)</f>
        <v>0.13296086793635264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0.28476699999999999</v>
      </c>
      <c r="D18" s="704">
        <v>0.26795200000000002</v>
      </c>
      <c r="E18" s="704">
        <f>+D18-C18</f>
        <v>-1.6814999999999969E-2</v>
      </c>
      <c r="F18" s="77">
        <f>IF(C18=0,0,+E18/C18)</f>
        <v>-5.9048274554284623E-2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1077836.8301259999</v>
      </c>
      <c r="D19" s="79">
        <f>+D15*D18</f>
        <v>836679.85204800009</v>
      </c>
      <c r="E19" s="79">
        <f>+D19-C19</f>
        <v>-241156.97807799978</v>
      </c>
      <c r="F19" s="80">
        <f>IF(C19=0,0,+E19/C19)</f>
        <v>-0.22374163819379633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5232.2176219708736</v>
      </c>
      <c r="D20" s="79">
        <f>IF(D13=0,0,+D19/D13)</f>
        <v>5577.8656803200001</v>
      </c>
      <c r="E20" s="79">
        <f>+D20-C20</f>
        <v>345.64805834912659</v>
      </c>
      <c r="F20" s="80">
        <f>IF(C20=0,0,+E20/C20)</f>
        <v>6.6061483547186203E-2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879676</v>
      </c>
      <c r="D22" s="76">
        <v>1405124</v>
      </c>
      <c r="E22" s="76">
        <f>+D22-C22</f>
        <v>525448</v>
      </c>
      <c r="F22" s="77">
        <f>IF(C22=0,0,+E22/C22)</f>
        <v>0.5973199223350415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1164329</v>
      </c>
      <c r="D23" s="185">
        <v>999200</v>
      </c>
      <c r="E23" s="185">
        <f>+D23-C23</f>
        <v>-165129</v>
      </c>
      <c r="F23" s="77">
        <f>IF(C23=0,0,+E23/C23)</f>
        <v>-0.14182331626198438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1740973</v>
      </c>
      <c r="D24" s="185">
        <v>718175</v>
      </c>
      <c r="E24" s="185">
        <f>+D24-C24</f>
        <v>-1022798</v>
      </c>
      <c r="F24" s="77">
        <f>IF(C24=0,0,+E24/C24)</f>
        <v>-0.58748642282218044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3784978</v>
      </c>
      <c r="D25" s="79">
        <f>+D22+D23+D24</f>
        <v>3122499</v>
      </c>
      <c r="E25" s="79">
        <f>+E22+E23+E24</f>
        <v>-662479</v>
      </c>
      <c r="F25" s="80">
        <f>IF(C25=0,0,+E25/C25)</f>
        <v>-0.17502849422110248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8491</v>
      </c>
      <c r="D27" s="185">
        <v>10048</v>
      </c>
      <c r="E27" s="185">
        <f>+D27-C27</f>
        <v>1557</v>
      </c>
      <c r="F27" s="77">
        <f>IF(C27=0,0,+E27/C27)</f>
        <v>0.1833706277234719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546</v>
      </c>
      <c r="D28" s="185">
        <v>439</v>
      </c>
      <c r="E28" s="185">
        <f>+D28-C28</f>
        <v>-107</v>
      </c>
      <c r="F28" s="77">
        <f>IF(C28=0,0,+E28/C28)</f>
        <v>-0.19597069597069597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4695</v>
      </c>
      <c r="D29" s="185">
        <v>6893</v>
      </c>
      <c r="E29" s="185">
        <f>+D29-C29</f>
        <v>2198</v>
      </c>
      <c r="F29" s="77">
        <f>IF(C29=0,0,+E29/C29)</f>
        <v>0.46815761448349308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3253</v>
      </c>
      <c r="D30" s="185">
        <v>2716</v>
      </c>
      <c r="E30" s="185">
        <f>+D30-C30</f>
        <v>-537</v>
      </c>
      <c r="F30" s="77">
        <f>IF(C30=0,0,+E30/C30)</f>
        <v>-0.16507838917921919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52728</v>
      </c>
      <c r="D33" s="76">
        <v>535232</v>
      </c>
      <c r="E33" s="76">
        <f>+D33-C33</f>
        <v>482504</v>
      </c>
      <c r="F33" s="77">
        <f>IF(C33=0,0,+E33/C33)</f>
        <v>9.1508117129418913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495641</v>
      </c>
      <c r="D34" s="185">
        <v>481709</v>
      </c>
      <c r="E34" s="185">
        <f>+D34-C34</f>
        <v>-13932</v>
      </c>
      <c r="F34" s="77">
        <f>IF(C34=0,0,+E34/C34)</f>
        <v>-2.8109054739216488E-2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506187</v>
      </c>
      <c r="D35" s="185">
        <v>767165</v>
      </c>
      <c r="E35" s="185">
        <f>+D35-C35</f>
        <v>260978</v>
      </c>
      <c r="F35" s="77">
        <f>IF(C35=0,0,+E35/C35)</f>
        <v>0.51557625936659768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1054556</v>
      </c>
      <c r="D36" s="79">
        <f>+D33+D34+D35</f>
        <v>1784106</v>
      </c>
      <c r="E36" s="79">
        <f>+E33+E34+E35</f>
        <v>729550</v>
      </c>
      <c r="F36" s="80">
        <f>IF(C36=0,0,+E36/C36)</f>
        <v>0.69180773709504284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3784978</v>
      </c>
      <c r="D39" s="76">
        <f>+D25</f>
        <v>3122499</v>
      </c>
      <c r="E39" s="76">
        <f>+D39-C39</f>
        <v>-662479</v>
      </c>
      <c r="F39" s="77">
        <f>IF(C39=0,0,+E39/C39)</f>
        <v>-0.17502849422110248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1054556</v>
      </c>
      <c r="D40" s="185">
        <f>+D36</f>
        <v>1784106</v>
      </c>
      <c r="E40" s="185">
        <f>+D40-C40</f>
        <v>729550</v>
      </c>
      <c r="F40" s="77">
        <f>IF(C40=0,0,+E40/C40)</f>
        <v>0.69180773709504284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4839534</v>
      </c>
      <c r="D41" s="79">
        <f>+D39+D40</f>
        <v>4906605</v>
      </c>
      <c r="E41" s="79">
        <f>+E39+E40</f>
        <v>67071</v>
      </c>
      <c r="F41" s="80">
        <f>IF(C41=0,0,+E41/C41)</f>
        <v>1.3858978984340228E-2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932404</v>
      </c>
      <c r="D43" s="76">
        <f t="shared" si="0"/>
        <v>1940356</v>
      </c>
      <c r="E43" s="76">
        <f>+D43-C43</f>
        <v>1007952</v>
      </c>
      <c r="F43" s="77">
        <f>IF(C43=0,0,+E43/C43)</f>
        <v>1.0810249634278704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1659970</v>
      </c>
      <c r="D44" s="185">
        <f t="shared" si="0"/>
        <v>1480909</v>
      </c>
      <c r="E44" s="185">
        <f>+D44-C44</f>
        <v>-179061</v>
      </c>
      <c r="F44" s="77">
        <f>IF(C44=0,0,+E44/C44)</f>
        <v>-0.10787002174738097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2247160</v>
      </c>
      <c r="D45" s="185">
        <f t="shared" si="0"/>
        <v>1485340</v>
      </c>
      <c r="E45" s="185">
        <f>+D45-C45</f>
        <v>-761820</v>
      </c>
      <c r="F45" s="77">
        <f>IF(C45=0,0,+E45/C45)</f>
        <v>-0.33901457840118193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4839534</v>
      </c>
      <c r="D46" s="79">
        <f>+D43+D44+D45</f>
        <v>4906605</v>
      </c>
      <c r="E46" s="79">
        <f>+E43+E44+E45</f>
        <v>67071</v>
      </c>
      <c r="F46" s="80">
        <f>IF(C46=0,0,+E46/C46)</f>
        <v>1.3858978984340228E-2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FILING&amp;RGRIFFIN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177406112</v>
      </c>
      <c r="D15" s="76">
        <v>174747361</v>
      </c>
      <c r="E15" s="76">
        <f>+D15-C15</f>
        <v>-2658751</v>
      </c>
      <c r="F15" s="77">
        <f>IF(C15=0,0,E15/C15)</f>
        <v>-1.4986806091551119E-2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109719783</v>
      </c>
      <c r="D17" s="76">
        <v>104185303</v>
      </c>
      <c r="E17" s="76">
        <f>+D17-C17</f>
        <v>-5534480</v>
      </c>
      <c r="F17" s="77">
        <f>IF(C17=0,0,E17/C17)</f>
        <v>-5.0441951749029615E-2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67686329</v>
      </c>
      <c r="D19" s="79">
        <f>+D15-D17</f>
        <v>70562058</v>
      </c>
      <c r="E19" s="79">
        <f>+D19-C19</f>
        <v>2875729</v>
      </c>
      <c r="F19" s="80">
        <f>IF(C19=0,0,E19/C19)</f>
        <v>4.2486112668335137E-2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0.61846675834934028</v>
      </c>
      <c r="D21" s="720">
        <f>IF(D15=0,0,D17/D15)</f>
        <v>0.59620530120623683</v>
      </c>
      <c r="E21" s="720">
        <f>+D21-C21</f>
        <v>-2.2261457143103458E-2</v>
      </c>
      <c r="F21" s="80">
        <f>IF(C21=0,0,E21/C21)</f>
        <v>-3.5994589592039314E-2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FILING&amp;R&amp;12GRIFFIN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197406204</v>
      </c>
      <c r="D10" s="744">
        <v>205456234</v>
      </c>
      <c r="E10" s="744">
        <v>212414605</v>
      </c>
    </row>
    <row r="11" spans="1:6" ht="26.1" customHeight="1" x14ac:dyDescent="0.25">
      <c r="A11" s="742">
        <v>2</v>
      </c>
      <c r="B11" s="743" t="s">
        <v>931</v>
      </c>
      <c r="C11" s="744">
        <v>246290887</v>
      </c>
      <c r="D11" s="744">
        <v>277462740</v>
      </c>
      <c r="E11" s="744">
        <v>299395028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443697091</v>
      </c>
      <c r="D12" s="744">
        <f>+D11+D10</f>
        <v>482918974</v>
      </c>
      <c r="E12" s="744">
        <f>+E11+E10</f>
        <v>511809633</v>
      </c>
    </row>
    <row r="13" spans="1:6" ht="26.1" customHeight="1" x14ac:dyDescent="0.25">
      <c r="A13" s="742">
        <v>4</v>
      </c>
      <c r="B13" s="743" t="s">
        <v>507</v>
      </c>
      <c r="C13" s="744">
        <v>125805820</v>
      </c>
      <c r="D13" s="744">
        <v>135897993</v>
      </c>
      <c r="E13" s="744">
        <v>142949359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127376540</v>
      </c>
      <c r="D16" s="744">
        <v>130275487</v>
      </c>
      <c r="E16" s="744">
        <v>141153441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31271</v>
      </c>
      <c r="D19" s="747">
        <v>30806</v>
      </c>
      <c r="E19" s="747">
        <v>30594</v>
      </c>
    </row>
    <row r="20" spans="1:5" ht="26.1" customHeight="1" x14ac:dyDescent="0.25">
      <c r="A20" s="742">
        <v>2</v>
      </c>
      <c r="B20" s="743" t="s">
        <v>381</v>
      </c>
      <c r="C20" s="748">
        <v>7176</v>
      </c>
      <c r="D20" s="748">
        <v>6935</v>
      </c>
      <c r="E20" s="748">
        <v>6950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4.357720178372352</v>
      </c>
      <c r="D21" s="749">
        <f>IF(D20=0,0,+D19/D20)</f>
        <v>4.4421052631578943</v>
      </c>
      <c r="E21" s="749">
        <f>IF(E20=0,0,+E19/E20)</f>
        <v>4.4020143884892082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70285.793716295768</v>
      </c>
      <c r="D22" s="748">
        <f>IF(D10=0,0,D19*(D12/D10))</f>
        <v>72408.617754786639</v>
      </c>
      <c r="E22" s="748">
        <f>IF(E10=0,0,E19*(E12/E10))</f>
        <v>73715.759384821955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16129.028675390568</v>
      </c>
      <c r="D23" s="748">
        <f>IF(D10=0,0,D20*(D12/D10))</f>
        <v>16300.518214940121</v>
      </c>
      <c r="E23" s="748">
        <f>IF(E10=0,0,E20*(E12/E10))</f>
        <v>16745.915137756183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1.1434999163879598</v>
      </c>
      <c r="D26" s="750">
        <v>1.1321927007930788</v>
      </c>
      <c r="E26" s="750">
        <v>1.1359687035971224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35758.38588536789</v>
      </c>
      <c r="D27" s="748">
        <f>D19*D26</f>
        <v>34878.328340631582</v>
      </c>
      <c r="E27" s="748">
        <f>E19*E26</f>
        <v>34753.826517850364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8205.7554</v>
      </c>
      <c r="D28" s="748">
        <f>D20*D26</f>
        <v>7851.7563800000016</v>
      </c>
      <c r="E28" s="748">
        <f>E20*E26</f>
        <v>7894.9824900000012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80371.799237845597</v>
      </c>
      <c r="D29" s="748">
        <f>D22*D26</f>
        <v>81980.508496485563</v>
      </c>
      <c r="E29" s="748">
        <f>E22*E26</f>
        <v>83738.795623053607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18443.542941728119</v>
      </c>
      <c r="D30" s="748">
        <f>D23*D26</f>
        <v>18455.327742099831</v>
      </c>
      <c r="E30" s="748">
        <f>E23*E26</f>
        <v>19022.835509584318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14188.772057177577</v>
      </c>
      <c r="D33" s="744">
        <f>IF(D19=0,0,D12/D19)</f>
        <v>15676.133675258066</v>
      </c>
      <c r="E33" s="744">
        <f>IF(E19=0,0,E12/E19)</f>
        <v>16729.08521278682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61830.698299888514</v>
      </c>
      <c r="D34" s="744">
        <f>IF(D20=0,0,D12/D20)</f>
        <v>69635.035904830569</v>
      </c>
      <c r="E34" s="744">
        <f>IF(E20=0,0,E12/E20)</f>
        <v>73641.673812949637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6312.7563557289495</v>
      </c>
      <c r="D35" s="744">
        <f>IF(D22=0,0,D12/D22)</f>
        <v>6669.3577225215877</v>
      </c>
      <c r="E35" s="744">
        <f>IF(E22=0,0,E12/E22)</f>
        <v>6943.0151336863446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27509.225752508359</v>
      </c>
      <c r="D36" s="744">
        <f>IF(D23=0,0,D12/D23)</f>
        <v>29625.989041095894</v>
      </c>
      <c r="E36" s="744">
        <f>IF(E23=0,0,E12/E23)</f>
        <v>30563.252517985609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5520.5569018924143</v>
      </c>
      <c r="D37" s="744">
        <f>IF(D29=0,0,D12/D29)</f>
        <v>5890.6559968544516</v>
      </c>
      <c r="E37" s="744">
        <f>IF(E29=0,0,E12/E29)</f>
        <v>6111.9774793978149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24057.042207229333</v>
      </c>
      <c r="D38" s="744">
        <f>IF(D30=0,0,D12/D30)</f>
        <v>26166.914007079773</v>
      </c>
      <c r="E38" s="744">
        <f>IF(E30=0,0,E12/E30)</f>
        <v>26905.012806431187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2808.6216796073736</v>
      </c>
      <c r="D39" s="744">
        <f>IF(D22=0,0,D10/D22)</f>
        <v>2837.4555456338362</v>
      </c>
      <c r="E39" s="744">
        <f>IF(E22=0,0,E10/E22)</f>
        <v>2881.5358720124109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12239.187366639098</v>
      </c>
      <c r="D40" s="744">
        <f>IF(D23=0,0,D10/D23)</f>
        <v>12604.276213236619</v>
      </c>
      <c r="E40" s="744">
        <f>IF(E23=0,0,E10/E23)</f>
        <v>12684.562369546429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4023.0827284065108</v>
      </c>
      <c r="D43" s="744">
        <f>IF(D19=0,0,D13/D19)</f>
        <v>4411.4131338051029</v>
      </c>
      <c r="E43" s="744">
        <f>IF(E19=0,0,E13/E19)</f>
        <v>4672.4638491207425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17531.468784838351</v>
      </c>
      <c r="D44" s="744">
        <f>IF(D20=0,0,D13/D20)</f>
        <v>19595.96149963951</v>
      </c>
      <c r="E44" s="744">
        <f>IF(E20=0,0,E13/E20)</f>
        <v>20568.253093525182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1789.9181804477782</v>
      </c>
      <c r="D45" s="744">
        <f>IF(D22=0,0,D13/D22)</f>
        <v>1876.8207046876867</v>
      </c>
      <c r="E45" s="744">
        <f>IF(E22=0,0,E13/E22)</f>
        <v>1939.1967225590736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7799.9625725728083</v>
      </c>
      <c r="D46" s="744">
        <f>IF(D23=0,0,D13/D23)</f>
        <v>8337.0351302968811</v>
      </c>
      <c r="E46" s="744">
        <f>IF(E23=0,0,E13/E23)</f>
        <v>8536.3718748161555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1565.2980422610765</v>
      </c>
      <c r="D47" s="744">
        <f>IF(D29=0,0,D13/D29)</f>
        <v>1657.6866317659621</v>
      </c>
      <c r="E47" s="744">
        <f>IF(E29=0,0,E13/E29)</f>
        <v>1707.0863980833933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6821.1308639278323</v>
      </c>
      <c r="D48" s="744">
        <f>IF(D30=0,0,D13/D30)</f>
        <v>7363.6185116340639</v>
      </c>
      <c r="E48" s="744">
        <f>IF(E30=0,0,E13/E30)</f>
        <v>7514.6188867573137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4073.3120143263727</v>
      </c>
      <c r="D51" s="744">
        <f>IF(D19=0,0,D16/D19)</f>
        <v>4228.8997922482631</v>
      </c>
      <c r="E51" s="744">
        <f>IF(E19=0,0,E16/E19)</f>
        <v>4613.7622082761327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17750.353957636566</v>
      </c>
      <c r="D52" s="744">
        <f>IF(D20=0,0,D16/D20)</f>
        <v>18785.218024513339</v>
      </c>
      <c r="E52" s="744">
        <f>IF(E20=0,0,E16/E20)</f>
        <v>20309.847625899281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1812.2657974689378</v>
      </c>
      <c r="D53" s="744">
        <f>IF(D22=0,0,D16/D22)</f>
        <v>1799.1710246587054</v>
      </c>
      <c r="E53" s="744">
        <f>IF(E22=0,0,E16/E22)</f>
        <v>1914.8339809284178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7897.3472342044524</v>
      </c>
      <c r="D54" s="744">
        <f>IF(D23=0,0,D16/D23)</f>
        <v>7992.1070779576166</v>
      </c>
      <c r="E54" s="744">
        <f>IF(E23=0,0,E16/E23)</f>
        <v>8429.1267356149656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1584.8412155494054</v>
      </c>
      <c r="D55" s="744">
        <f>IF(D29=0,0,D16/D29)</f>
        <v>1589.1031830521617</v>
      </c>
      <c r="E55" s="744">
        <f>IF(E29=0,0,E16/E29)</f>
        <v>1685.6397318561376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6906.2945445158111</v>
      </c>
      <c r="D56" s="744">
        <f>IF(D30=0,0,D16/D30)</f>
        <v>7058.9636131369707</v>
      </c>
      <c r="E56" s="744">
        <f>IF(E30=0,0,E16/E30)</f>
        <v>7420.2103534398093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19389105</v>
      </c>
      <c r="D59" s="752">
        <v>20849734</v>
      </c>
      <c r="E59" s="752">
        <v>21477461</v>
      </c>
    </row>
    <row r="60" spans="1:6" ht="26.1" customHeight="1" x14ac:dyDescent="0.25">
      <c r="A60" s="742">
        <v>2</v>
      </c>
      <c r="B60" s="743" t="s">
        <v>967</v>
      </c>
      <c r="C60" s="752">
        <v>6978339</v>
      </c>
      <c r="D60" s="752">
        <v>6274634</v>
      </c>
      <c r="E60" s="752">
        <v>7125501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26367444</v>
      </c>
      <c r="D61" s="755">
        <f>D59+D60</f>
        <v>27124368</v>
      </c>
      <c r="E61" s="755">
        <f>E59+E60</f>
        <v>28602962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4057828</v>
      </c>
      <c r="D64" s="744">
        <v>3821225</v>
      </c>
      <c r="E64" s="752">
        <v>3595537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1460456</v>
      </c>
      <c r="D65" s="752">
        <v>1149980</v>
      </c>
      <c r="E65" s="752">
        <v>1192878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5518284</v>
      </c>
      <c r="D66" s="757">
        <f>D64+D65</f>
        <v>4971205</v>
      </c>
      <c r="E66" s="757">
        <f>E64+E65</f>
        <v>4788415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29791307</v>
      </c>
      <c r="D69" s="752">
        <v>31025618</v>
      </c>
      <c r="E69" s="752">
        <v>32916206</v>
      </c>
    </row>
    <row r="70" spans="1:6" ht="26.1" customHeight="1" x14ac:dyDescent="0.25">
      <c r="A70" s="742">
        <v>2</v>
      </c>
      <c r="B70" s="743" t="s">
        <v>975</v>
      </c>
      <c r="C70" s="752">
        <v>10725001</v>
      </c>
      <c r="D70" s="752">
        <v>9337021</v>
      </c>
      <c r="E70" s="752">
        <v>10920486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40516308</v>
      </c>
      <c r="D71" s="755">
        <f>D69+D70</f>
        <v>40362639</v>
      </c>
      <c r="E71" s="755">
        <f>E69+E70</f>
        <v>43836692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53238240</v>
      </c>
      <c r="D75" s="744">
        <f t="shared" si="0"/>
        <v>55696577</v>
      </c>
      <c r="E75" s="744">
        <f t="shared" si="0"/>
        <v>57989204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19163796</v>
      </c>
      <c r="D76" s="744">
        <f t="shared" si="0"/>
        <v>16761635</v>
      </c>
      <c r="E76" s="744">
        <f t="shared" si="0"/>
        <v>19238865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72402036</v>
      </c>
      <c r="D77" s="757">
        <f>D75+D76</f>
        <v>72458212</v>
      </c>
      <c r="E77" s="757">
        <f>E75+E76</f>
        <v>77228069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301.89999999999998</v>
      </c>
      <c r="D80" s="749">
        <v>315.7</v>
      </c>
      <c r="E80" s="749">
        <v>319.8</v>
      </c>
    </row>
    <row r="81" spans="1:5" ht="26.1" customHeight="1" x14ac:dyDescent="0.25">
      <c r="A81" s="742">
        <v>2</v>
      </c>
      <c r="B81" s="743" t="s">
        <v>617</v>
      </c>
      <c r="C81" s="749">
        <v>52.5</v>
      </c>
      <c r="D81" s="749">
        <v>49.7</v>
      </c>
      <c r="E81" s="749">
        <v>46.6</v>
      </c>
    </row>
    <row r="82" spans="1:5" ht="26.1" customHeight="1" x14ac:dyDescent="0.25">
      <c r="A82" s="742">
        <v>3</v>
      </c>
      <c r="B82" s="743" t="s">
        <v>981</v>
      </c>
      <c r="C82" s="749">
        <v>548</v>
      </c>
      <c r="D82" s="749">
        <v>558.79999999999995</v>
      </c>
      <c r="E82" s="749">
        <v>602.1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902.4</v>
      </c>
      <c r="D83" s="759">
        <f>D80+D81+D82</f>
        <v>924.19999999999993</v>
      </c>
      <c r="E83" s="759">
        <f>E80+E81+E82</f>
        <v>968.5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64223.600529976815</v>
      </c>
      <c r="D86" s="752">
        <f>IF(D80=0,0,D59/D80)</f>
        <v>66042.869813113721</v>
      </c>
      <c r="E86" s="752">
        <f>IF(E80=0,0,E59/E80)</f>
        <v>67159.040025015638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23114.736667770787</v>
      </c>
      <c r="D87" s="752">
        <f>IF(D80=0,0,D60/D80)</f>
        <v>19875.305669939818</v>
      </c>
      <c r="E87" s="752">
        <f>IF(E80=0,0,E60/E80)</f>
        <v>22281.116322701688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87338.337197747605</v>
      </c>
      <c r="D88" s="755">
        <f>+D86+D87</f>
        <v>85918.175483053536</v>
      </c>
      <c r="E88" s="755">
        <f>+E86+E87</f>
        <v>89440.156347717333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77291.961904761905</v>
      </c>
      <c r="D91" s="744">
        <f>IF(D81=0,0,D64/D81)</f>
        <v>76885.814889336005</v>
      </c>
      <c r="E91" s="744">
        <f>IF(E81=0,0,E64/E81)</f>
        <v>77157.446351931329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27818.209523809524</v>
      </c>
      <c r="D92" s="744">
        <f>IF(D81=0,0,D65/D81)</f>
        <v>23138.430583501005</v>
      </c>
      <c r="E92" s="744">
        <f>IF(E81=0,0,E65/E81)</f>
        <v>25598.240343347639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105110.17142857143</v>
      </c>
      <c r="D93" s="757">
        <f>+D91+D92</f>
        <v>100024.24547283701</v>
      </c>
      <c r="E93" s="757">
        <f>+E91+E92</f>
        <v>102755.68669527897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54363.698905109486</v>
      </c>
      <c r="D96" s="752">
        <f>IF(D82=0,0,D69/D82)</f>
        <v>55521.864710093061</v>
      </c>
      <c r="E96" s="752">
        <f>IF(E82=0,0,E69/E82)</f>
        <v>54669.001826939042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19571.169708029196</v>
      </c>
      <c r="D97" s="752">
        <f>IF(D82=0,0,D70/D82)</f>
        <v>16709.056907659273</v>
      </c>
      <c r="E97" s="752">
        <f>IF(E82=0,0,E70/E82)</f>
        <v>18137.329347284503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73934.868613138678</v>
      </c>
      <c r="D98" s="757">
        <f>+D96+D97</f>
        <v>72230.921617752334</v>
      </c>
      <c r="E98" s="757">
        <f>+E96+E97</f>
        <v>72806.331174223538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58996.276595744683</v>
      </c>
      <c r="D101" s="744">
        <f>IF(D83=0,0,D75/D83)</f>
        <v>60264.636442328505</v>
      </c>
      <c r="E101" s="744">
        <f>IF(E83=0,0,E75/E83)</f>
        <v>59875.275167785236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21236.476063829788</v>
      </c>
      <c r="D102" s="761">
        <f>IF(D83=0,0,D76/D83)</f>
        <v>18136.371997403159</v>
      </c>
      <c r="E102" s="761">
        <f>IF(E83=0,0,E76/E83)</f>
        <v>19864.599896747546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80232.752659574471</v>
      </c>
      <c r="D103" s="757">
        <f>+D101+D102</f>
        <v>78401.008439731668</v>
      </c>
      <c r="E103" s="757">
        <f>+E101+E102</f>
        <v>79739.875064532782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2315.3092641744747</v>
      </c>
      <c r="D108" s="744">
        <f>IF(D19=0,0,D77/D19)</f>
        <v>2352.0811530221386</v>
      </c>
      <c r="E108" s="744">
        <f>IF(E19=0,0,E77/E19)</f>
        <v>2524.2880630188924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10089.469899665552</v>
      </c>
      <c r="D109" s="744">
        <f>IF(D20=0,0,D77/D20)</f>
        <v>10448.192069214132</v>
      </c>
      <c r="E109" s="744">
        <f>IF(E20=0,0,E77/E20)</f>
        <v>11111.95237410072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1030.1091041561872</v>
      </c>
      <c r="D110" s="744">
        <f>IF(D22=0,0,D77/D22)</f>
        <v>1000.6849218608386</v>
      </c>
      <c r="E110" s="744">
        <f>IF(E22=0,0,E77/E22)</f>
        <v>1047.6466585230787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4488.9272291064835</v>
      </c>
      <c r="D111" s="744">
        <f>IF(D23=0,0,D77/D23)</f>
        <v>4445.1477581607778</v>
      </c>
      <c r="E111" s="744">
        <f>IF(E23=0,0,E77/E23)</f>
        <v>4611.7556648712325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900.8388102117691</v>
      </c>
      <c r="D112" s="744">
        <f>IF(D29=0,0,D77/D29)</f>
        <v>883.84682321293758</v>
      </c>
      <c r="E112" s="744">
        <f>IF(E29=0,0,E77/E29)</f>
        <v>922.2495788886032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3925.603460720768</v>
      </c>
      <c r="D113" s="744">
        <f>IF(D30=0,0,D77/D30)</f>
        <v>3926.1406252195752</v>
      </c>
      <c r="E113" s="744">
        <f>IF(E30=0,0,E77/E30)</f>
        <v>4059.7559160457445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FILING&amp;R&amp;"Arial,Bold"&amp;12GRIFFIN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482918974</v>
      </c>
      <c r="D12" s="76">
        <v>511809633</v>
      </c>
      <c r="E12" s="76">
        <f t="shared" ref="E12:E21" si="0">D12-C12</f>
        <v>28890659</v>
      </c>
      <c r="F12" s="77">
        <f t="shared" ref="F12:F21" si="1">IF(C12=0,0,E12/C12)</f>
        <v>5.9825064980776672E-2</v>
      </c>
    </row>
    <row r="13" spans="1:8" ht="23.1" customHeight="1" x14ac:dyDescent="0.2">
      <c r="A13" s="74">
        <v>2</v>
      </c>
      <c r="B13" s="75" t="s">
        <v>72</v>
      </c>
      <c r="C13" s="76">
        <v>342181446</v>
      </c>
      <c r="D13" s="76">
        <v>363953669</v>
      </c>
      <c r="E13" s="76">
        <f t="shared" si="0"/>
        <v>21772223</v>
      </c>
      <c r="F13" s="77">
        <f t="shared" si="1"/>
        <v>6.3627713467550195E-2</v>
      </c>
    </row>
    <row r="14" spans="1:8" ht="23.1" customHeight="1" x14ac:dyDescent="0.2">
      <c r="A14" s="74">
        <v>3</v>
      </c>
      <c r="B14" s="75" t="s">
        <v>73</v>
      </c>
      <c r="C14" s="76">
        <v>3784979</v>
      </c>
      <c r="D14" s="76">
        <v>3122499</v>
      </c>
      <c r="E14" s="76">
        <f t="shared" si="0"/>
        <v>-662480</v>
      </c>
      <c r="F14" s="77">
        <f t="shared" si="1"/>
        <v>-0.17502871218043747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136952549</v>
      </c>
      <c r="D16" s="79">
        <f>D12-D13-D14-D15</f>
        <v>144733465</v>
      </c>
      <c r="E16" s="79">
        <f t="shared" si="0"/>
        <v>7780916</v>
      </c>
      <c r="F16" s="80">
        <f t="shared" si="1"/>
        <v>5.6814685501034377E-2</v>
      </c>
    </row>
    <row r="17" spans="1:7" ht="23.1" customHeight="1" x14ac:dyDescent="0.2">
      <c r="A17" s="74">
        <v>5</v>
      </c>
      <c r="B17" s="75" t="s">
        <v>76</v>
      </c>
      <c r="C17" s="76">
        <v>1054556</v>
      </c>
      <c r="D17" s="76">
        <v>1784106</v>
      </c>
      <c r="E17" s="76">
        <f t="shared" si="0"/>
        <v>729550</v>
      </c>
      <c r="F17" s="77">
        <f t="shared" si="1"/>
        <v>0.69180773709504284</v>
      </c>
      <c r="G17" s="65"/>
    </row>
    <row r="18" spans="1:7" ht="31.5" customHeight="1" x14ac:dyDescent="0.25">
      <c r="A18" s="71"/>
      <c r="B18" s="81" t="s">
        <v>77</v>
      </c>
      <c r="C18" s="79">
        <f>C16-C17</f>
        <v>135897993</v>
      </c>
      <c r="D18" s="79">
        <f>D16-D17</f>
        <v>142949359</v>
      </c>
      <c r="E18" s="79">
        <f t="shared" si="0"/>
        <v>7051366</v>
      </c>
      <c r="F18" s="80">
        <f t="shared" si="1"/>
        <v>5.1887197480539687E-2</v>
      </c>
    </row>
    <row r="19" spans="1:7" ht="23.1" customHeight="1" x14ac:dyDescent="0.2">
      <c r="A19" s="74">
        <v>6</v>
      </c>
      <c r="B19" s="75" t="s">
        <v>78</v>
      </c>
      <c r="C19" s="76">
        <v>3270624</v>
      </c>
      <c r="D19" s="76">
        <v>5691910</v>
      </c>
      <c r="E19" s="76">
        <f t="shared" si="0"/>
        <v>2421286</v>
      </c>
      <c r="F19" s="77">
        <f t="shared" si="1"/>
        <v>0.74031316348195331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139168617</v>
      </c>
      <c r="D21" s="79">
        <f>SUM(D18:D20)</f>
        <v>148641269</v>
      </c>
      <c r="E21" s="79">
        <f t="shared" si="0"/>
        <v>9472652</v>
      </c>
      <c r="F21" s="80">
        <f t="shared" si="1"/>
        <v>6.8066006576755739E-2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55696577</v>
      </c>
      <c r="D24" s="76">
        <v>57989204</v>
      </c>
      <c r="E24" s="76">
        <f t="shared" ref="E24:E33" si="2">D24-C24</f>
        <v>2292627</v>
      </c>
      <c r="F24" s="77">
        <f t="shared" ref="F24:F33" si="3">IF(C24=0,0,E24/C24)</f>
        <v>4.1162798927481668E-2</v>
      </c>
    </row>
    <row r="25" spans="1:7" ht="23.1" customHeight="1" x14ac:dyDescent="0.2">
      <c r="A25" s="74">
        <v>2</v>
      </c>
      <c r="B25" s="75" t="s">
        <v>83</v>
      </c>
      <c r="C25" s="76">
        <v>16761635</v>
      </c>
      <c r="D25" s="76">
        <v>19238865</v>
      </c>
      <c r="E25" s="76">
        <f t="shared" si="2"/>
        <v>2477230</v>
      </c>
      <c r="F25" s="77">
        <f t="shared" si="3"/>
        <v>0.14779166829488891</v>
      </c>
    </row>
    <row r="26" spans="1:7" ht="23.1" customHeight="1" x14ac:dyDescent="0.2">
      <c r="A26" s="74">
        <v>3</v>
      </c>
      <c r="B26" s="75" t="s">
        <v>84</v>
      </c>
      <c r="C26" s="76">
        <v>3514363</v>
      </c>
      <c r="D26" s="76">
        <v>4610328</v>
      </c>
      <c r="E26" s="76">
        <f t="shared" si="2"/>
        <v>1095965</v>
      </c>
      <c r="F26" s="77">
        <f t="shared" si="3"/>
        <v>0.31185310111676001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19889030</v>
      </c>
      <c r="D27" s="76">
        <v>20986764</v>
      </c>
      <c r="E27" s="76">
        <f t="shared" si="2"/>
        <v>1097734</v>
      </c>
      <c r="F27" s="77">
        <f t="shared" si="3"/>
        <v>5.5192938016585022E-2</v>
      </c>
    </row>
    <row r="28" spans="1:7" ht="23.1" customHeight="1" x14ac:dyDescent="0.2">
      <c r="A28" s="74">
        <v>5</v>
      </c>
      <c r="B28" s="75" t="s">
        <v>86</v>
      </c>
      <c r="C28" s="76">
        <v>5750673</v>
      </c>
      <c r="D28" s="76">
        <v>4440683</v>
      </c>
      <c r="E28" s="76">
        <f t="shared" si="2"/>
        <v>-1309990</v>
      </c>
      <c r="F28" s="77">
        <f t="shared" si="3"/>
        <v>-0.22779768559262542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3531142</v>
      </c>
      <c r="D30" s="76">
        <v>2123883</v>
      </c>
      <c r="E30" s="76">
        <f t="shared" si="2"/>
        <v>-1407259</v>
      </c>
      <c r="F30" s="77">
        <f t="shared" si="3"/>
        <v>-0.39852801161777124</v>
      </c>
    </row>
    <row r="31" spans="1:7" ht="23.1" customHeight="1" x14ac:dyDescent="0.2">
      <c r="A31" s="74">
        <v>8</v>
      </c>
      <c r="B31" s="75" t="s">
        <v>89</v>
      </c>
      <c r="C31" s="76">
        <v>563492</v>
      </c>
      <c r="D31" s="76">
        <v>536009</v>
      </c>
      <c r="E31" s="76">
        <f t="shared" si="2"/>
        <v>-27483</v>
      </c>
      <c r="F31" s="77">
        <f t="shared" si="3"/>
        <v>-4.8772653382834187E-2</v>
      </c>
    </row>
    <row r="32" spans="1:7" ht="23.1" customHeight="1" x14ac:dyDescent="0.2">
      <c r="A32" s="74">
        <v>9</v>
      </c>
      <c r="B32" s="75" t="s">
        <v>90</v>
      </c>
      <c r="C32" s="76">
        <v>24568575</v>
      </c>
      <c r="D32" s="76">
        <v>31227705</v>
      </c>
      <c r="E32" s="76">
        <f t="shared" si="2"/>
        <v>6659130</v>
      </c>
      <c r="F32" s="77">
        <f t="shared" si="3"/>
        <v>0.2710425818347218</v>
      </c>
    </row>
    <row r="33" spans="1:6" ht="23.1" customHeight="1" x14ac:dyDescent="0.25">
      <c r="A33" s="71"/>
      <c r="B33" s="78" t="s">
        <v>91</v>
      </c>
      <c r="C33" s="79">
        <f>SUM(C24:C32)</f>
        <v>130275487</v>
      </c>
      <c r="D33" s="79">
        <f>SUM(D24:D32)</f>
        <v>141153441</v>
      </c>
      <c r="E33" s="79">
        <f t="shared" si="2"/>
        <v>10877954</v>
      </c>
      <c r="F33" s="80">
        <f t="shared" si="3"/>
        <v>8.3499622611274527E-2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8893130</v>
      </c>
      <c r="D35" s="79">
        <f>+D21-D33</f>
        <v>7487828</v>
      </c>
      <c r="E35" s="79">
        <f>D35-C35</f>
        <v>-1405302</v>
      </c>
      <c r="F35" s="80">
        <f>IF(C35=0,0,E35/C35)</f>
        <v>-0.15802107919259023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750312</v>
      </c>
      <c r="D38" s="76">
        <v>180955</v>
      </c>
      <c r="E38" s="76">
        <f>D38-C38</f>
        <v>-569357</v>
      </c>
      <c r="F38" s="77">
        <f>IF(C38=0,0,E38/C38)</f>
        <v>-0.75882699463689773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750312</v>
      </c>
      <c r="D41" s="79">
        <f>SUM(D38:D40)</f>
        <v>180955</v>
      </c>
      <c r="E41" s="79">
        <f>D41-C41</f>
        <v>-569357</v>
      </c>
      <c r="F41" s="80">
        <f>IF(C41=0,0,E41/C41)</f>
        <v>-0.75882699463689773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9643442</v>
      </c>
      <c r="D43" s="79">
        <f>D35+D41</f>
        <v>7668783</v>
      </c>
      <c r="E43" s="79">
        <f>D43-C43</f>
        <v>-1974659</v>
      </c>
      <c r="F43" s="80">
        <f>IF(C43=0,0,E43/C43)</f>
        <v>-0.2047670323521415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-1809312</v>
      </c>
      <c r="D47" s="76">
        <v>-2577644</v>
      </c>
      <c r="E47" s="76">
        <f>D47-C47</f>
        <v>-768332</v>
      </c>
      <c r="F47" s="77">
        <f>IF(C47=0,0,E47/C47)</f>
        <v>0.42465423321129797</v>
      </c>
    </row>
    <row r="48" spans="1:6" ht="23.1" customHeight="1" x14ac:dyDescent="0.25">
      <c r="A48" s="83"/>
      <c r="B48" s="78" t="s">
        <v>102</v>
      </c>
      <c r="C48" s="79">
        <f>SUM(C46:C47)</f>
        <v>-1809312</v>
      </c>
      <c r="D48" s="79">
        <f>SUM(D46:D47)</f>
        <v>-2577644</v>
      </c>
      <c r="E48" s="79">
        <f>D48-C48</f>
        <v>-768332</v>
      </c>
      <c r="F48" s="80">
        <f>IF(C48=0,0,E48/C48)</f>
        <v>0.42465423321129797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7834130</v>
      </c>
      <c r="D50" s="79">
        <f>D43+D48</f>
        <v>5091139</v>
      </c>
      <c r="E50" s="79">
        <f>D50-C50</f>
        <v>-2742991</v>
      </c>
      <c r="F50" s="80">
        <f>IF(C50=0,0,E50/C50)</f>
        <v>-0.3501334545124985</v>
      </c>
    </row>
    <row r="51" spans="1:6" ht="23.1" customHeight="1" x14ac:dyDescent="0.2">
      <c r="A51" s="85"/>
      <c r="B51" s="75" t="s">
        <v>104</v>
      </c>
      <c r="C51" s="76">
        <v>2040000</v>
      </c>
      <c r="D51" s="76">
        <v>2269100</v>
      </c>
      <c r="E51" s="76">
        <f>D51-C51</f>
        <v>229100</v>
      </c>
      <c r="F51" s="77">
        <f>IF(C51=0,0,E51/C51)</f>
        <v>0.11230392156862745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FILING&amp;RGRIFFIN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78528962</v>
      </c>
      <c r="D14" s="113">
        <v>79876904</v>
      </c>
      <c r="E14" s="113">
        <f t="shared" ref="E14:E25" si="0">D14-C14</f>
        <v>1347942</v>
      </c>
      <c r="F14" s="114">
        <f t="shared" ref="F14:F25" si="1">IF(C14=0,0,E14/C14)</f>
        <v>1.7164902803630588E-2</v>
      </c>
    </row>
    <row r="15" spans="1:6" x14ac:dyDescent="0.2">
      <c r="A15" s="115">
        <v>2</v>
      </c>
      <c r="B15" s="116" t="s">
        <v>114</v>
      </c>
      <c r="C15" s="113">
        <v>37279528</v>
      </c>
      <c r="D15" s="113">
        <v>42301327</v>
      </c>
      <c r="E15" s="113">
        <f t="shared" si="0"/>
        <v>5021799</v>
      </c>
      <c r="F15" s="114">
        <f t="shared" si="1"/>
        <v>0.13470661431121123</v>
      </c>
    </row>
    <row r="16" spans="1:6" x14ac:dyDescent="0.2">
      <c r="A16" s="115">
        <v>3</v>
      </c>
      <c r="B16" s="116" t="s">
        <v>115</v>
      </c>
      <c r="C16" s="113">
        <v>32386777</v>
      </c>
      <c r="D16" s="113">
        <v>36492468</v>
      </c>
      <c r="E16" s="113">
        <f t="shared" si="0"/>
        <v>4105691</v>
      </c>
      <c r="F16" s="114">
        <f t="shared" si="1"/>
        <v>0.12677059529572826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111721</v>
      </c>
      <c r="D18" s="113">
        <v>147675</v>
      </c>
      <c r="E18" s="113">
        <f t="shared" si="0"/>
        <v>35954</v>
      </c>
      <c r="F18" s="114">
        <f t="shared" si="1"/>
        <v>0.32181953258563745</v>
      </c>
    </row>
    <row r="19" spans="1:6" x14ac:dyDescent="0.2">
      <c r="A19" s="115">
        <v>6</v>
      </c>
      <c r="B19" s="116" t="s">
        <v>118</v>
      </c>
      <c r="C19" s="113">
        <v>6803869</v>
      </c>
      <c r="D19" s="113">
        <v>6102419</v>
      </c>
      <c r="E19" s="113">
        <f t="shared" si="0"/>
        <v>-701450</v>
      </c>
      <c r="F19" s="114">
        <f t="shared" si="1"/>
        <v>-0.10309575331329865</v>
      </c>
    </row>
    <row r="20" spans="1:6" x14ac:dyDescent="0.2">
      <c r="A20" s="115">
        <v>7</v>
      </c>
      <c r="B20" s="116" t="s">
        <v>119</v>
      </c>
      <c r="C20" s="113">
        <v>47866434</v>
      </c>
      <c r="D20" s="113">
        <v>44764251</v>
      </c>
      <c r="E20" s="113">
        <f t="shared" si="0"/>
        <v>-3102183</v>
      </c>
      <c r="F20" s="114">
        <f t="shared" si="1"/>
        <v>-6.4809152066769793E-2</v>
      </c>
    </row>
    <row r="21" spans="1:6" x14ac:dyDescent="0.2">
      <c r="A21" s="115">
        <v>8</v>
      </c>
      <c r="B21" s="116" t="s">
        <v>120</v>
      </c>
      <c r="C21" s="113">
        <v>1702867</v>
      </c>
      <c r="D21" s="113">
        <v>2434209</v>
      </c>
      <c r="E21" s="113">
        <f t="shared" si="0"/>
        <v>731342</v>
      </c>
      <c r="F21" s="114">
        <f t="shared" si="1"/>
        <v>0.4294768763502963</v>
      </c>
    </row>
    <row r="22" spans="1:6" x14ac:dyDescent="0.2">
      <c r="A22" s="115">
        <v>9</v>
      </c>
      <c r="B22" s="116" t="s">
        <v>121</v>
      </c>
      <c r="C22" s="113">
        <v>776076</v>
      </c>
      <c r="D22" s="113">
        <v>295352</v>
      </c>
      <c r="E22" s="113">
        <f t="shared" si="0"/>
        <v>-480724</v>
      </c>
      <c r="F22" s="114">
        <f t="shared" si="1"/>
        <v>-0.6194290249923976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205456234</v>
      </c>
      <c r="D25" s="119">
        <f>SUM(D14:D24)</f>
        <v>212414605</v>
      </c>
      <c r="E25" s="119">
        <f t="shared" si="0"/>
        <v>6958371</v>
      </c>
      <c r="F25" s="120">
        <f t="shared" si="1"/>
        <v>3.3867899087452365E-2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65287070</v>
      </c>
      <c r="D27" s="113">
        <v>68754787</v>
      </c>
      <c r="E27" s="113">
        <f t="shared" ref="E27:E38" si="2">D27-C27</f>
        <v>3467717</v>
      </c>
      <c r="F27" s="114">
        <f t="shared" ref="F27:F38" si="3">IF(C27=0,0,E27/C27)</f>
        <v>5.3114912340222954E-2</v>
      </c>
    </row>
    <row r="28" spans="1:6" x14ac:dyDescent="0.2">
      <c r="A28" s="115">
        <v>2</v>
      </c>
      <c r="B28" s="116" t="s">
        <v>114</v>
      </c>
      <c r="C28" s="113">
        <v>29452553</v>
      </c>
      <c r="D28" s="113">
        <v>36119625</v>
      </c>
      <c r="E28" s="113">
        <f t="shared" si="2"/>
        <v>6667072</v>
      </c>
      <c r="F28" s="114">
        <f t="shared" si="3"/>
        <v>0.22636652245392785</v>
      </c>
    </row>
    <row r="29" spans="1:6" x14ac:dyDescent="0.2">
      <c r="A29" s="115">
        <v>3</v>
      </c>
      <c r="B29" s="116" t="s">
        <v>115</v>
      </c>
      <c r="C29" s="113">
        <v>57863722</v>
      </c>
      <c r="D29" s="113">
        <v>70096265</v>
      </c>
      <c r="E29" s="113">
        <f t="shared" si="2"/>
        <v>12232543</v>
      </c>
      <c r="F29" s="114">
        <f t="shared" si="3"/>
        <v>0.21140262978589591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330872</v>
      </c>
      <c r="D31" s="113">
        <v>415176</v>
      </c>
      <c r="E31" s="113">
        <f t="shared" si="2"/>
        <v>84304</v>
      </c>
      <c r="F31" s="114">
        <f t="shared" si="3"/>
        <v>0.25479339442443</v>
      </c>
    </row>
    <row r="32" spans="1:6" x14ac:dyDescent="0.2">
      <c r="A32" s="115">
        <v>6</v>
      </c>
      <c r="B32" s="116" t="s">
        <v>118</v>
      </c>
      <c r="C32" s="113">
        <v>7092712</v>
      </c>
      <c r="D32" s="113">
        <v>8772670</v>
      </c>
      <c r="E32" s="113">
        <f t="shared" si="2"/>
        <v>1679958</v>
      </c>
      <c r="F32" s="114">
        <f t="shared" si="3"/>
        <v>0.23685693145301825</v>
      </c>
    </row>
    <row r="33" spans="1:6" x14ac:dyDescent="0.2">
      <c r="A33" s="115">
        <v>7</v>
      </c>
      <c r="B33" s="116" t="s">
        <v>119</v>
      </c>
      <c r="C33" s="113">
        <v>108055725</v>
      </c>
      <c r="D33" s="113">
        <v>107443401</v>
      </c>
      <c r="E33" s="113">
        <f t="shared" si="2"/>
        <v>-612324</v>
      </c>
      <c r="F33" s="114">
        <f t="shared" si="3"/>
        <v>-5.6667427847992323E-3</v>
      </c>
    </row>
    <row r="34" spans="1:6" x14ac:dyDescent="0.2">
      <c r="A34" s="115">
        <v>8</v>
      </c>
      <c r="B34" s="116" t="s">
        <v>120</v>
      </c>
      <c r="C34" s="113">
        <v>5884505</v>
      </c>
      <c r="D34" s="113">
        <v>5230411</v>
      </c>
      <c r="E34" s="113">
        <f t="shared" si="2"/>
        <v>-654094</v>
      </c>
      <c r="F34" s="114">
        <f t="shared" si="3"/>
        <v>-0.11115531382843587</v>
      </c>
    </row>
    <row r="35" spans="1:6" x14ac:dyDescent="0.2">
      <c r="A35" s="115">
        <v>9</v>
      </c>
      <c r="B35" s="116" t="s">
        <v>121</v>
      </c>
      <c r="C35" s="113">
        <v>3495581</v>
      </c>
      <c r="D35" s="113">
        <v>2562693</v>
      </c>
      <c r="E35" s="113">
        <f t="shared" si="2"/>
        <v>-932888</v>
      </c>
      <c r="F35" s="114">
        <f t="shared" si="3"/>
        <v>-0.26687637906259359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277462740</v>
      </c>
      <c r="D38" s="119">
        <f>SUM(D27:D37)</f>
        <v>299395028</v>
      </c>
      <c r="E38" s="119">
        <f t="shared" si="2"/>
        <v>21932288</v>
      </c>
      <c r="F38" s="120">
        <f t="shared" si="3"/>
        <v>7.9045885584493256E-2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143816032</v>
      </c>
      <c r="D41" s="119">
        <f t="shared" si="4"/>
        <v>148631691</v>
      </c>
      <c r="E41" s="123">
        <f t="shared" ref="E41:E52" si="5">D41-C41</f>
        <v>4815659</v>
      </c>
      <c r="F41" s="124">
        <f t="shared" ref="F41:F52" si="6">IF(C41=0,0,E41/C41)</f>
        <v>3.3484855151614805E-2</v>
      </c>
    </row>
    <row r="42" spans="1:6" ht="15.75" x14ac:dyDescent="0.25">
      <c r="A42" s="121">
        <v>2</v>
      </c>
      <c r="B42" s="122" t="s">
        <v>114</v>
      </c>
      <c r="C42" s="119">
        <f t="shared" si="4"/>
        <v>66732081</v>
      </c>
      <c r="D42" s="119">
        <f t="shared" si="4"/>
        <v>78420952</v>
      </c>
      <c r="E42" s="123">
        <f t="shared" si="5"/>
        <v>11688871</v>
      </c>
      <c r="F42" s="124">
        <f t="shared" si="6"/>
        <v>0.17516119420882439</v>
      </c>
    </row>
    <row r="43" spans="1:6" ht="15.75" x14ac:dyDescent="0.25">
      <c r="A43" s="121">
        <v>3</v>
      </c>
      <c r="B43" s="122" t="s">
        <v>115</v>
      </c>
      <c r="C43" s="119">
        <f t="shared" si="4"/>
        <v>90250499</v>
      </c>
      <c r="D43" s="119">
        <f t="shared" si="4"/>
        <v>106588733</v>
      </c>
      <c r="E43" s="123">
        <f t="shared" si="5"/>
        <v>16338234</v>
      </c>
      <c r="F43" s="124">
        <f t="shared" si="6"/>
        <v>0.18103206277009062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442593</v>
      </c>
      <c r="D45" s="119">
        <f t="shared" si="4"/>
        <v>562851</v>
      </c>
      <c r="E45" s="123">
        <f t="shared" si="5"/>
        <v>120258</v>
      </c>
      <c r="F45" s="124">
        <f t="shared" si="6"/>
        <v>0.27171238587144397</v>
      </c>
    </row>
    <row r="46" spans="1:6" ht="15.75" x14ac:dyDescent="0.25">
      <c r="A46" s="121">
        <v>6</v>
      </c>
      <c r="B46" s="122" t="s">
        <v>118</v>
      </c>
      <c r="C46" s="119">
        <f t="shared" si="4"/>
        <v>13896581</v>
      </c>
      <c r="D46" s="119">
        <f t="shared" si="4"/>
        <v>14875089</v>
      </c>
      <c r="E46" s="123">
        <f t="shared" si="5"/>
        <v>978508</v>
      </c>
      <c r="F46" s="124">
        <f t="shared" si="6"/>
        <v>7.0413578706877616E-2</v>
      </c>
    </row>
    <row r="47" spans="1:6" ht="15.75" x14ac:dyDescent="0.25">
      <c r="A47" s="121">
        <v>7</v>
      </c>
      <c r="B47" s="122" t="s">
        <v>119</v>
      </c>
      <c r="C47" s="119">
        <f t="shared" si="4"/>
        <v>155922159</v>
      </c>
      <c r="D47" s="119">
        <f t="shared" si="4"/>
        <v>152207652</v>
      </c>
      <c r="E47" s="123">
        <f t="shared" si="5"/>
        <v>-3714507</v>
      </c>
      <c r="F47" s="124">
        <f t="shared" si="6"/>
        <v>-2.3822829441452257E-2</v>
      </c>
    </row>
    <row r="48" spans="1:6" ht="15.75" x14ac:dyDescent="0.25">
      <c r="A48" s="121">
        <v>8</v>
      </c>
      <c r="B48" s="122" t="s">
        <v>120</v>
      </c>
      <c r="C48" s="119">
        <f t="shared" si="4"/>
        <v>7587372</v>
      </c>
      <c r="D48" s="119">
        <f t="shared" si="4"/>
        <v>7664620</v>
      </c>
      <c r="E48" s="123">
        <f t="shared" si="5"/>
        <v>77248</v>
      </c>
      <c r="F48" s="124">
        <f t="shared" si="6"/>
        <v>1.0181127273053174E-2</v>
      </c>
    </row>
    <row r="49" spans="1:6" ht="15.75" x14ac:dyDescent="0.25">
      <c r="A49" s="121">
        <v>9</v>
      </c>
      <c r="B49" s="122" t="s">
        <v>121</v>
      </c>
      <c r="C49" s="119">
        <f t="shared" si="4"/>
        <v>4271657</v>
      </c>
      <c r="D49" s="119">
        <f t="shared" si="4"/>
        <v>2858045</v>
      </c>
      <c r="E49" s="123">
        <f t="shared" si="5"/>
        <v>-1413612</v>
      </c>
      <c r="F49" s="124">
        <f t="shared" si="6"/>
        <v>-0.33092825570966955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482918974</v>
      </c>
      <c r="D52" s="128">
        <f>SUM(D41:D51)</f>
        <v>511809633</v>
      </c>
      <c r="E52" s="127">
        <f t="shared" si="5"/>
        <v>28890659</v>
      </c>
      <c r="F52" s="129">
        <f t="shared" si="6"/>
        <v>5.9825064980776672E-2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25040517</v>
      </c>
      <c r="D57" s="113">
        <v>24983287</v>
      </c>
      <c r="E57" s="113">
        <f t="shared" ref="E57:E68" si="7">D57-C57</f>
        <v>-57230</v>
      </c>
      <c r="F57" s="114">
        <f t="shared" ref="F57:F68" si="8">IF(C57=0,0,E57/C57)</f>
        <v>-2.2854959424360127E-3</v>
      </c>
    </row>
    <row r="58" spans="1:6" x14ac:dyDescent="0.2">
      <c r="A58" s="115">
        <v>2</v>
      </c>
      <c r="B58" s="116" t="s">
        <v>114</v>
      </c>
      <c r="C58" s="113">
        <v>9773137</v>
      </c>
      <c r="D58" s="113">
        <v>9846489</v>
      </c>
      <c r="E58" s="113">
        <f t="shared" si="7"/>
        <v>73352</v>
      </c>
      <c r="F58" s="114">
        <f t="shared" si="8"/>
        <v>7.505471375260574E-3</v>
      </c>
    </row>
    <row r="59" spans="1:6" x14ac:dyDescent="0.2">
      <c r="A59" s="115">
        <v>3</v>
      </c>
      <c r="B59" s="116" t="s">
        <v>115</v>
      </c>
      <c r="C59" s="113">
        <v>7507994</v>
      </c>
      <c r="D59" s="113">
        <v>7773339</v>
      </c>
      <c r="E59" s="113">
        <f t="shared" si="7"/>
        <v>265345</v>
      </c>
      <c r="F59" s="114">
        <f t="shared" si="8"/>
        <v>3.5341663831910362E-2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38332</v>
      </c>
      <c r="D61" s="113">
        <v>0</v>
      </c>
      <c r="E61" s="113">
        <f t="shared" si="7"/>
        <v>-38332</v>
      </c>
      <c r="F61" s="114">
        <f t="shared" si="8"/>
        <v>-1</v>
      </c>
    </row>
    <row r="62" spans="1:6" x14ac:dyDescent="0.2">
      <c r="A62" s="115">
        <v>6</v>
      </c>
      <c r="B62" s="116" t="s">
        <v>118</v>
      </c>
      <c r="C62" s="113">
        <v>2810575</v>
      </c>
      <c r="D62" s="113">
        <v>3022111</v>
      </c>
      <c r="E62" s="113">
        <f t="shared" si="7"/>
        <v>211536</v>
      </c>
      <c r="F62" s="114">
        <f t="shared" si="8"/>
        <v>7.526431424174769E-2</v>
      </c>
    </row>
    <row r="63" spans="1:6" x14ac:dyDescent="0.2">
      <c r="A63" s="115">
        <v>7</v>
      </c>
      <c r="B63" s="116" t="s">
        <v>119</v>
      </c>
      <c r="C63" s="113">
        <v>18599912</v>
      </c>
      <c r="D63" s="113">
        <v>17377574</v>
      </c>
      <c r="E63" s="113">
        <f t="shared" si="7"/>
        <v>-1222338</v>
      </c>
      <c r="F63" s="114">
        <f t="shared" si="8"/>
        <v>-6.5717407695262214E-2</v>
      </c>
    </row>
    <row r="64" spans="1:6" x14ac:dyDescent="0.2">
      <c r="A64" s="115">
        <v>8</v>
      </c>
      <c r="B64" s="116" t="s">
        <v>120</v>
      </c>
      <c r="C64" s="113">
        <v>1051106</v>
      </c>
      <c r="D64" s="113">
        <v>1646877</v>
      </c>
      <c r="E64" s="113">
        <f t="shared" si="7"/>
        <v>595771</v>
      </c>
      <c r="F64" s="114">
        <f t="shared" si="8"/>
        <v>0.56680391891969029</v>
      </c>
    </row>
    <row r="65" spans="1:6" x14ac:dyDescent="0.2">
      <c r="A65" s="115">
        <v>9</v>
      </c>
      <c r="B65" s="116" t="s">
        <v>121</v>
      </c>
      <c r="C65" s="113">
        <v>432874</v>
      </c>
      <c r="D65" s="113">
        <v>99041</v>
      </c>
      <c r="E65" s="113">
        <f t="shared" si="7"/>
        <v>-333833</v>
      </c>
      <c r="F65" s="114">
        <f t="shared" si="8"/>
        <v>-0.77120131955257187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65254447</v>
      </c>
      <c r="D68" s="119">
        <f>SUM(D57:D67)</f>
        <v>64748718</v>
      </c>
      <c r="E68" s="119">
        <f t="shared" si="7"/>
        <v>-505729</v>
      </c>
      <c r="F68" s="120">
        <f t="shared" si="8"/>
        <v>-7.7501078202379062E-3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13128947</v>
      </c>
      <c r="D70" s="113">
        <v>13272385</v>
      </c>
      <c r="E70" s="113">
        <f t="shared" ref="E70:E81" si="9">D70-C70</f>
        <v>143438</v>
      </c>
      <c r="F70" s="114">
        <f t="shared" ref="F70:F81" si="10">IF(C70=0,0,E70/C70)</f>
        <v>1.0925324018750323E-2</v>
      </c>
    </row>
    <row r="71" spans="1:6" x14ac:dyDescent="0.2">
      <c r="A71" s="115">
        <v>2</v>
      </c>
      <c r="B71" s="116" t="s">
        <v>114</v>
      </c>
      <c r="C71" s="113">
        <v>5674700</v>
      </c>
      <c r="D71" s="113">
        <v>6970910</v>
      </c>
      <c r="E71" s="113">
        <f t="shared" si="9"/>
        <v>1296210</v>
      </c>
      <c r="F71" s="114">
        <f t="shared" si="10"/>
        <v>0.22841912347789312</v>
      </c>
    </row>
    <row r="72" spans="1:6" x14ac:dyDescent="0.2">
      <c r="A72" s="115">
        <v>3</v>
      </c>
      <c r="B72" s="116" t="s">
        <v>115</v>
      </c>
      <c r="C72" s="113">
        <v>10695352</v>
      </c>
      <c r="D72" s="113">
        <v>12593462</v>
      </c>
      <c r="E72" s="113">
        <f t="shared" si="9"/>
        <v>1898110</v>
      </c>
      <c r="F72" s="114">
        <f t="shared" si="10"/>
        <v>0.1774705498238861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72683</v>
      </c>
      <c r="D74" s="113">
        <v>76825</v>
      </c>
      <c r="E74" s="113">
        <f t="shared" si="9"/>
        <v>4142</v>
      </c>
      <c r="F74" s="114">
        <f t="shared" si="10"/>
        <v>5.6987190952492328E-2</v>
      </c>
    </row>
    <row r="75" spans="1:6" x14ac:dyDescent="0.2">
      <c r="A75" s="115">
        <v>6</v>
      </c>
      <c r="B75" s="116" t="s">
        <v>118</v>
      </c>
      <c r="C75" s="113">
        <v>3357822</v>
      </c>
      <c r="D75" s="113">
        <v>4699180</v>
      </c>
      <c r="E75" s="113">
        <f t="shared" si="9"/>
        <v>1341358</v>
      </c>
      <c r="F75" s="114">
        <f t="shared" si="10"/>
        <v>0.39947263434452451</v>
      </c>
    </row>
    <row r="76" spans="1:6" x14ac:dyDescent="0.2">
      <c r="A76" s="115">
        <v>7</v>
      </c>
      <c r="B76" s="116" t="s">
        <v>119</v>
      </c>
      <c r="C76" s="113">
        <v>38119474</v>
      </c>
      <c r="D76" s="113">
        <v>39872215</v>
      </c>
      <c r="E76" s="113">
        <f t="shared" si="9"/>
        <v>1752741</v>
      </c>
      <c r="F76" s="114">
        <f t="shared" si="10"/>
        <v>4.598019899225262E-2</v>
      </c>
    </row>
    <row r="77" spans="1:6" x14ac:dyDescent="0.2">
      <c r="A77" s="115">
        <v>8</v>
      </c>
      <c r="B77" s="116" t="s">
        <v>120</v>
      </c>
      <c r="C77" s="113">
        <v>2362243</v>
      </c>
      <c r="D77" s="113">
        <v>1555500</v>
      </c>
      <c r="E77" s="113">
        <f t="shared" si="9"/>
        <v>-806743</v>
      </c>
      <c r="F77" s="114">
        <f t="shared" si="10"/>
        <v>-0.34151566964109958</v>
      </c>
    </row>
    <row r="78" spans="1:6" x14ac:dyDescent="0.2">
      <c r="A78" s="115">
        <v>9</v>
      </c>
      <c r="B78" s="116" t="s">
        <v>121</v>
      </c>
      <c r="C78" s="113">
        <v>384446</v>
      </c>
      <c r="D78" s="113">
        <v>241000</v>
      </c>
      <c r="E78" s="113">
        <f t="shared" si="9"/>
        <v>-143446</v>
      </c>
      <c r="F78" s="114">
        <f t="shared" si="10"/>
        <v>-0.37312392377603099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73795667</v>
      </c>
      <c r="D81" s="119">
        <f>SUM(D70:D80)</f>
        <v>79281477</v>
      </c>
      <c r="E81" s="119">
        <f t="shared" si="9"/>
        <v>5485810</v>
      </c>
      <c r="F81" s="120">
        <f t="shared" si="10"/>
        <v>7.433783341236011E-2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38169464</v>
      </c>
      <c r="D84" s="119">
        <f t="shared" si="11"/>
        <v>38255672</v>
      </c>
      <c r="E84" s="119">
        <f t="shared" ref="E84:E95" si="12">D84-C84</f>
        <v>86208</v>
      </c>
      <c r="F84" s="120">
        <f t="shared" ref="F84:F95" si="13">IF(C84=0,0,E84/C84)</f>
        <v>2.2585593551955564E-3</v>
      </c>
    </row>
    <row r="85" spans="1:6" ht="15.75" x14ac:dyDescent="0.25">
      <c r="A85" s="130">
        <v>2</v>
      </c>
      <c r="B85" s="122" t="s">
        <v>114</v>
      </c>
      <c r="C85" s="119">
        <f t="shared" si="11"/>
        <v>15447837</v>
      </c>
      <c r="D85" s="119">
        <f t="shared" si="11"/>
        <v>16817399</v>
      </c>
      <c r="E85" s="119">
        <f t="shared" si="12"/>
        <v>1369562</v>
      </c>
      <c r="F85" s="120">
        <f t="shared" si="13"/>
        <v>8.8657201652244264E-2</v>
      </c>
    </row>
    <row r="86" spans="1:6" ht="15.75" x14ac:dyDescent="0.25">
      <c r="A86" s="130">
        <v>3</v>
      </c>
      <c r="B86" s="122" t="s">
        <v>115</v>
      </c>
      <c r="C86" s="119">
        <f t="shared" si="11"/>
        <v>18203346</v>
      </c>
      <c r="D86" s="119">
        <f t="shared" si="11"/>
        <v>20366801</v>
      </c>
      <c r="E86" s="119">
        <f t="shared" si="12"/>
        <v>2163455</v>
      </c>
      <c r="F86" s="120">
        <f t="shared" si="13"/>
        <v>0.11884930385875213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111015</v>
      </c>
      <c r="D88" s="119">
        <f t="shared" si="11"/>
        <v>76825</v>
      </c>
      <c r="E88" s="119">
        <f t="shared" si="12"/>
        <v>-34190</v>
      </c>
      <c r="F88" s="120">
        <f t="shared" si="13"/>
        <v>-0.3079763995856416</v>
      </c>
    </row>
    <row r="89" spans="1:6" ht="15.75" x14ac:dyDescent="0.25">
      <c r="A89" s="130">
        <v>6</v>
      </c>
      <c r="B89" s="122" t="s">
        <v>118</v>
      </c>
      <c r="C89" s="119">
        <f t="shared" si="11"/>
        <v>6168397</v>
      </c>
      <c r="D89" s="119">
        <f t="shared" si="11"/>
        <v>7721291</v>
      </c>
      <c r="E89" s="119">
        <f t="shared" si="12"/>
        <v>1552894</v>
      </c>
      <c r="F89" s="120">
        <f t="shared" si="13"/>
        <v>0.25175000895694621</v>
      </c>
    </row>
    <row r="90" spans="1:6" ht="15.75" x14ac:dyDescent="0.25">
      <c r="A90" s="130">
        <v>7</v>
      </c>
      <c r="B90" s="122" t="s">
        <v>119</v>
      </c>
      <c r="C90" s="119">
        <f t="shared" si="11"/>
        <v>56719386</v>
      </c>
      <c r="D90" s="119">
        <f t="shared" si="11"/>
        <v>57249789</v>
      </c>
      <c r="E90" s="119">
        <f t="shared" si="12"/>
        <v>530403</v>
      </c>
      <c r="F90" s="120">
        <f t="shared" si="13"/>
        <v>9.3513529924318991E-3</v>
      </c>
    </row>
    <row r="91" spans="1:6" ht="15.75" x14ac:dyDescent="0.25">
      <c r="A91" s="130">
        <v>8</v>
      </c>
      <c r="B91" s="122" t="s">
        <v>120</v>
      </c>
      <c r="C91" s="119">
        <f t="shared" si="11"/>
        <v>3413349</v>
      </c>
      <c r="D91" s="119">
        <f t="shared" si="11"/>
        <v>3202377</v>
      </c>
      <c r="E91" s="119">
        <f t="shared" si="12"/>
        <v>-210972</v>
      </c>
      <c r="F91" s="120">
        <f t="shared" si="13"/>
        <v>-6.1807919436307278E-2</v>
      </c>
    </row>
    <row r="92" spans="1:6" ht="15.75" x14ac:dyDescent="0.25">
      <c r="A92" s="130">
        <v>9</v>
      </c>
      <c r="B92" s="122" t="s">
        <v>121</v>
      </c>
      <c r="C92" s="119">
        <f t="shared" si="11"/>
        <v>817320</v>
      </c>
      <c r="D92" s="119">
        <f t="shared" si="11"/>
        <v>340041</v>
      </c>
      <c r="E92" s="119">
        <f t="shared" si="12"/>
        <v>-477279</v>
      </c>
      <c r="F92" s="120">
        <f t="shared" si="13"/>
        <v>-0.58395610042578183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139050114</v>
      </c>
      <c r="D95" s="128">
        <f>SUM(D84:D94)</f>
        <v>144030195</v>
      </c>
      <c r="E95" s="128">
        <f t="shared" si="12"/>
        <v>4980081</v>
      </c>
      <c r="F95" s="129">
        <f t="shared" si="13"/>
        <v>3.5815008393304877E-2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2317</v>
      </c>
      <c r="D100" s="133">
        <v>2260</v>
      </c>
      <c r="E100" s="133">
        <f t="shared" ref="E100:E111" si="14">D100-C100</f>
        <v>-57</v>
      </c>
      <c r="F100" s="114">
        <f t="shared" ref="F100:F111" si="15">IF(C100=0,0,E100/C100)</f>
        <v>-2.4600776866637895E-2</v>
      </c>
    </row>
    <row r="101" spans="1:6" x14ac:dyDescent="0.2">
      <c r="A101" s="115">
        <v>2</v>
      </c>
      <c r="B101" s="116" t="s">
        <v>114</v>
      </c>
      <c r="C101" s="133">
        <v>966</v>
      </c>
      <c r="D101" s="133">
        <v>1127</v>
      </c>
      <c r="E101" s="133">
        <f t="shared" si="14"/>
        <v>161</v>
      </c>
      <c r="F101" s="114">
        <f t="shared" si="15"/>
        <v>0.16666666666666666</v>
      </c>
    </row>
    <row r="102" spans="1:6" x14ac:dyDescent="0.2">
      <c r="A102" s="115">
        <v>3</v>
      </c>
      <c r="B102" s="116" t="s">
        <v>115</v>
      </c>
      <c r="C102" s="133">
        <v>1416</v>
      </c>
      <c r="D102" s="133">
        <v>1523</v>
      </c>
      <c r="E102" s="133">
        <f t="shared" si="14"/>
        <v>107</v>
      </c>
      <c r="F102" s="114">
        <f t="shared" si="15"/>
        <v>7.5564971751412427E-2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</v>
      </c>
      <c r="D104" s="133">
        <v>10</v>
      </c>
      <c r="E104" s="133">
        <f t="shared" si="14"/>
        <v>6</v>
      </c>
      <c r="F104" s="114">
        <f t="shared" si="15"/>
        <v>1.5</v>
      </c>
    </row>
    <row r="105" spans="1:6" x14ac:dyDescent="0.2">
      <c r="A105" s="115">
        <v>6</v>
      </c>
      <c r="B105" s="116" t="s">
        <v>118</v>
      </c>
      <c r="C105" s="133">
        <v>172</v>
      </c>
      <c r="D105" s="133">
        <v>152</v>
      </c>
      <c r="E105" s="133">
        <f t="shared" si="14"/>
        <v>-20</v>
      </c>
      <c r="F105" s="114">
        <f t="shared" si="15"/>
        <v>-0.11627906976744186</v>
      </c>
    </row>
    <row r="106" spans="1:6" x14ac:dyDescent="0.2">
      <c r="A106" s="115">
        <v>7</v>
      </c>
      <c r="B106" s="116" t="s">
        <v>119</v>
      </c>
      <c r="C106" s="133">
        <v>1952</v>
      </c>
      <c r="D106" s="133">
        <v>1835</v>
      </c>
      <c r="E106" s="133">
        <f t="shared" si="14"/>
        <v>-117</v>
      </c>
      <c r="F106" s="114">
        <f t="shared" si="15"/>
        <v>-5.9938524590163932E-2</v>
      </c>
    </row>
    <row r="107" spans="1:6" x14ac:dyDescent="0.2">
      <c r="A107" s="115">
        <v>8</v>
      </c>
      <c r="B107" s="116" t="s">
        <v>120</v>
      </c>
      <c r="C107" s="133">
        <v>27</v>
      </c>
      <c r="D107" s="133">
        <v>32</v>
      </c>
      <c r="E107" s="133">
        <f t="shared" si="14"/>
        <v>5</v>
      </c>
      <c r="F107" s="114">
        <f t="shared" si="15"/>
        <v>0.18518518518518517</v>
      </c>
    </row>
    <row r="108" spans="1:6" x14ac:dyDescent="0.2">
      <c r="A108" s="115">
        <v>9</v>
      </c>
      <c r="B108" s="116" t="s">
        <v>121</v>
      </c>
      <c r="C108" s="133">
        <v>81</v>
      </c>
      <c r="D108" s="133">
        <v>11</v>
      </c>
      <c r="E108" s="133">
        <f t="shared" si="14"/>
        <v>-70</v>
      </c>
      <c r="F108" s="114">
        <f t="shared" si="15"/>
        <v>-0.86419753086419748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6935</v>
      </c>
      <c r="D111" s="134">
        <f>SUM(D100:D110)</f>
        <v>6950</v>
      </c>
      <c r="E111" s="134">
        <f t="shared" si="14"/>
        <v>15</v>
      </c>
      <c r="F111" s="120">
        <f t="shared" si="15"/>
        <v>2.1629416005767843E-3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11693</v>
      </c>
      <c r="D113" s="133">
        <v>11163</v>
      </c>
      <c r="E113" s="133">
        <f t="shared" ref="E113:E124" si="16">D113-C113</f>
        <v>-530</v>
      </c>
      <c r="F113" s="114">
        <f t="shared" ref="F113:F124" si="17">IF(C113=0,0,E113/C113)</f>
        <v>-4.5326263576498757E-2</v>
      </c>
    </row>
    <row r="114" spans="1:6" x14ac:dyDescent="0.2">
      <c r="A114" s="115">
        <v>2</v>
      </c>
      <c r="B114" s="116" t="s">
        <v>114</v>
      </c>
      <c r="C114" s="133">
        <v>4709</v>
      </c>
      <c r="D114" s="133">
        <v>5425</v>
      </c>
      <c r="E114" s="133">
        <f t="shared" si="16"/>
        <v>716</v>
      </c>
      <c r="F114" s="114">
        <f t="shared" si="17"/>
        <v>0.15204926736037375</v>
      </c>
    </row>
    <row r="115" spans="1:6" x14ac:dyDescent="0.2">
      <c r="A115" s="115">
        <v>3</v>
      </c>
      <c r="B115" s="116" t="s">
        <v>115</v>
      </c>
      <c r="C115" s="133">
        <v>5988</v>
      </c>
      <c r="D115" s="133">
        <v>6648</v>
      </c>
      <c r="E115" s="133">
        <f t="shared" si="16"/>
        <v>660</v>
      </c>
      <c r="F115" s="114">
        <f t="shared" si="17"/>
        <v>0.11022044088176353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9</v>
      </c>
      <c r="D117" s="133">
        <v>26</v>
      </c>
      <c r="E117" s="133">
        <f t="shared" si="16"/>
        <v>17</v>
      </c>
      <c r="F117" s="114">
        <f t="shared" si="17"/>
        <v>1.8888888888888888</v>
      </c>
    </row>
    <row r="118" spans="1:6" x14ac:dyDescent="0.2">
      <c r="A118" s="115">
        <v>6</v>
      </c>
      <c r="B118" s="116" t="s">
        <v>118</v>
      </c>
      <c r="C118" s="133">
        <v>638</v>
      </c>
      <c r="D118" s="133">
        <v>570</v>
      </c>
      <c r="E118" s="133">
        <f t="shared" si="16"/>
        <v>-68</v>
      </c>
      <c r="F118" s="114">
        <f t="shared" si="17"/>
        <v>-0.10658307210031348</v>
      </c>
    </row>
    <row r="119" spans="1:6" x14ac:dyDescent="0.2">
      <c r="A119" s="115">
        <v>7</v>
      </c>
      <c r="B119" s="116" t="s">
        <v>119</v>
      </c>
      <c r="C119" s="133">
        <v>7386</v>
      </c>
      <c r="D119" s="133">
        <v>6634</v>
      </c>
      <c r="E119" s="133">
        <f t="shared" si="16"/>
        <v>-752</v>
      </c>
      <c r="F119" s="114">
        <f t="shared" si="17"/>
        <v>-0.10181424316274032</v>
      </c>
    </row>
    <row r="120" spans="1:6" x14ac:dyDescent="0.2">
      <c r="A120" s="115">
        <v>8</v>
      </c>
      <c r="B120" s="116" t="s">
        <v>120</v>
      </c>
      <c r="C120" s="133">
        <v>81</v>
      </c>
      <c r="D120" s="133">
        <v>103</v>
      </c>
      <c r="E120" s="133">
        <f t="shared" si="16"/>
        <v>22</v>
      </c>
      <c r="F120" s="114">
        <f t="shared" si="17"/>
        <v>0.27160493827160492</v>
      </c>
    </row>
    <row r="121" spans="1:6" x14ac:dyDescent="0.2">
      <c r="A121" s="115">
        <v>9</v>
      </c>
      <c r="B121" s="116" t="s">
        <v>121</v>
      </c>
      <c r="C121" s="133">
        <v>302</v>
      </c>
      <c r="D121" s="133">
        <v>25</v>
      </c>
      <c r="E121" s="133">
        <f t="shared" si="16"/>
        <v>-277</v>
      </c>
      <c r="F121" s="114">
        <f t="shared" si="17"/>
        <v>-0.91721854304635764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30806</v>
      </c>
      <c r="D124" s="134">
        <f>SUM(D113:D123)</f>
        <v>30594</v>
      </c>
      <c r="E124" s="134">
        <f t="shared" si="16"/>
        <v>-212</v>
      </c>
      <c r="F124" s="120">
        <f t="shared" si="17"/>
        <v>-6.8817762773485686E-3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32429</v>
      </c>
      <c r="D126" s="133">
        <v>33481</v>
      </c>
      <c r="E126" s="133">
        <f t="shared" ref="E126:E137" si="18">D126-C126</f>
        <v>1052</v>
      </c>
      <c r="F126" s="114">
        <f t="shared" ref="F126:F137" si="19">IF(C126=0,0,E126/C126)</f>
        <v>3.2440099910573866E-2</v>
      </c>
    </row>
    <row r="127" spans="1:6" x14ac:dyDescent="0.2">
      <c r="A127" s="115">
        <v>2</v>
      </c>
      <c r="B127" s="116" t="s">
        <v>114</v>
      </c>
      <c r="C127" s="133">
        <v>13848</v>
      </c>
      <c r="D127" s="133">
        <v>15059</v>
      </c>
      <c r="E127" s="133">
        <f t="shared" si="18"/>
        <v>1211</v>
      </c>
      <c r="F127" s="114">
        <f t="shared" si="19"/>
        <v>8.7449451184286542E-2</v>
      </c>
    </row>
    <row r="128" spans="1:6" x14ac:dyDescent="0.2">
      <c r="A128" s="115">
        <v>3</v>
      </c>
      <c r="B128" s="116" t="s">
        <v>115</v>
      </c>
      <c r="C128" s="133">
        <v>34149</v>
      </c>
      <c r="D128" s="133">
        <v>37071</v>
      </c>
      <c r="E128" s="133">
        <f t="shared" si="18"/>
        <v>2922</v>
      </c>
      <c r="F128" s="114">
        <f t="shared" si="19"/>
        <v>8.5566195203373455E-2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154</v>
      </c>
      <c r="D130" s="133">
        <v>157</v>
      </c>
      <c r="E130" s="133">
        <f t="shared" si="18"/>
        <v>3</v>
      </c>
      <c r="F130" s="114">
        <f t="shared" si="19"/>
        <v>1.948051948051948E-2</v>
      </c>
    </row>
    <row r="131" spans="1:6" x14ac:dyDescent="0.2">
      <c r="A131" s="115">
        <v>6</v>
      </c>
      <c r="B131" s="116" t="s">
        <v>118</v>
      </c>
      <c r="C131" s="133">
        <v>3562</v>
      </c>
      <c r="D131" s="133">
        <v>3170</v>
      </c>
      <c r="E131" s="133">
        <f t="shared" si="18"/>
        <v>-392</v>
      </c>
      <c r="F131" s="114">
        <f t="shared" si="19"/>
        <v>-0.11005053340819765</v>
      </c>
    </row>
    <row r="132" spans="1:6" x14ac:dyDescent="0.2">
      <c r="A132" s="115">
        <v>7</v>
      </c>
      <c r="B132" s="116" t="s">
        <v>119</v>
      </c>
      <c r="C132" s="133">
        <v>47199</v>
      </c>
      <c r="D132" s="133">
        <v>43924</v>
      </c>
      <c r="E132" s="133">
        <f t="shared" si="18"/>
        <v>-3275</v>
      </c>
      <c r="F132" s="114">
        <f t="shared" si="19"/>
        <v>-6.9387063285239095E-2</v>
      </c>
    </row>
    <row r="133" spans="1:6" x14ac:dyDescent="0.2">
      <c r="A133" s="115">
        <v>8</v>
      </c>
      <c r="B133" s="116" t="s">
        <v>120</v>
      </c>
      <c r="C133" s="133">
        <v>2907</v>
      </c>
      <c r="D133" s="133">
        <v>3221</v>
      </c>
      <c r="E133" s="133">
        <f t="shared" si="18"/>
        <v>314</v>
      </c>
      <c r="F133" s="114">
        <f t="shared" si="19"/>
        <v>0.10801513587891297</v>
      </c>
    </row>
    <row r="134" spans="1:6" x14ac:dyDescent="0.2">
      <c r="A134" s="115">
        <v>9</v>
      </c>
      <c r="B134" s="116" t="s">
        <v>121</v>
      </c>
      <c r="C134" s="133">
        <v>3797</v>
      </c>
      <c r="D134" s="133">
        <v>2163</v>
      </c>
      <c r="E134" s="133">
        <f t="shared" si="18"/>
        <v>-1634</v>
      </c>
      <c r="F134" s="114">
        <f t="shared" si="19"/>
        <v>-0.4303397419015012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138045</v>
      </c>
      <c r="D137" s="134">
        <f>SUM(D126:D136)</f>
        <v>138246</v>
      </c>
      <c r="E137" s="134">
        <f t="shared" si="18"/>
        <v>201</v>
      </c>
      <c r="F137" s="120">
        <f t="shared" si="19"/>
        <v>1.4560469412148213E-3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9619389</v>
      </c>
      <c r="D142" s="113">
        <v>10586267</v>
      </c>
      <c r="E142" s="113">
        <f t="shared" ref="E142:E153" si="20">D142-C142</f>
        <v>966878</v>
      </c>
      <c r="F142" s="114">
        <f t="shared" ref="F142:F153" si="21">IF(C142=0,0,E142/C142)</f>
        <v>0.10051345256959668</v>
      </c>
    </row>
    <row r="143" spans="1:6" x14ac:dyDescent="0.2">
      <c r="A143" s="115">
        <v>2</v>
      </c>
      <c r="B143" s="116" t="s">
        <v>114</v>
      </c>
      <c r="C143" s="113">
        <v>4333548</v>
      </c>
      <c r="D143" s="113">
        <v>5298678</v>
      </c>
      <c r="E143" s="113">
        <f t="shared" si="20"/>
        <v>965130</v>
      </c>
      <c r="F143" s="114">
        <f t="shared" si="21"/>
        <v>0.22271127491838097</v>
      </c>
    </row>
    <row r="144" spans="1:6" x14ac:dyDescent="0.2">
      <c r="A144" s="115">
        <v>3</v>
      </c>
      <c r="B144" s="116" t="s">
        <v>115</v>
      </c>
      <c r="C144" s="113">
        <v>25957085</v>
      </c>
      <c r="D144" s="113">
        <v>28595937</v>
      </c>
      <c r="E144" s="113">
        <f t="shared" si="20"/>
        <v>2638852</v>
      </c>
      <c r="F144" s="114">
        <f t="shared" si="21"/>
        <v>0.10166210882308241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164175</v>
      </c>
      <c r="D146" s="113">
        <v>129603</v>
      </c>
      <c r="E146" s="113">
        <f t="shared" si="20"/>
        <v>-34572</v>
      </c>
      <c r="F146" s="114">
        <f t="shared" si="21"/>
        <v>-0.21058017359524897</v>
      </c>
    </row>
    <row r="147" spans="1:6" x14ac:dyDescent="0.2">
      <c r="A147" s="115">
        <v>6</v>
      </c>
      <c r="B147" s="116" t="s">
        <v>118</v>
      </c>
      <c r="C147" s="113">
        <v>1363149</v>
      </c>
      <c r="D147" s="113">
        <v>1312524</v>
      </c>
      <c r="E147" s="113">
        <f t="shared" si="20"/>
        <v>-50625</v>
      </c>
      <c r="F147" s="114">
        <f t="shared" si="21"/>
        <v>-3.7138273218848418E-2</v>
      </c>
    </row>
    <row r="148" spans="1:6" x14ac:dyDescent="0.2">
      <c r="A148" s="115">
        <v>7</v>
      </c>
      <c r="B148" s="116" t="s">
        <v>119</v>
      </c>
      <c r="C148" s="113">
        <v>18726648</v>
      </c>
      <c r="D148" s="113">
        <v>18350311</v>
      </c>
      <c r="E148" s="113">
        <f t="shared" si="20"/>
        <v>-376337</v>
      </c>
      <c r="F148" s="114">
        <f t="shared" si="21"/>
        <v>-2.0096335446685386E-2</v>
      </c>
    </row>
    <row r="149" spans="1:6" x14ac:dyDescent="0.2">
      <c r="A149" s="115">
        <v>8</v>
      </c>
      <c r="B149" s="116" t="s">
        <v>120</v>
      </c>
      <c r="C149" s="113">
        <v>960497</v>
      </c>
      <c r="D149" s="113">
        <v>967991</v>
      </c>
      <c r="E149" s="113">
        <f t="shared" si="20"/>
        <v>7494</v>
      </c>
      <c r="F149" s="114">
        <f t="shared" si="21"/>
        <v>7.8022107304864044E-3</v>
      </c>
    </row>
    <row r="150" spans="1:6" x14ac:dyDescent="0.2">
      <c r="A150" s="115">
        <v>9</v>
      </c>
      <c r="B150" s="116" t="s">
        <v>121</v>
      </c>
      <c r="C150" s="113">
        <v>2973671</v>
      </c>
      <c r="D150" s="113">
        <v>2113517</v>
      </c>
      <c r="E150" s="113">
        <f t="shared" si="20"/>
        <v>-860154</v>
      </c>
      <c r="F150" s="114">
        <f t="shared" si="21"/>
        <v>-0.28925661244972967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64098162</v>
      </c>
      <c r="D153" s="119">
        <f>SUM(D142:D152)</f>
        <v>67354828</v>
      </c>
      <c r="E153" s="119">
        <f t="shared" si="20"/>
        <v>3256666</v>
      </c>
      <c r="F153" s="120">
        <f t="shared" si="21"/>
        <v>5.0807478691822706E-2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1998374</v>
      </c>
      <c r="D155" s="113">
        <v>2105383</v>
      </c>
      <c r="E155" s="113">
        <f t="shared" ref="E155:E166" si="22">D155-C155</f>
        <v>107009</v>
      </c>
      <c r="F155" s="114">
        <f t="shared" ref="F155:F166" si="23">IF(C155=0,0,E155/C155)</f>
        <v>5.3548034552090847E-2</v>
      </c>
    </row>
    <row r="156" spans="1:6" x14ac:dyDescent="0.2">
      <c r="A156" s="115">
        <v>2</v>
      </c>
      <c r="B156" s="116" t="s">
        <v>114</v>
      </c>
      <c r="C156" s="113">
        <v>900813</v>
      </c>
      <c r="D156" s="113">
        <v>1055325</v>
      </c>
      <c r="E156" s="113">
        <f t="shared" si="22"/>
        <v>154512</v>
      </c>
      <c r="F156" s="114">
        <f t="shared" si="23"/>
        <v>0.17152505569968463</v>
      </c>
    </row>
    <row r="157" spans="1:6" x14ac:dyDescent="0.2">
      <c r="A157" s="115">
        <v>3</v>
      </c>
      <c r="B157" s="116" t="s">
        <v>115</v>
      </c>
      <c r="C157" s="113">
        <v>4895624</v>
      </c>
      <c r="D157" s="113">
        <v>5224826</v>
      </c>
      <c r="E157" s="113">
        <f t="shared" si="22"/>
        <v>329202</v>
      </c>
      <c r="F157" s="114">
        <f t="shared" si="23"/>
        <v>6.7244134761983348E-2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43794</v>
      </c>
      <c r="D159" s="113">
        <v>30293</v>
      </c>
      <c r="E159" s="113">
        <f t="shared" si="22"/>
        <v>-13501</v>
      </c>
      <c r="F159" s="114">
        <f t="shared" si="23"/>
        <v>-0.30828423985020781</v>
      </c>
    </row>
    <row r="160" spans="1:6" x14ac:dyDescent="0.2">
      <c r="A160" s="115">
        <v>6</v>
      </c>
      <c r="B160" s="116" t="s">
        <v>118</v>
      </c>
      <c r="C160" s="113">
        <v>588451</v>
      </c>
      <c r="D160" s="113">
        <v>526692</v>
      </c>
      <c r="E160" s="113">
        <f t="shared" si="22"/>
        <v>-61759</v>
      </c>
      <c r="F160" s="114">
        <f t="shared" si="23"/>
        <v>-0.10495181416974396</v>
      </c>
    </row>
    <row r="161" spans="1:6" x14ac:dyDescent="0.2">
      <c r="A161" s="115">
        <v>7</v>
      </c>
      <c r="B161" s="116" t="s">
        <v>119</v>
      </c>
      <c r="C161" s="113">
        <v>6948855</v>
      </c>
      <c r="D161" s="113">
        <v>6960242</v>
      </c>
      <c r="E161" s="113">
        <f t="shared" si="22"/>
        <v>11387</v>
      </c>
      <c r="F161" s="114">
        <f t="shared" si="23"/>
        <v>1.6386872369620607E-3</v>
      </c>
    </row>
    <row r="162" spans="1:6" x14ac:dyDescent="0.2">
      <c r="A162" s="115">
        <v>8</v>
      </c>
      <c r="B162" s="116" t="s">
        <v>120</v>
      </c>
      <c r="C162" s="113">
        <v>648962</v>
      </c>
      <c r="D162" s="113">
        <v>596076</v>
      </c>
      <c r="E162" s="113">
        <f t="shared" si="22"/>
        <v>-52886</v>
      </c>
      <c r="F162" s="114">
        <f t="shared" si="23"/>
        <v>-8.149321531923287E-2</v>
      </c>
    </row>
    <row r="163" spans="1:6" x14ac:dyDescent="0.2">
      <c r="A163" s="115">
        <v>9</v>
      </c>
      <c r="B163" s="116" t="s">
        <v>121</v>
      </c>
      <c r="C163" s="113">
        <v>99739</v>
      </c>
      <c r="D163" s="113">
        <v>76071</v>
      </c>
      <c r="E163" s="113">
        <f t="shared" si="22"/>
        <v>-23668</v>
      </c>
      <c r="F163" s="114">
        <f t="shared" si="23"/>
        <v>-0.23729935130691104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16124612</v>
      </c>
      <c r="D166" s="119">
        <f>SUM(D155:D165)</f>
        <v>16574908</v>
      </c>
      <c r="E166" s="119">
        <f t="shared" si="22"/>
        <v>450296</v>
      </c>
      <c r="F166" s="120">
        <f t="shared" si="23"/>
        <v>2.7926005289305566E-2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4478</v>
      </c>
      <c r="D168" s="133">
        <v>4545</v>
      </c>
      <c r="E168" s="133">
        <f t="shared" ref="E168:E179" si="24">D168-C168</f>
        <v>67</v>
      </c>
      <c r="F168" s="114">
        <f t="shared" ref="F168:F179" si="25">IF(C168=0,0,E168/C168)</f>
        <v>1.4962036623492631E-2</v>
      </c>
    </row>
    <row r="169" spans="1:6" x14ac:dyDescent="0.2">
      <c r="A169" s="115">
        <v>2</v>
      </c>
      <c r="B169" s="116" t="s">
        <v>114</v>
      </c>
      <c r="C169" s="133">
        <v>1798</v>
      </c>
      <c r="D169" s="133">
        <v>2085</v>
      </c>
      <c r="E169" s="133">
        <f t="shared" si="24"/>
        <v>287</v>
      </c>
      <c r="F169" s="114">
        <f t="shared" si="25"/>
        <v>0.1596218020022247</v>
      </c>
    </row>
    <row r="170" spans="1:6" x14ac:dyDescent="0.2">
      <c r="A170" s="115">
        <v>3</v>
      </c>
      <c r="B170" s="116" t="s">
        <v>115</v>
      </c>
      <c r="C170" s="133">
        <v>13145</v>
      </c>
      <c r="D170" s="133">
        <v>13504</v>
      </c>
      <c r="E170" s="133">
        <f t="shared" si="24"/>
        <v>359</v>
      </c>
      <c r="F170" s="114">
        <f t="shared" si="25"/>
        <v>2.7310764549258272E-2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115</v>
      </c>
      <c r="D172" s="133">
        <v>87</v>
      </c>
      <c r="E172" s="133">
        <f t="shared" si="24"/>
        <v>-28</v>
      </c>
      <c r="F172" s="114">
        <f t="shared" si="25"/>
        <v>-0.24347826086956523</v>
      </c>
    </row>
    <row r="173" spans="1:6" x14ac:dyDescent="0.2">
      <c r="A173" s="115">
        <v>6</v>
      </c>
      <c r="B173" s="116" t="s">
        <v>118</v>
      </c>
      <c r="C173" s="133">
        <v>719</v>
      </c>
      <c r="D173" s="133">
        <v>657</v>
      </c>
      <c r="E173" s="133">
        <f t="shared" si="24"/>
        <v>-62</v>
      </c>
      <c r="F173" s="114">
        <f t="shared" si="25"/>
        <v>-8.6230876216968011E-2</v>
      </c>
    </row>
    <row r="174" spans="1:6" x14ac:dyDescent="0.2">
      <c r="A174" s="115">
        <v>7</v>
      </c>
      <c r="B174" s="116" t="s">
        <v>119</v>
      </c>
      <c r="C174" s="133">
        <v>10103</v>
      </c>
      <c r="D174" s="133">
        <v>9327</v>
      </c>
      <c r="E174" s="133">
        <f t="shared" si="24"/>
        <v>-776</v>
      </c>
      <c r="F174" s="114">
        <f t="shared" si="25"/>
        <v>-7.6808868652875381E-2</v>
      </c>
    </row>
    <row r="175" spans="1:6" x14ac:dyDescent="0.2">
      <c r="A175" s="115">
        <v>8</v>
      </c>
      <c r="B175" s="116" t="s">
        <v>120</v>
      </c>
      <c r="C175" s="133">
        <v>737</v>
      </c>
      <c r="D175" s="133">
        <v>730</v>
      </c>
      <c r="E175" s="133">
        <f t="shared" si="24"/>
        <v>-7</v>
      </c>
      <c r="F175" s="114">
        <f t="shared" si="25"/>
        <v>-9.497964721845319E-3</v>
      </c>
    </row>
    <row r="176" spans="1:6" x14ac:dyDescent="0.2">
      <c r="A176" s="115">
        <v>9</v>
      </c>
      <c r="B176" s="116" t="s">
        <v>121</v>
      </c>
      <c r="C176" s="133">
        <v>1968</v>
      </c>
      <c r="D176" s="133">
        <v>1246</v>
      </c>
      <c r="E176" s="133">
        <f t="shared" si="24"/>
        <v>-722</v>
      </c>
      <c r="F176" s="114">
        <f t="shared" si="25"/>
        <v>-0.366869918699187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33063</v>
      </c>
      <c r="D179" s="134">
        <f>SUM(D168:D178)</f>
        <v>32181</v>
      </c>
      <c r="E179" s="134">
        <f t="shared" si="24"/>
        <v>-882</v>
      </c>
      <c r="F179" s="120">
        <f t="shared" si="25"/>
        <v>-2.6676345159241447E-2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FILING&amp;RGRIFFIN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20849734</v>
      </c>
      <c r="D15" s="157">
        <v>21477461</v>
      </c>
      <c r="E15" s="157">
        <f>+D15-C15</f>
        <v>627727</v>
      </c>
      <c r="F15" s="161">
        <f>IF(C15=0,0,E15/C15)</f>
        <v>3.0107194652938978E-2</v>
      </c>
    </row>
    <row r="16" spans="1:6" ht="15" customHeight="1" x14ac:dyDescent="0.2">
      <c r="A16" s="147">
        <v>2</v>
      </c>
      <c r="B16" s="160" t="s">
        <v>157</v>
      </c>
      <c r="C16" s="157">
        <v>3821225</v>
      </c>
      <c r="D16" s="157">
        <v>3595537</v>
      </c>
      <c r="E16" s="157">
        <f>+D16-C16</f>
        <v>-225688</v>
      </c>
      <c r="F16" s="161">
        <f>IF(C16=0,0,E16/C16)</f>
        <v>-5.9061688332929886E-2</v>
      </c>
    </row>
    <row r="17" spans="1:6" ht="15" customHeight="1" x14ac:dyDescent="0.2">
      <c r="A17" s="147">
        <v>3</v>
      </c>
      <c r="B17" s="160" t="s">
        <v>158</v>
      </c>
      <c r="C17" s="157">
        <v>31025618</v>
      </c>
      <c r="D17" s="157">
        <v>32916206</v>
      </c>
      <c r="E17" s="157">
        <f>+D17-C17</f>
        <v>1890588</v>
      </c>
      <c r="F17" s="161">
        <f>IF(C17=0,0,E17/C17)</f>
        <v>6.0936352661855119E-2</v>
      </c>
    </row>
    <row r="18" spans="1:6" ht="15.75" customHeight="1" x14ac:dyDescent="0.25">
      <c r="A18" s="147"/>
      <c r="B18" s="162" t="s">
        <v>159</v>
      </c>
      <c r="C18" s="158">
        <f>SUM(C15:C17)</f>
        <v>55696577</v>
      </c>
      <c r="D18" s="158">
        <f>SUM(D15:D17)</f>
        <v>57989204</v>
      </c>
      <c r="E18" s="158">
        <f>+D18-C18</f>
        <v>2292627</v>
      </c>
      <c r="F18" s="159">
        <f>IF(C18=0,0,E18/C18)</f>
        <v>4.1162798927481668E-2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6274634</v>
      </c>
      <c r="D21" s="157">
        <v>7125501</v>
      </c>
      <c r="E21" s="157">
        <f>+D21-C21</f>
        <v>850867</v>
      </c>
      <c r="F21" s="161">
        <f>IF(C21=0,0,E21/C21)</f>
        <v>0.13560424400849516</v>
      </c>
    </row>
    <row r="22" spans="1:6" ht="15" customHeight="1" x14ac:dyDescent="0.2">
      <c r="A22" s="147">
        <v>2</v>
      </c>
      <c r="B22" s="160" t="s">
        <v>162</v>
      </c>
      <c r="C22" s="157">
        <v>1149980</v>
      </c>
      <c r="D22" s="157">
        <v>1192878</v>
      </c>
      <c r="E22" s="157">
        <f>+D22-C22</f>
        <v>42898</v>
      </c>
      <c r="F22" s="161">
        <f>IF(C22=0,0,E22/C22)</f>
        <v>3.7303257447955616E-2</v>
      </c>
    </row>
    <row r="23" spans="1:6" ht="15" customHeight="1" x14ac:dyDescent="0.2">
      <c r="A23" s="147">
        <v>3</v>
      </c>
      <c r="B23" s="160" t="s">
        <v>163</v>
      </c>
      <c r="C23" s="157">
        <v>9337021</v>
      </c>
      <c r="D23" s="157">
        <v>10920486</v>
      </c>
      <c r="E23" s="157">
        <f>+D23-C23</f>
        <v>1583465</v>
      </c>
      <c r="F23" s="161">
        <f>IF(C23=0,0,E23/C23)</f>
        <v>0.16958995808191929</v>
      </c>
    </row>
    <row r="24" spans="1:6" ht="15.75" customHeight="1" x14ac:dyDescent="0.25">
      <c r="A24" s="147"/>
      <c r="B24" s="162" t="s">
        <v>164</v>
      </c>
      <c r="C24" s="158">
        <f>SUM(C21:C23)</f>
        <v>16761635</v>
      </c>
      <c r="D24" s="158">
        <f>SUM(D21:D23)</f>
        <v>19238865</v>
      </c>
      <c r="E24" s="158">
        <f>+D24-C24</f>
        <v>2477230</v>
      </c>
      <c r="F24" s="159">
        <f>IF(C24=0,0,E24/C24)</f>
        <v>0.14779166829488891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315419</v>
      </c>
      <c r="D27" s="157">
        <v>839656</v>
      </c>
      <c r="E27" s="157">
        <f>+D27-C27</f>
        <v>524237</v>
      </c>
      <c r="F27" s="161">
        <f>IF(C27=0,0,E27/C27)</f>
        <v>1.662033675840707</v>
      </c>
    </row>
    <row r="28" spans="1:6" ht="15" customHeight="1" x14ac:dyDescent="0.2">
      <c r="A28" s="147">
        <v>2</v>
      </c>
      <c r="B28" s="160" t="s">
        <v>167</v>
      </c>
      <c r="C28" s="157">
        <v>3514363</v>
      </c>
      <c r="D28" s="157">
        <v>4610328</v>
      </c>
      <c r="E28" s="157">
        <f>+D28-C28</f>
        <v>1095965</v>
      </c>
      <c r="F28" s="161">
        <f>IF(C28=0,0,E28/C28)</f>
        <v>0.31185310111676001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3829782</v>
      </c>
      <c r="D30" s="158">
        <f>SUM(D27:D29)</f>
        <v>5449984</v>
      </c>
      <c r="E30" s="158">
        <f>+D30-C30</f>
        <v>1620202</v>
      </c>
      <c r="F30" s="159">
        <f>IF(C30=0,0,E30/C30)</f>
        <v>0.42305332261731871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13101553</v>
      </c>
      <c r="D33" s="157">
        <v>12270112</v>
      </c>
      <c r="E33" s="157">
        <f>+D33-C33</f>
        <v>-831441</v>
      </c>
      <c r="F33" s="161">
        <f>IF(C33=0,0,E33/C33)</f>
        <v>-6.3461255318358056E-2</v>
      </c>
    </row>
    <row r="34" spans="1:6" ht="15" customHeight="1" x14ac:dyDescent="0.2">
      <c r="A34" s="147">
        <v>2</v>
      </c>
      <c r="B34" s="160" t="s">
        <v>173</v>
      </c>
      <c r="C34" s="157">
        <v>6787477</v>
      </c>
      <c r="D34" s="157">
        <v>8716652</v>
      </c>
      <c r="E34" s="157">
        <f>+D34-C34</f>
        <v>1929175</v>
      </c>
      <c r="F34" s="161">
        <f>IF(C34=0,0,E34/C34)</f>
        <v>0.28422564083826729</v>
      </c>
    </row>
    <row r="35" spans="1:6" ht="15.75" customHeight="1" x14ac:dyDescent="0.25">
      <c r="A35" s="147"/>
      <c r="B35" s="162" t="s">
        <v>174</v>
      </c>
      <c r="C35" s="158">
        <f>SUM(C33:C34)</f>
        <v>19889030</v>
      </c>
      <c r="D35" s="158">
        <f>SUM(D33:D34)</f>
        <v>20986764</v>
      </c>
      <c r="E35" s="158">
        <f>+D35-C35</f>
        <v>1097734</v>
      </c>
      <c r="F35" s="159">
        <f>IF(C35=0,0,E35/C35)</f>
        <v>5.5192938016585022E-2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2238806</v>
      </c>
      <c r="D38" s="157">
        <v>1897737</v>
      </c>
      <c r="E38" s="157">
        <f>+D38-C38</f>
        <v>-341069</v>
      </c>
      <c r="F38" s="161">
        <f>IF(C38=0,0,E38/C38)</f>
        <v>-0.15234415130207798</v>
      </c>
    </row>
    <row r="39" spans="1:6" ht="15" customHeight="1" x14ac:dyDescent="0.2">
      <c r="A39" s="147">
        <v>2</v>
      </c>
      <c r="B39" s="160" t="s">
        <v>178</v>
      </c>
      <c r="C39" s="157">
        <v>3511867</v>
      </c>
      <c r="D39" s="157">
        <v>2542946</v>
      </c>
      <c r="E39" s="157">
        <f>+D39-C39</f>
        <v>-968921</v>
      </c>
      <c r="F39" s="161">
        <f>IF(C39=0,0,E39/C39)</f>
        <v>-0.27589911576947534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5750673</v>
      </c>
      <c r="D41" s="158">
        <f>SUM(D38:D40)</f>
        <v>4440683</v>
      </c>
      <c r="E41" s="158">
        <f>+D41-C41</f>
        <v>-1309990</v>
      </c>
      <c r="F41" s="159">
        <f>IF(C41=0,0,E41/C41)</f>
        <v>-0.22779768559262542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3531142</v>
      </c>
      <c r="D47" s="157">
        <v>2123883</v>
      </c>
      <c r="E47" s="157">
        <f>+D47-C47</f>
        <v>-1407259</v>
      </c>
      <c r="F47" s="161">
        <f>IF(C47=0,0,E47/C47)</f>
        <v>-0.39852801161777124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563492</v>
      </c>
      <c r="D50" s="157">
        <v>536009</v>
      </c>
      <c r="E50" s="157">
        <f>+D50-C50</f>
        <v>-27483</v>
      </c>
      <c r="F50" s="161">
        <f>IF(C50=0,0,E50/C50)</f>
        <v>-4.8772653382834187E-2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388439</v>
      </c>
      <c r="D53" s="157">
        <v>372336</v>
      </c>
      <c r="E53" s="157">
        <f t="shared" ref="E53:E59" si="0">+D53-C53</f>
        <v>-16103</v>
      </c>
      <c r="F53" s="161">
        <f t="shared" ref="F53:F59" si="1">IF(C53=0,0,E53/C53)</f>
        <v>-4.1455672576646528E-2</v>
      </c>
    </row>
    <row r="54" spans="1:6" ht="15" customHeight="1" x14ac:dyDescent="0.2">
      <c r="A54" s="147">
        <v>2</v>
      </c>
      <c r="B54" s="160" t="s">
        <v>189</v>
      </c>
      <c r="C54" s="157">
        <v>798258</v>
      </c>
      <c r="D54" s="157">
        <v>972601</v>
      </c>
      <c r="E54" s="157">
        <f t="shared" si="0"/>
        <v>174343</v>
      </c>
      <c r="F54" s="161">
        <f t="shared" si="1"/>
        <v>0.218404325418599</v>
      </c>
    </row>
    <row r="55" spans="1:6" ht="15" customHeight="1" x14ac:dyDescent="0.2">
      <c r="A55" s="147">
        <v>3</v>
      </c>
      <c r="B55" s="160" t="s">
        <v>190</v>
      </c>
      <c r="C55" s="157">
        <v>42445</v>
      </c>
      <c r="D55" s="157">
        <v>21783</v>
      </c>
      <c r="E55" s="157">
        <f t="shared" si="0"/>
        <v>-20662</v>
      </c>
      <c r="F55" s="161">
        <f t="shared" si="1"/>
        <v>-0.48679467546236305</v>
      </c>
    </row>
    <row r="56" spans="1:6" ht="15" customHeight="1" x14ac:dyDescent="0.2">
      <c r="A56" s="147">
        <v>4</v>
      </c>
      <c r="B56" s="160" t="s">
        <v>191</v>
      </c>
      <c r="C56" s="157">
        <v>1864532</v>
      </c>
      <c r="D56" s="157">
        <v>1967973</v>
      </c>
      <c r="E56" s="157">
        <f t="shared" si="0"/>
        <v>103441</v>
      </c>
      <c r="F56" s="161">
        <f t="shared" si="1"/>
        <v>5.5478264787088664E-2</v>
      </c>
    </row>
    <row r="57" spans="1:6" ht="15" customHeight="1" x14ac:dyDescent="0.2">
      <c r="A57" s="147">
        <v>5</v>
      </c>
      <c r="B57" s="160" t="s">
        <v>192</v>
      </c>
      <c r="C57" s="157">
        <v>371553</v>
      </c>
      <c r="D57" s="157">
        <v>412695</v>
      </c>
      <c r="E57" s="157">
        <f t="shared" si="0"/>
        <v>41142</v>
      </c>
      <c r="F57" s="161">
        <f t="shared" si="1"/>
        <v>0.11072982858434732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3465227</v>
      </c>
      <c r="D59" s="158">
        <f>SUM(D53:D58)</f>
        <v>3747388</v>
      </c>
      <c r="E59" s="158">
        <f t="shared" si="0"/>
        <v>282161</v>
      </c>
      <c r="F59" s="159">
        <f t="shared" si="1"/>
        <v>8.1426411603049378E-2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269004</v>
      </c>
      <c r="D62" s="157">
        <v>292725</v>
      </c>
      <c r="E62" s="157">
        <f t="shared" ref="E62:E90" si="2">+D62-C62</f>
        <v>23721</v>
      </c>
      <c r="F62" s="161">
        <f t="shared" ref="F62:F90" si="3">IF(C62=0,0,E62/C62)</f>
        <v>8.8180844894499705E-2</v>
      </c>
    </row>
    <row r="63" spans="1:6" ht="15" customHeight="1" x14ac:dyDescent="0.2">
      <c r="A63" s="147">
        <v>2</v>
      </c>
      <c r="B63" s="160" t="s">
        <v>198</v>
      </c>
      <c r="C63" s="157">
        <v>169634</v>
      </c>
      <c r="D63" s="157">
        <v>175863</v>
      </c>
      <c r="E63" s="157">
        <f t="shared" si="2"/>
        <v>6229</v>
      </c>
      <c r="F63" s="161">
        <f t="shared" si="3"/>
        <v>3.6720232972163598E-2</v>
      </c>
    </row>
    <row r="64" spans="1:6" ht="15" customHeight="1" x14ac:dyDescent="0.2">
      <c r="A64" s="147">
        <v>3</v>
      </c>
      <c r="B64" s="160" t="s">
        <v>199</v>
      </c>
      <c r="C64" s="157">
        <v>358104</v>
      </c>
      <c r="D64" s="157">
        <v>269091</v>
      </c>
      <c r="E64" s="157">
        <f t="shared" si="2"/>
        <v>-89013</v>
      </c>
      <c r="F64" s="161">
        <f t="shared" si="3"/>
        <v>-0.24856745526439247</v>
      </c>
    </row>
    <row r="65" spans="1:6" ht="15" customHeight="1" x14ac:dyDescent="0.2">
      <c r="A65" s="147">
        <v>4</v>
      </c>
      <c r="B65" s="160" t="s">
        <v>200</v>
      </c>
      <c r="C65" s="157">
        <v>386004</v>
      </c>
      <c r="D65" s="157">
        <v>363908</v>
      </c>
      <c r="E65" s="157">
        <f t="shared" si="2"/>
        <v>-22096</v>
      </c>
      <c r="F65" s="161">
        <f t="shared" si="3"/>
        <v>-5.7242930125076426E-2</v>
      </c>
    </row>
    <row r="66" spans="1:6" ht="15" customHeight="1" x14ac:dyDescent="0.2">
      <c r="A66" s="147">
        <v>5</v>
      </c>
      <c r="B66" s="160" t="s">
        <v>201</v>
      </c>
      <c r="C66" s="157">
        <v>1463468</v>
      </c>
      <c r="D66" s="157">
        <v>1501395</v>
      </c>
      <c r="E66" s="157">
        <f t="shared" si="2"/>
        <v>37927</v>
      </c>
      <c r="F66" s="161">
        <f t="shared" si="3"/>
        <v>2.5915838269097786E-2</v>
      </c>
    </row>
    <row r="67" spans="1:6" ht="15" customHeight="1" x14ac:dyDescent="0.2">
      <c r="A67" s="147">
        <v>6</v>
      </c>
      <c r="B67" s="160" t="s">
        <v>202</v>
      </c>
      <c r="C67" s="157">
        <v>348388</v>
      </c>
      <c r="D67" s="157">
        <v>335974</v>
      </c>
      <c r="E67" s="157">
        <f t="shared" si="2"/>
        <v>-12414</v>
      </c>
      <c r="F67" s="161">
        <f t="shared" si="3"/>
        <v>-3.5632685396741567E-2</v>
      </c>
    </row>
    <row r="68" spans="1:6" ht="15" customHeight="1" x14ac:dyDescent="0.2">
      <c r="A68" s="147">
        <v>7</v>
      </c>
      <c r="B68" s="160" t="s">
        <v>203</v>
      </c>
      <c r="C68" s="157">
        <v>3263643</v>
      </c>
      <c r="D68" s="157">
        <v>2966066</v>
      </c>
      <c r="E68" s="157">
        <f t="shared" si="2"/>
        <v>-297577</v>
      </c>
      <c r="F68" s="161">
        <f t="shared" si="3"/>
        <v>-9.1179396766129142E-2</v>
      </c>
    </row>
    <row r="69" spans="1:6" ht="15" customHeight="1" x14ac:dyDescent="0.2">
      <c r="A69" s="147">
        <v>8</v>
      </c>
      <c r="B69" s="160" t="s">
        <v>204</v>
      </c>
      <c r="C69" s="157">
        <v>339128</v>
      </c>
      <c r="D69" s="157">
        <v>321179</v>
      </c>
      <c r="E69" s="157">
        <f t="shared" si="2"/>
        <v>-17949</v>
      </c>
      <c r="F69" s="161">
        <f t="shared" si="3"/>
        <v>-5.2926918449670922E-2</v>
      </c>
    </row>
    <row r="70" spans="1:6" ht="15" customHeight="1" x14ac:dyDescent="0.2">
      <c r="A70" s="147">
        <v>9</v>
      </c>
      <c r="B70" s="160" t="s">
        <v>205</v>
      </c>
      <c r="C70" s="157">
        <v>240639</v>
      </c>
      <c r="D70" s="157">
        <v>298457</v>
      </c>
      <c r="E70" s="157">
        <f t="shared" si="2"/>
        <v>57818</v>
      </c>
      <c r="F70" s="161">
        <f t="shared" si="3"/>
        <v>0.24026861813754213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92095</v>
      </c>
      <c r="D72" s="157">
        <v>43001</v>
      </c>
      <c r="E72" s="157">
        <f t="shared" si="2"/>
        <v>-49094</v>
      </c>
      <c r="F72" s="161">
        <f t="shared" si="3"/>
        <v>-0.5330799717682827</v>
      </c>
    </row>
    <row r="73" spans="1:6" ht="15" customHeight="1" x14ac:dyDescent="0.2">
      <c r="A73" s="147">
        <v>12</v>
      </c>
      <c r="B73" s="160" t="s">
        <v>208</v>
      </c>
      <c r="C73" s="157">
        <v>788521</v>
      </c>
      <c r="D73" s="157">
        <v>822585</v>
      </c>
      <c r="E73" s="157">
        <f t="shared" si="2"/>
        <v>34064</v>
      </c>
      <c r="F73" s="161">
        <f t="shared" si="3"/>
        <v>4.3199864049277066E-2</v>
      </c>
    </row>
    <row r="74" spans="1:6" ht="15" customHeight="1" x14ac:dyDescent="0.2">
      <c r="A74" s="147">
        <v>13</v>
      </c>
      <c r="B74" s="160" t="s">
        <v>209</v>
      </c>
      <c r="C74" s="157">
        <v>787136</v>
      </c>
      <c r="D74" s="157">
        <v>850037</v>
      </c>
      <c r="E74" s="157">
        <f t="shared" si="2"/>
        <v>62901</v>
      </c>
      <c r="F74" s="161">
        <f t="shared" si="3"/>
        <v>7.991122245711034E-2</v>
      </c>
    </row>
    <row r="75" spans="1:6" ht="15" customHeight="1" x14ac:dyDescent="0.2">
      <c r="A75" s="147">
        <v>14</v>
      </c>
      <c r="B75" s="160" t="s">
        <v>210</v>
      </c>
      <c r="C75" s="157">
        <v>138737</v>
      </c>
      <c r="D75" s="157">
        <v>115963</v>
      </c>
      <c r="E75" s="157">
        <f t="shared" si="2"/>
        <v>-22774</v>
      </c>
      <c r="F75" s="161">
        <f t="shared" si="3"/>
        <v>-0.16415231697384258</v>
      </c>
    </row>
    <row r="76" spans="1:6" ht="15" customHeight="1" x14ac:dyDescent="0.2">
      <c r="A76" s="147">
        <v>15</v>
      </c>
      <c r="B76" s="160" t="s">
        <v>211</v>
      </c>
      <c r="C76" s="157">
        <v>524120</v>
      </c>
      <c r="D76" s="157">
        <v>528863</v>
      </c>
      <c r="E76" s="157">
        <f t="shared" si="2"/>
        <v>4743</v>
      </c>
      <c r="F76" s="161">
        <f t="shared" si="3"/>
        <v>9.0494543234373812E-3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1441112</v>
      </c>
      <c r="D78" s="157">
        <v>1267473</v>
      </c>
      <c r="E78" s="157">
        <f t="shared" si="2"/>
        <v>-173639</v>
      </c>
      <c r="F78" s="161">
        <f t="shared" si="3"/>
        <v>-0.12048959414674223</v>
      </c>
    </row>
    <row r="79" spans="1:6" ht="15" customHeight="1" x14ac:dyDescent="0.2">
      <c r="A79" s="147">
        <v>18</v>
      </c>
      <c r="B79" s="160" t="s">
        <v>214</v>
      </c>
      <c r="C79" s="157">
        <v>99857</v>
      </c>
      <c r="D79" s="157">
        <v>96334</v>
      </c>
      <c r="E79" s="157">
        <f t="shared" si="2"/>
        <v>-3523</v>
      </c>
      <c r="F79" s="161">
        <f t="shared" si="3"/>
        <v>-3.5280451044994339E-2</v>
      </c>
    </row>
    <row r="80" spans="1:6" ht="15" customHeight="1" x14ac:dyDescent="0.2">
      <c r="A80" s="147">
        <v>19</v>
      </c>
      <c r="B80" s="160" t="s">
        <v>215</v>
      </c>
      <c r="C80" s="157">
        <v>2327414</v>
      </c>
      <c r="D80" s="157">
        <v>2491659</v>
      </c>
      <c r="E80" s="157">
        <f t="shared" si="2"/>
        <v>164245</v>
      </c>
      <c r="F80" s="161">
        <f t="shared" si="3"/>
        <v>7.056973963377379E-2</v>
      </c>
    </row>
    <row r="81" spans="1:6" ht="15" customHeight="1" x14ac:dyDescent="0.2">
      <c r="A81" s="147">
        <v>20</v>
      </c>
      <c r="B81" s="160" t="s">
        <v>216</v>
      </c>
      <c r="C81" s="157">
        <v>1612911</v>
      </c>
      <c r="D81" s="157">
        <v>1344224</v>
      </c>
      <c r="E81" s="157">
        <f t="shared" si="2"/>
        <v>-268687</v>
      </c>
      <c r="F81" s="161">
        <f t="shared" si="3"/>
        <v>-0.16658513705963937</v>
      </c>
    </row>
    <row r="82" spans="1:6" ht="15" customHeight="1" x14ac:dyDescent="0.2">
      <c r="A82" s="147">
        <v>21</v>
      </c>
      <c r="B82" s="160" t="s">
        <v>217</v>
      </c>
      <c r="C82" s="157">
        <v>803944</v>
      </c>
      <c r="D82" s="157">
        <v>712391</v>
      </c>
      <c r="E82" s="157">
        <f t="shared" si="2"/>
        <v>-91553</v>
      </c>
      <c r="F82" s="161">
        <f t="shared" si="3"/>
        <v>-0.11387982247519728</v>
      </c>
    </row>
    <row r="83" spans="1:6" ht="15" customHeight="1" x14ac:dyDescent="0.2">
      <c r="A83" s="147">
        <v>22</v>
      </c>
      <c r="B83" s="160" t="s">
        <v>218</v>
      </c>
      <c r="C83" s="157">
        <v>166838</v>
      </c>
      <c r="D83" s="157">
        <v>198782</v>
      </c>
      <c r="E83" s="157">
        <f t="shared" si="2"/>
        <v>31944</v>
      </c>
      <c r="F83" s="161">
        <f t="shared" si="3"/>
        <v>0.19146717174744363</v>
      </c>
    </row>
    <row r="84" spans="1:6" ht="15" customHeight="1" x14ac:dyDescent="0.2">
      <c r="A84" s="147">
        <v>23</v>
      </c>
      <c r="B84" s="160" t="s">
        <v>219</v>
      </c>
      <c r="C84" s="157">
        <v>587250</v>
      </c>
      <c r="D84" s="157">
        <v>656082</v>
      </c>
      <c r="E84" s="157">
        <f t="shared" si="2"/>
        <v>68832</v>
      </c>
      <c r="F84" s="161">
        <f t="shared" si="3"/>
        <v>0.11721072796934866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150869</v>
      </c>
      <c r="D86" s="157">
        <v>147074</v>
      </c>
      <c r="E86" s="157">
        <f t="shared" si="2"/>
        <v>-3795</v>
      </c>
      <c r="F86" s="161">
        <f t="shared" si="3"/>
        <v>-2.5154272912261633E-2</v>
      </c>
    </row>
    <row r="87" spans="1:6" ht="15" customHeight="1" x14ac:dyDescent="0.2">
      <c r="A87" s="147">
        <v>26</v>
      </c>
      <c r="B87" s="160" t="s">
        <v>222</v>
      </c>
      <c r="C87" s="157">
        <v>1251198</v>
      </c>
      <c r="D87" s="157">
        <v>1256647</v>
      </c>
      <c r="E87" s="157">
        <f t="shared" si="2"/>
        <v>5449</v>
      </c>
      <c r="F87" s="161">
        <f t="shared" si="3"/>
        <v>4.355026142944602E-3</v>
      </c>
    </row>
    <row r="88" spans="1:6" ht="15" customHeight="1" x14ac:dyDescent="0.2">
      <c r="A88" s="147">
        <v>27</v>
      </c>
      <c r="B88" s="160" t="s">
        <v>223</v>
      </c>
      <c r="C88" s="157">
        <v>1611555</v>
      </c>
      <c r="D88" s="157">
        <v>1398921</v>
      </c>
      <c r="E88" s="157">
        <f t="shared" si="2"/>
        <v>-212634</v>
      </c>
      <c r="F88" s="161">
        <f t="shared" si="3"/>
        <v>-0.13194337146420693</v>
      </c>
    </row>
    <row r="89" spans="1:6" ht="15" customHeight="1" x14ac:dyDescent="0.2">
      <c r="A89" s="147">
        <v>28</v>
      </c>
      <c r="B89" s="160" t="s">
        <v>224</v>
      </c>
      <c r="C89" s="157">
        <v>1565744</v>
      </c>
      <c r="D89" s="157">
        <v>1901904</v>
      </c>
      <c r="E89" s="157">
        <f t="shared" si="2"/>
        <v>336160</v>
      </c>
      <c r="F89" s="161">
        <f t="shared" si="3"/>
        <v>0.21469665539194147</v>
      </c>
    </row>
    <row r="90" spans="1:6" ht="15.75" customHeight="1" x14ac:dyDescent="0.25">
      <c r="A90" s="147"/>
      <c r="B90" s="162" t="s">
        <v>225</v>
      </c>
      <c r="C90" s="158">
        <f>SUM(C62:C89)</f>
        <v>20787313</v>
      </c>
      <c r="D90" s="158">
        <f>SUM(D62:D89)</f>
        <v>20356598</v>
      </c>
      <c r="E90" s="158">
        <f t="shared" si="2"/>
        <v>-430715</v>
      </c>
      <c r="F90" s="159">
        <f t="shared" si="3"/>
        <v>-2.0720090181929718E-2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616</v>
      </c>
      <c r="D93" s="157">
        <v>6284063</v>
      </c>
      <c r="E93" s="157">
        <f>+D93-C93</f>
        <v>6283447</v>
      </c>
      <c r="F93" s="161">
        <f>IF(C93=0,0,E93/C93)</f>
        <v>10200.400974025973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130275487</v>
      </c>
      <c r="D95" s="158">
        <f>+D93+D90+D59+D50+D47+D44+D41+D35+D30+D24+D18</f>
        <v>141153441</v>
      </c>
      <c r="E95" s="158">
        <f>+D95-C95</f>
        <v>10877954</v>
      </c>
      <c r="F95" s="159">
        <f>IF(C95=0,0,E95/C95)</f>
        <v>8.3499622611274527E-2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3981966</v>
      </c>
      <c r="D103" s="157">
        <v>3270573</v>
      </c>
      <c r="E103" s="157">
        <f t="shared" ref="E103:E121" si="4">D103-C103</f>
        <v>-711393</v>
      </c>
      <c r="F103" s="161">
        <f t="shared" ref="F103:F121" si="5">IF(C103=0,0,E103/C103)</f>
        <v>-0.17865371025267418</v>
      </c>
    </row>
    <row r="104" spans="1:6" ht="15" customHeight="1" x14ac:dyDescent="0.2">
      <c r="A104" s="147">
        <v>2</v>
      </c>
      <c r="B104" s="169" t="s">
        <v>234</v>
      </c>
      <c r="C104" s="157">
        <v>660902</v>
      </c>
      <c r="D104" s="157">
        <v>1216522</v>
      </c>
      <c r="E104" s="157">
        <f t="shared" si="4"/>
        <v>555620</v>
      </c>
      <c r="F104" s="161">
        <f t="shared" si="5"/>
        <v>0.84069952882575627</v>
      </c>
    </row>
    <row r="105" spans="1:6" ht="15" customHeight="1" x14ac:dyDescent="0.2">
      <c r="A105" s="147">
        <v>3</v>
      </c>
      <c r="B105" s="169" t="s">
        <v>235</v>
      </c>
      <c r="C105" s="157">
        <v>1860547</v>
      </c>
      <c r="D105" s="157">
        <v>1932419</v>
      </c>
      <c r="E105" s="157">
        <f t="shared" si="4"/>
        <v>71872</v>
      </c>
      <c r="F105" s="161">
        <f t="shared" si="5"/>
        <v>3.8629499819139212E-2</v>
      </c>
    </row>
    <row r="106" spans="1:6" ht="15" customHeight="1" x14ac:dyDescent="0.2">
      <c r="A106" s="147">
        <v>4</v>
      </c>
      <c r="B106" s="169" t="s">
        <v>236</v>
      </c>
      <c r="C106" s="157">
        <v>954376</v>
      </c>
      <c r="D106" s="157">
        <v>981220</v>
      </c>
      <c r="E106" s="157">
        <f t="shared" si="4"/>
        <v>26844</v>
      </c>
      <c r="F106" s="161">
        <f t="shared" si="5"/>
        <v>2.8127278976001074E-2</v>
      </c>
    </row>
    <row r="107" spans="1:6" ht="15" customHeight="1" x14ac:dyDescent="0.2">
      <c r="A107" s="147">
        <v>5</v>
      </c>
      <c r="B107" s="169" t="s">
        <v>237</v>
      </c>
      <c r="C107" s="157">
        <v>2352182</v>
      </c>
      <c r="D107" s="157">
        <v>2530598</v>
      </c>
      <c r="E107" s="157">
        <f t="shared" si="4"/>
        <v>178416</v>
      </c>
      <c r="F107" s="161">
        <f t="shared" si="5"/>
        <v>7.5851273413366824E-2</v>
      </c>
    </row>
    <row r="108" spans="1:6" ht="15" customHeight="1" x14ac:dyDescent="0.2">
      <c r="A108" s="147">
        <v>6</v>
      </c>
      <c r="B108" s="169" t="s">
        <v>238</v>
      </c>
      <c r="C108" s="157">
        <v>103</v>
      </c>
      <c r="D108" s="157">
        <v>64</v>
      </c>
      <c r="E108" s="157">
        <f t="shared" si="4"/>
        <v>-39</v>
      </c>
      <c r="F108" s="161">
        <f t="shared" si="5"/>
        <v>-0.37864077669902912</v>
      </c>
    </row>
    <row r="109" spans="1:6" ht="15" customHeight="1" x14ac:dyDescent="0.2">
      <c r="A109" s="147">
        <v>7</v>
      </c>
      <c r="B109" s="169" t="s">
        <v>239</v>
      </c>
      <c r="C109" s="157">
        <v>1361364</v>
      </c>
      <c r="D109" s="157">
        <v>1501774</v>
      </c>
      <c r="E109" s="157">
        <f t="shared" si="4"/>
        <v>140410</v>
      </c>
      <c r="F109" s="161">
        <f t="shared" si="5"/>
        <v>0.10313920450371833</v>
      </c>
    </row>
    <row r="110" spans="1:6" ht="15" customHeight="1" x14ac:dyDescent="0.2">
      <c r="A110" s="147">
        <v>8</v>
      </c>
      <c r="B110" s="169" t="s">
        <v>240</v>
      </c>
      <c r="C110" s="157">
        <v>1069307</v>
      </c>
      <c r="D110" s="157">
        <v>1170733</v>
      </c>
      <c r="E110" s="157">
        <f t="shared" si="4"/>
        <v>101426</v>
      </c>
      <c r="F110" s="161">
        <f t="shared" si="5"/>
        <v>9.485208644477218E-2</v>
      </c>
    </row>
    <row r="111" spans="1:6" ht="15" customHeight="1" x14ac:dyDescent="0.2">
      <c r="A111" s="147">
        <v>9</v>
      </c>
      <c r="B111" s="169" t="s">
        <v>241</v>
      </c>
      <c r="C111" s="157">
        <v>457844</v>
      </c>
      <c r="D111" s="157">
        <v>552701</v>
      </c>
      <c r="E111" s="157">
        <f t="shared" si="4"/>
        <v>94857</v>
      </c>
      <c r="F111" s="161">
        <f t="shared" si="5"/>
        <v>0.20718192222678466</v>
      </c>
    </row>
    <row r="112" spans="1:6" ht="15" customHeight="1" x14ac:dyDescent="0.2">
      <c r="A112" s="147">
        <v>10</v>
      </c>
      <c r="B112" s="169" t="s">
        <v>242</v>
      </c>
      <c r="C112" s="157">
        <v>3814644</v>
      </c>
      <c r="D112" s="157">
        <v>4077345</v>
      </c>
      <c r="E112" s="157">
        <f t="shared" si="4"/>
        <v>262701</v>
      </c>
      <c r="F112" s="161">
        <f t="shared" si="5"/>
        <v>6.8866452544457626E-2</v>
      </c>
    </row>
    <row r="113" spans="1:6" ht="15" customHeight="1" x14ac:dyDescent="0.2">
      <c r="A113" s="147">
        <v>11</v>
      </c>
      <c r="B113" s="169" t="s">
        <v>243</v>
      </c>
      <c r="C113" s="157">
        <v>2147537</v>
      </c>
      <c r="D113" s="157">
        <v>2268657</v>
      </c>
      <c r="E113" s="157">
        <f t="shared" si="4"/>
        <v>121120</v>
      </c>
      <c r="F113" s="161">
        <f t="shared" si="5"/>
        <v>5.6399493931885689E-2</v>
      </c>
    </row>
    <row r="114" spans="1:6" ht="15" customHeight="1" x14ac:dyDescent="0.2">
      <c r="A114" s="147">
        <v>12</v>
      </c>
      <c r="B114" s="169" t="s">
        <v>244</v>
      </c>
      <c r="C114" s="157">
        <v>435313</v>
      </c>
      <c r="D114" s="157">
        <v>489611</v>
      </c>
      <c r="E114" s="157">
        <f t="shared" si="4"/>
        <v>54298</v>
      </c>
      <c r="F114" s="161">
        <f t="shared" si="5"/>
        <v>0.12473323792305767</v>
      </c>
    </row>
    <row r="115" spans="1:6" ht="15" customHeight="1" x14ac:dyDescent="0.2">
      <c r="A115" s="147">
        <v>13</v>
      </c>
      <c r="B115" s="169" t="s">
        <v>245</v>
      </c>
      <c r="C115" s="157">
        <v>5369525</v>
      </c>
      <c r="D115" s="157">
        <v>5759110</v>
      </c>
      <c r="E115" s="157">
        <f t="shared" si="4"/>
        <v>389585</v>
      </c>
      <c r="F115" s="161">
        <f t="shared" si="5"/>
        <v>7.2554834924876965E-2</v>
      </c>
    </row>
    <row r="116" spans="1:6" ht="15" customHeight="1" x14ac:dyDescent="0.2">
      <c r="A116" s="147">
        <v>14</v>
      </c>
      <c r="B116" s="169" t="s">
        <v>246</v>
      </c>
      <c r="C116" s="157">
        <v>535098</v>
      </c>
      <c r="D116" s="157">
        <v>526065</v>
      </c>
      <c r="E116" s="157">
        <f t="shared" si="4"/>
        <v>-9033</v>
      </c>
      <c r="F116" s="161">
        <f t="shared" si="5"/>
        <v>-1.688101992532209E-2</v>
      </c>
    </row>
    <row r="117" spans="1:6" ht="15" customHeight="1" x14ac:dyDescent="0.2">
      <c r="A117" s="147">
        <v>15</v>
      </c>
      <c r="B117" s="169" t="s">
        <v>203</v>
      </c>
      <c r="C117" s="157">
        <v>252940</v>
      </c>
      <c r="D117" s="157">
        <v>251115</v>
      </c>
      <c r="E117" s="157">
        <f t="shared" si="4"/>
        <v>-1825</v>
      </c>
      <c r="F117" s="161">
        <f t="shared" si="5"/>
        <v>-7.2151498379062224E-3</v>
      </c>
    </row>
    <row r="118" spans="1:6" ht="15" customHeight="1" x14ac:dyDescent="0.2">
      <c r="A118" s="147">
        <v>16</v>
      </c>
      <c r="B118" s="169" t="s">
        <v>247</v>
      </c>
      <c r="C118" s="157">
        <v>652563</v>
      </c>
      <c r="D118" s="157">
        <v>741190</v>
      </c>
      <c r="E118" s="157">
        <f t="shared" si="4"/>
        <v>88627</v>
      </c>
      <c r="F118" s="161">
        <f t="shared" si="5"/>
        <v>0.13581370687581124</v>
      </c>
    </row>
    <row r="119" spans="1:6" ht="15" customHeight="1" x14ac:dyDescent="0.2">
      <c r="A119" s="147">
        <v>17</v>
      </c>
      <c r="B119" s="169" t="s">
        <v>248</v>
      </c>
      <c r="C119" s="157">
        <v>8233867</v>
      </c>
      <c r="D119" s="157">
        <v>10365757</v>
      </c>
      <c r="E119" s="157">
        <f t="shared" si="4"/>
        <v>2131890</v>
      </c>
      <c r="F119" s="161">
        <f t="shared" si="5"/>
        <v>0.25891722564865333</v>
      </c>
    </row>
    <row r="120" spans="1:6" ht="15" customHeight="1" x14ac:dyDescent="0.2">
      <c r="A120" s="147">
        <v>18</v>
      </c>
      <c r="B120" s="169" t="s">
        <v>249</v>
      </c>
      <c r="C120" s="157">
        <v>30105977</v>
      </c>
      <c r="D120" s="157">
        <v>29334018</v>
      </c>
      <c r="E120" s="157">
        <f t="shared" si="4"/>
        <v>-771959</v>
      </c>
      <c r="F120" s="161">
        <f t="shared" si="5"/>
        <v>-2.5641386758516422E-2</v>
      </c>
    </row>
    <row r="121" spans="1:6" ht="15.75" customHeight="1" x14ac:dyDescent="0.25">
      <c r="A121" s="147"/>
      <c r="B121" s="165" t="s">
        <v>250</v>
      </c>
      <c r="C121" s="158">
        <f>SUM(C103:C120)</f>
        <v>64246055</v>
      </c>
      <c r="D121" s="158">
        <f>SUM(D103:D120)</f>
        <v>66969472</v>
      </c>
      <c r="E121" s="158">
        <f t="shared" si="4"/>
        <v>2723417</v>
      </c>
      <c r="F121" s="159">
        <f t="shared" si="5"/>
        <v>4.2390416034105129E-2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662970</v>
      </c>
      <c r="D124" s="157">
        <v>924041</v>
      </c>
      <c r="E124" s="157">
        <f t="shared" ref="E124:E130" si="6">D124-C124</f>
        <v>261071</v>
      </c>
      <c r="F124" s="161">
        <f t="shared" ref="F124:F130" si="7">IF(C124=0,0,E124/C124)</f>
        <v>0.39379006591550147</v>
      </c>
    </row>
    <row r="125" spans="1:6" ht="15" customHeight="1" x14ac:dyDescent="0.2">
      <c r="A125" s="147">
        <v>2</v>
      </c>
      <c r="B125" s="169" t="s">
        <v>253</v>
      </c>
      <c r="C125" s="157">
        <v>2944769</v>
      </c>
      <c r="D125" s="157">
        <v>2977508</v>
      </c>
      <c r="E125" s="157">
        <f t="shared" si="6"/>
        <v>32739</v>
      </c>
      <c r="F125" s="161">
        <f t="shared" si="7"/>
        <v>1.111768019834493E-2</v>
      </c>
    </row>
    <row r="126" spans="1:6" ht="15" customHeight="1" x14ac:dyDescent="0.2">
      <c r="A126" s="147">
        <v>3</v>
      </c>
      <c r="B126" s="169" t="s">
        <v>254</v>
      </c>
      <c r="C126" s="157">
        <v>755432</v>
      </c>
      <c r="D126" s="157">
        <v>888585</v>
      </c>
      <c r="E126" s="157">
        <f t="shared" si="6"/>
        <v>133153</v>
      </c>
      <c r="F126" s="161">
        <f t="shared" si="7"/>
        <v>0.17626073557911234</v>
      </c>
    </row>
    <row r="127" spans="1:6" ht="15" customHeight="1" x14ac:dyDescent="0.2">
      <c r="A127" s="147">
        <v>4</v>
      </c>
      <c r="B127" s="169" t="s">
        <v>255</v>
      </c>
      <c r="C127" s="157">
        <v>1816120</v>
      </c>
      <c r="D127" s="157">
        <v>1718973</v>
      </c>
      <c r="E127" s="157">
        <f t="shared" si="6"/>
        <v>-97147</v>
      </c>
      <c r="F127" s="161">
        <f t="shared" si="7"/>
        <v>-5.3491509371627423E-2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2196828</v>
      </c>
      <c r="D129" s="157">
        <v>2356617</v>
      </c>
      <c r="E129" s="157">
        <f t="shared" si="6"/>
        <v>159789</v>
      </c>
      <c r="F129" s="161">
        <f t="shared" si="7"/>
        <v>7.2736236063997733E-2</v>
      </c>
    </row>
    <row r="130" spans="1:6" ht="15.75" customHeight="1" x14ac:dyDescent="0.25">
      <c r="A130" s="147"/>
      <c r="B130" s="165" t="s">
        <v>258</v>
      </c>
      <c r="C130" s="158">
        <f>SUM(C124:C129)</f>
        <v>8376119</v>
      </c>
      <c r="D130" s="158">
        <f>SUM(D124:D129)</f>
        <v>8865724</v>
      </c>
      <c r="E130" s="158">
        <f t="shared" si="6"/>
        <v>489605</v>
      </c>
      <c r="F130" s="159">
        <f t="shared" si="7"/>
        <v>5.8452488557051305E-2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11353547</v>
      </c>
      <c r="D133" s="157">
        <v>10756979</v>
      </c>
      <c r="E133" s="157">
        <f t="shared" ref="E133:E167" si="8">D133-C133</f>
        <v>-596568</v>
      </c>
      <c r="F133" s="161">
        <f t="shared" ref="F133:F167" si="9">IF(C133=0,0,E133/C133)</f>
        <v>-5.2544636491133563E-2</v>
      </c>
    </row>
    <row r="134" spans="1:6" ht="15" customHeight="1" x14ac:dyDescent="0.2">
      <c r="A134" s="147">
        <v>2</v>
      </c>
      <c r="B134" s="169" t="s">
        <v>261</v>
      </c>
      <c r="C134" s="157">
        <v>487085</v>
      </c>
      <c r="D134" s="157">
        <v>479846</v>
      </c>
      <c r="E134" s="157">
        <f t="shared" si="8"/>
        <v>-7239</v>
      </c>
      <c r="F134" s="161">
        <f t="shared" si="9"/>
        <v>-1.4861882422985721E-2</v>
      </c>
    </row>
    <row r="135" spans="1:6" ht="15" customHeight="1" x14ac:dyDescent="0.2">
      <c r="A135" s="147">
        <v>3</v>
      </c>
      <c r="B135" s="169" t="s">
        <v>262</v>
      </c>
      <c r="C135" s="157">
        <v>657925</v>
      </c>
      <c r="D135" s="157">
        <v>629702</v>
      </c>
      <c r="E135" s="157">
        <f t="shared" si="8"/>
        <v>-28223</v>
      </c>
      <c r="F135" s="161">
        <f t="shared" si="9"/>
        <v>-4.2896986738610025E-2</v>
      </c>
    </row>
    <row r="136" spans="1:6" ht="15" customHeight="1" x14ac:dyDescent="0.2">
      <c r="A136" s="147">
        <v>4</v>
      </c>
      <c r="B136" s="169" t="s">
        <v>263</v>
      </c>
      <c r="C136" s="157">
        <v>108271</v>
      </c>
      <c r="D136" s="157">
        <v>70020</v>
      </c>
      <c r="E136" s="157">
        <f t="shared" si="8"/>
        <v>-38251</v>
      </c>
      <c r="F136" s="161">
        <f t="shared" si="9"/>
        <v>-0.35328943114961531</v>
      </c>
    </row>
    <row r="137" spans="1:6" ht="15" customHeight="1" x14ac:dyDescent="0.2">
      <c r="A137" s="147">
        <v>5</v>
      </c>
      <c r="B137" s="169" t="s">
        <v>264</v>
      </c>
      <c r="C137" s="157">
        <v>3392598</v>
      </c>
      <c r="D137" s="157">
        <v>3607951</v>
      </c>
      <c r="E137" s="157">
        <f t="shared" si="8"/>
        <v>215353</v>
      </c>
      <c r="F137" s="161">
        <f t="shared" si="9"/>
        <v>6.3477311488127977E-2</v>
      </c>
    </row>
    <row r="138" spans="1:6" ht="15" customHeight="1" x14ac:dyDescent="0.2">
      <c r="A138" s="147">
        <v>6</v>
      </c>
      <c r="B138" s="169" t="s">
        <v>265</v>
      </c>
      <c r="C138" s="157">
        <v>599937</v>
      </c>
      <c r="D138" s="157">
        <v>606195</v>
      </c>
      <c r="E138" s="157">
        <f t="shared" si="8"/>
        <v>6258</v>
      </c>
      <c r="F138" s="161">
        <f t="shared" si="9"/>
        <v>1.0431095265002825E-2</v>
      </c>
    </row>
    <row r="139" spans="1:6" ht="15" customHeight="1" x14ac:dyDescent="0.2">
      <c r="A139" s="147">
        <v>7</v>
      </c>
      <c r="B139" s="169" t="s">
        <v>266</v>
      </c>
      <c r="C139" s="157">
        <v>1416352</v>
      </c>
      <c r="D139" s="157">
        <v>1517902</v>
      </c>
      <c r="E139" s="157">
        <f t="shared" si="8"/>
        <v>101550</v>
      </c>
      <c r="F139" s="161">
        <f t="shared" si="9"/>
        <v>7.169827839407153E-2</v>
      </c>
    </row>
    <row r="140" spans="1:6" ht="15" customHeight="1" x14ac:dyDescent="0.2">
      <c r="A140" s="147">
        <v>8</v>
      </c>
      <c r="B140" s="169" t="s">
        <v>267</v>
      </c>
      <c r="C140" s="157">
        <v>344172</v>
      </c>
      <c r="D140" s="157">
        <v>395274</v>
      </c>
      <c r="E140" s="157">
        <f t="shared" si="8"/>
        <v>51102</v>
      </c>
      <c r="F140" s="161">
        <f t="shared" si="9"/>
        <v>0.14847808653812627</v>
      </c>
    </row>
    <row r="141" spans="1:6" ht="15" customHeight="1" x14ac:dyDescent="0.2">
      <c r="A141" s="147">
        <v>9</v>
      </c>
      <c r="B141" s="169" t="s">
        <v>268</v>
      </c>
      <c r="C141" s="157">
        <v>936183</v>
      </c>
      <c r="D141" s="157">
        <v>922211</v>
      </c>
      <c r="E141" s="157">
        <f t="shared" si="8"/>
        <v>-13972</v>
      </c>
      <c r="F141" s="161">
        <f t="shared" si="9"/>
        <v>-1.4924432509455951E-2</v>
      </c>
    </row>
    <row r="142" spans="1:6" ht="15" customHeight="1" x14ac:dyDescent="0.2">
      <c r="A142" s="147">
        <v>10</v>
      </c>
      <c r="B142" s="169" t="s">
        <v>269</v>
      </c>
      <c r="C142" s="157">
        <v>7520860</v>
      </c>
      <c r="D142" s="157">
        <v>7369342</v>
      </c>
      <c r="E142" s="157">
        <f t="shared" si="8"/>
        <v>-151518</v>
      </c>
      <c r="F142" s="161">
        <f t="shared" si="9"/>
        <v>-2.014636624003106E-2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821727</v>
      </c>
      <c r="D144" s="157">
        <v>776789</v>
      </c>
      <c r="E144" s="157">
        <f t="shared" si="8"/>
        <v>-44938</v>
      </c>
      <c r="F144" s="161">
        <f t="shared" si="9"/>
        <v>-5.4687262314613003E-2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62118</v>
      </c>
      <c r="D146" s="157">
        <v>46223</v>
      </c>
      <c r="E146" s="157">
        <f t="shared" si="8"/>
        <v>-15895</v>
      </c>
      <c r="F146" s="161">
        <f t="shared" si="9"/>
        <v>-0.25588396278051451</v>
      </c>
    </row>
    <row r="147" spans="1:6" ht="15" customHeight="1" x14ac:dyDescent="0.2">
      <c r="A147" s="147">
        <v>15</v>
      </c>
      <c r="B147" s="169" t="s">
        <v>274</v>
      </c>
      <c r="C147" s="157">
        <v>1080910</v>
      </c>
      <c r="D147" s="157">
        <v>1085472</v>
      </c>
      <c r="E147" s="157">
        <f t="shared" si="8"/>
        <v>4562</v>
      </c>
      <c r="F147" s="161">
        <f t="shared" si="9"/>
        <v>4.2205178969571934E-3</v>
      </c>
    </row>
    <row r="148" spans="1:6" ht="15" customHeight="1" x14ac:dyDescent="0.2">
      <c r="A148" s="147">
        <v>16</v>
      </c>
      <c r="B148" s="169" t="s">
        <v>275</v>
      </c>
      <c r="C148" s="157">
        <v>83126</v>
      </c>
      <c r="D148" s="157">
        <v>111943</v>
      </c>
      <c r="E148" s="157">
        <f t="shared" si="8"/>
        <v>28817</v>
      </c>
      <c r="F148" s="161">
        <f t="shared" si="9"/>
        <v>0.34666650626759377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961687</v>
      </c>
      <c r="D150" s="157">
        <v>976813</v>
      </c>
      <c r="E150" s="157">
        <f t="shared" si="8"/>
        <v>15126</v>
      </c>
      <c r="F150" s="161">
        <f t="shared" si="9"/>
        <v>1.5728610244289461E-2</v>
      </c>
    </row>
    <row r="151" spans="1:6" ht="15" customHeight="1" x14ac:dyDescent="0.2">
      <c r="A151" s="147">
        <v>19</v>
      </c>
      <c r="B151" s="169" t="s">
        <v>278</v>
      </c>
      <c r="C151" s="157">
        <v>230382</v>
      </c>
      <c r="D151" s="157">
        <v>248388</v>
      </c>
      <c r="E151" s="157">
        <f t="shared" si="8"/>
        <v>18006</v>
      </c>
      <c r="F151" s="161">
        <f t="shared" si="9"/>
        <v>7.8157147693830253E-2</v>
      </c>
    </row>
    <row r="152" spans="1:6" ht="15" customHeight="1" x14ac:dyDescent="0.2">
      <c r="A152" s="147">
        <v>20</v>
      </c>
      <c r="B152" s="169" t="s">
        <v>279</v>
      </c>
      <c r="C152" s="157">
        <v>94671</v>
      </c>
      <c r="D152" s="157">
        <v>96958</v>
      </c>
      <c r="E152" s="157">
        <f t="shared" si="8"/>
        <v>2287</v>
      </c>
      <c r="F152" s="161">
        <f t="shared" si="9"/>
        <v>2.4157344910268191E-2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1781858</v>
      </c>
      <c r="D154" s="157">
        <v>2779179</v>
      </c>
      <c r="E154" s="157">
        <f t="shared" si="8"/>
        <v>997321</v>
      </c>
      <c r="F154" s="161">
        <f t="shared" si="9"/>
        <v>0.55970846161703125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5261855</v>
      </c>
      <c r="D156" s="157">
        <v>5745689</v>
      </c>
      <c r="E156" s="157">
        <f t="shared" si="8"/>
        <v>483834</v>
      </c>
      <c r="F156" s="161">
        <f t="shared" si="9"/>
        <v>9.19512225251361E-2</v>
      </c>
    </row>
    <row r="157" spans="1:6" ht="15" customHeight="1" x14ac:dyDescent="0.2">
      <c r="A157" s="147">
        <v>25</v>
      </c>
      <c r="B157" s="169" t="s">
        <v>284</v>
      </c>
      <c r="C157" s="157">
        <v>1135374</v>
      </c>
      <c r="D157" s="157">
        <v>1101532</v>
      </c>
      <c r="E157" s="157">
        <f t="shared" si="8"/>
        <v>-33842</v>
      </c>
      <c r="F157" s="161">
        <f t="shared" si="9"/>
        <v>-2.980691824896466E-2</v>
      </c>
    </row>
    <row r="158" spans="1:6" ht="15" customHeight="1" x14ac:dyDescent="0.2">
      <c r="A158" s="147">
        <v>26</v>
      </c>
      <c r="B158" s="169" t="s">
        <v>285</v>
      </c>
      <c r="C158" s="157">
        <v>252041</v>
      </c>
      <c r="D158" s="157">
        <v>212566</v>
      </c>
      <c r="E158" s="157">
        <f t="shared" si="8"/>
        <v>-39475</v>
      </c>
      <c r="F158" s="161">
        <f t="shared" si="9"/>
        <v>-0.1566213433528672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1108025</v>
      </c>
      <c r="D160" s="157">
        <v>1195281</v>
      </c>
      <c r="E160" s="157">
        <f t="shared" si="8"/>
        <v>87256</v>
      </c>
      <c r="F160" s="161">
        <f t="shared" si="9"/>
        <v>7.8749125696622374E-2</v>
      </c>
    </row>
    <row r="161" spans="1:6" ht="15" customHeight="1" x14ac:dyDescent="0.2">
      <c r="A161" s="147">
        <v>29</v>
      </c>
      <c r="B161" s="169" t="s">
        <v>288</v>
      </c>
      <c r="C161" s="157">
        <v>361933</v>
      </c>
      <c r="D161" s="157">
        <v>396573</v>
      </c>
      <c r="E161" s="157">
        <f t="shared" si="8"/>
        <v>34640</v>
      </c>
      <c r="F161" s="161">
        <f t="shared" si="9"/>
        <v>9.5708321705951102E-2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1052849</v>
      </c>
      <c r="D164" s="157">
        <v>1115113</v>
      </c>
      <c r="E164" s="157">
        <f t="shared" si="8"/>
        <v>62264</v>
      </c>
      <c r="F164" s="161">
        <f t="shared" si="9"/>
        <v>5.9138584925283684E-2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1642910</v>
      </c>
      <c r="D166" s="157">
        <v>1803728</v>
      </c>
      <c r="E166" s="157">
        <f t="shared" si="8"/>
        <v>160818</v>
      </c>
      <c r="F166" s="161">
        <f t="shared" si="9"/>
        <v>9.7886068013463917E-2</v>
      </c>
    </row>
    <row r="167" spans="1:6" ht="15.75" customHeight="1" x14ac:dyDescent="0.25">
      <c r="A167" s="147"/>
      <c r="B167" s="165" t="s">
        <v>294</v>
      </c>
      <c r="C167" s="158">
        <f>SUM(C133:C166)</f>
        <v>42748396</v>
      </c>
      <c r="D167" s="158">
        <f>SUM(D133:D166)</f>
        <v>44047669</v>
      </c>
      <c r="E167" s="158">
        <f t="shared" si="8"/>
        <v>1299273</v>
      </c>
      <c r="F167" s="159">
        <f t="shared" si="9"/>
        <v>3.0393491255204054E-2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7807662</v>
      </c>
      <c r="D170" s="157">
        <v>8362009</v>
      </c>
      <c r="E170" s="157">
        <f t="shared" ref="E170:E183" si="10">D170-C170</f>
        <v>554347</v>
      </c>
      <c r="F170" s="161">
        <f t="shared" ref="F170:F183" si="11">IF(C170=0,0,E170/C170)</f>
        <v>7.1000383981786097E-2</v>
      </c>
    </row>
    <row r="171" spans="1:6" ht="15" customHeight="1" x14ac:dyDescent="0.2">
      <c r="A171" s="147">
        <v>2</v>
      </c>
      <c r="B171" s="169" t="s">
        <v>297</v>
      </c>
      <c r="C171" s="157">
        <v>2348342</v>
      </c>
      <c r="D171" s="157">
        <v>2285122</v>
      </c>
      <c r="E171" s="157">
        <f t="shared" si="10"/>
        <v>-63220</v>
      </c>
      <c r="F171" s="161">
        <f t="shared" si="11"/>
        <v>-2.6921121369885646E-2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1127336</v>
      </c>
      <c r="D173" s="157">
        <v>1244887</v>
      </c>
      <c r="E173" s="157">
        <f t="shared" si="10"/>
        <v>117551</v>
      </c>
      <c r="F173" s="161">
        <f t="shared" si="11"/>
        <v>0.10427326014604342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1770852</v>
      </c>
      <c r="D175" s="157">
        <v>1796623</v>
      </c>
      <c r="E175" s="157">
        <f t="shared" si="10"/>
        <v>25771</v>
      </c>
      <c r="F175" s="161">
        <f t="shared" si="11"/>
        <v>1.4552881889621493E-2</v>
      </c>
    </row>
    <row r="176" spans="1:6" ht="15" customHeight="1" x14ac:dyDescent="0.2">
      <c r="A176" s="147">
        <v>7</v>
      </c>
      <c r="B176" s="169" t="s">
        <v>302</v>
      </c>
      <c r="C176" s="157">
        <v>113768</v>
      </c>
      <c r="D176" s="157">
        <v>126127</v>
      </c>
      <c r="E176" s="157">
        <f t="shared" si="10"/>
        <v>12359</v>
      </c>
      <c r="F176" s="161">
        <f t="shared" si="11"/>
        <v>0.1086333591167991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573562</v>
      </c>
      <c r="D179" s="157">
        <v>577567</v>
      </c>
      <c r="E179" s="157">
        <f t="shared" si="10"/>
        <v>4005</v>
      </c>
      <c r="F179" s="161">
        <f t="shared" si="11"/>
        <v>6.9826801636091651E-3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595420</v>
      </c>
      <c r="D181" s="157">
        <v>365166</v>
      </c>
      <c r="E181" s="157">
        <f t="shared" si="10"/>
        <v>-230254</v>
      </c>
      <c r="F181" s="161">
        <f t="shared" si="11"/>
        <v>-0.38670854186960463</v>
      </c>
    </row>
    <row r="182" spans="1:6" ht="15" customHeight="1" x14ac:dyDescent="0.2">
      <c r="A182" s="147">
        <v>13</v>
      </c>
      <c r="B182" s="169" t="s">
        <v>308</v>
      </c>
      <c r="C182" s="157">
        <v>567305</v>
      </c>
      <c r="D182" s="157">
        <v>229019</v>
      </c>
      <c r="E182" s="157">
        <f t="shared" si="10"/>
        <v>-338286</v>
      </c>
      <c r="F182" s="161">
        <f t="shared" si="11"/>
        <v>-0.59630357567798631</v>
      </c>
    </row>
    <row r="183" spans="1:6" ht="15.75" customHeight="1" x14ac:dyDescent="0.25">
      <c r="A183" s="147"/>
      <c r="B183" s="165" t="s">
        <v>309</v>
      </c>
      <c r="C183" s="158">
        <f>SUM(C170:C182)</f>
        <v>14904247</v>
      </c>
      <c r="D183" s="158">
        <f>SUM(D170:D182)</f>
        <v>14986520</v>
      </c>
      <c r="E183" s="158">
        <f t="shared" si="10"/>
        <v>82273</v>
      </c>
      <c r="F183" s="159">
        <f t="shared" si="11"/>
        <v>5.5201044373459456E-3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670</v>
      </c>
      <c r="D186" s="157">
        <v>6284056</v>
      </c>
      <c r="E186" s="157">
        <f>D186-C186</f>
        <v>6283386</v>
      </c>
      <c r="F186" s="161">
        <f>IF(C186=0,0,E186/C186)</f>
        <v>9378.1880597014933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130275487</v>
      </c>
      <c r="D188" s="158">
        <f>+D186+D183+D167+D130+D121</f>
        <v>141153441</v>
      </c>
      <c r="E188" s="158">
        <f>D188-C188</f>
        <v>10877954</v>
      </c>
      <c r="F188" s="159">
        <f>IF(C188=0,0,E188/C188)</f>
        <v>8.3499622611274527E-2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FILING&amp;RGRIFFIN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125805820</v>
      </c>
      <c r="D11" s="183">
        <v>135897993</v>
      </c>
      <c r="E11" s="76">
        <v>142949359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3714050</v>
      </c>
      <c r="D12" s="185">
        <v>3270624</v>
      </c>
      <c r="E12" s="185">
        <v>5691910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129519870</v>
      </c>
      <c r="D13" s="76">
        <f>+D11+D12</f>
        <v>139168617</v>
      </c>
      <c r="E13" s="76">
        <f>+E11+E12</f>
        <v>148641269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127376540</v>
      </c>
      <c r="D14" s="185">
        <v>130275487</v>
      </c>
      <c r="E14" s="185">
        <v>141153441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2143330</v>
      </c>
      <c r="D15" s="76">
        <f>+D13-D14</f>
        <v>8893130</v>
      </c>
      <c r="E15" s="76">
        <f>+E13-E14</f>
        <v>7487828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2179666</v>
      </c>
      <c r="D16" s="185">
        <v>-1059000</v>
      </c>
      <c r="E16" s="185">
        <v>-2396689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4322996</v>
      </c>
      <c r="D17" s="76">
        <f>D15+D16</f>
        <v>7834130</v>
      </c>
      <c r="E17" s="76">
        <f>E15+E16</f>
        <v>5091139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1.6274392948506668E-2</v>
      </c>
      <c r="D20" s="189">
        <f>IF(+D27=0,0,+D24/+D27)</f>
        <v>6.4391822909768845E-2</v>
      </c>
      <c r="E20" s="189">
        <f>IF(+E27=0,0,+E24/+E27)</f>
        <v>5.1200721421607559E-2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1.6550293692758341E-2</v>
      </c>
      <c r="D21" s="189">
        <f>IF(D27=0,0,+D26/D27)</f>
        <v>-7.6678222922014188E-3</v>
      </c>
      <c r="E21" s="189">
        <f>IF(E27=0,0,+E26/E27)</f>
        <v>-1.6388224438813392E-2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3.2824686641265005E-2</v>
      </c>
      <c r="D22" s="189">
        <f>IF(D27=0,0,+D28/D27)</f>
        <v>5.6724000617567424E-2</v>
      </c>
      <c r="E22" s="189">
        <f>IF(E27=0,0,+E28/E27)</f>
        <v>3.4812496982794164E-2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2143330</v>
      </c>
      <c r="D24" s="76">
        <f>+D15</f>
        <v>8893130</v>
      </c>
      <c r="E24" s="76">
        <f>+E15</f>
        <v>7487828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129519870</v>
      </c>
      <c r="D25" s="76">
        <f>+D13</f>
        <v>139168617</v>
      </c>
      <c r="E25" s="76">
        <f>+E13</f>
        <v>148641269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2179666</v>
      </c>
      <c r="D26" s="76">
        <f>+D16</f>
        <v>-1059000</v>
      </c>
      <c r="E26" s="76">
        <f>+E16</f>
        <v>-2396689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131699536</v>
      </c>
      <c r="D27" s="76">
        <f>+D25+D26</f>
        <v>138109617</v>
      </c>
      <c r="E27" s="76">
        <f>+E25+E26</f>
        <v>146244580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4322996</v>
      </c>
      <c r="D28" s="76">
        <f>+D17</f>
        <v>7834130</v>
      </c>
      <c r="E28" s="76">
        <f>+E17</f>
        <v>5091139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-22179759</v>
      </c>
      <c r="D31" s="76">
        <v>-26106535</v>
      </c>
      <c r="E31" s="76">
        <v>-39254442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-13707175</v>
      </c>
      <c r="D32" s="76">
        <v>-16666559</v>
      </c>
      <c r="E32" s="76">
        <v>-29576383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16328470</v>
      </c>
      <c r="D33" s="76">
        <f>+D32-C32</f>
        <v>-2959384</v>
      </c>
      <c r="E33" s="76">
        <f>+E32-D32</f>
        <v>-12909824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0.45629999999999998</v>
      </c>
      <c r="D34" s="193">
        <f>IF(C32=0,0,+D33/C32)</f>
        <v>0.21590035875371841</v>
      </c>
      <c r="E34" s="193">
        <f>IF(D32=0,0,+E33/D32)</f>
        <v>0.77459444388010745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0.28476722803462273</v>
      </c>
      <c r="D38" s="195">
        <f>IF((D40+D41)=0,0,+D39/(D40+D41))</f>
        <v>0.26795202434586024</v>
      </c>
      <c r="E38" s="195">
        <f>IF((E40+E41)=0,0,+E39/(E40+E41))</f>
        <v>0.272759459192569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127376540</v>
      </c>
      <c r="D39" s="76">
        <v>130275487</v>
      </c>
      <c r="E39" s="196">
        <v>141153441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443697091</v>
      </c>
      <c r="D40" s="76">
        <v>482918974</v>
      </c>
      <c r="E40" s="196">
        <v>511809633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3603467</v>
      </c>
      <c r="D41" s="76">
        <v>3270624</v>
      </c>
      <c r="E41" s="196">
        <v>5691910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1.2964233928823623</v>
      </c>
      <c r="D43" s="197">
        <f>IF(D38=0,0,IF((D46-D47)=0,0,((+D44-D45)/(D46-D47)/D38)))</f>
        <v>1.394746637045575</v>
      </c>
      <c r="E43" s="197">
        <f>IF(E38=0,0,IF((E46-E47)=0,0,((+E44-E45)/(E46-E47)/E38)))</f>
        <v>1.4302925305565732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63096738</v>
      </c>
      <c r="D44" s="76">
        <v>67118452</v>
      </c>
      <c r="E44" s="196">
        <v>68513498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800213</v>
      </c>
      <c r="D45" s="76">
        <v>817320</v>
      </c>
      <c r="E45" s="196">
        <v>340041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174238817</v>
      </c>
      <c r="D46" s="76">
        <v>181677769</v>
      </c>
      <c r="E46" s="196">
        <v>177605406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5495355</v>
      </c>
      <c r="D47" s="76">
        <v>4271657</v>
      </c>
      <c r="E47" s="76">
        <v>2858045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0.90802847571077339</v>
      </c>
      <c r="D49" s="198">
        <f>IF(D38=0,0,IF(D51=0,0,(D50/D51)/D38))</f>
        <v>0.95037839007329894</v>
      </c>
      <c r="E49" s="198">
        <f>IF(E38=0,0,IF(E51=0,0,(E50/E51)/E38))</f>
        <v>0.88926850658145917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50848341</v>
      </c>
      <c r="D50" s="199">
        <v>53617301</v>
      </c>
      <c r="E50" s="199">
        <v>55073071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196646994</v>
      </c>
      <c r="D51" s="199">
        <v>210548113</v>
      </c>
      <c r="E51" s="199">
        <v>227052643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0.60562300586704065</v>
      </c>
      <c r="D53" s="198">
        <f>IF(D38=0,0,IF(D55=0,0,(D54/D55)/D38))</f>
        <v>0.75273926345778397</v>
      </c>
      <c r="E53" s="198">
        <f>IF(E38=0,0,IF(E55=0,0,(E54/E55)/E38))</f>
        <v>0.70053800212596051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12422003</v>
      </c>
      <c r="D54" s="199">
        <v>18203346</v>
      </c>
      <c r="E54" s="199">
        <v>20366801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72027652</v>
      </c>
      <c r="D55" s="199">
        <v>90250499</v>
      </c>
      <c r="E55" s="199">
        <v>106588733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2056918.3965488814</v>
      </c>
      <c r="D57" s="88">
        <f>+D60*D38</f>
        <v>1296762.9321906185</v>
      </c>
      <c r="E57" s="88">
        <f>+E60*E38</f>
        <v>1338322.926271555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4849739</v>
      </c>
      <c r="D58" s="199">
        <v>3784978</v>
      </c>
      <c r="E58" s="199">
        <v>3122499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2373418</v>
      </c>
      <c r="D59" s="199">
        <v>1054556</v>
      </c>
      <c r="E59" s="199">
        <v>1784106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7223157</v>
      </c>
      <c r="D60" s="76">
        <v>4839534</v>
      </c>
      <c r="E60" s="201">
        <v>4906605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1.6148329955805688E-2</v>
      </c>
      <c r="D62" s="202">
        <f>IF(D63=0,0,+D57/D63)</f>
        <v>9.9540056387631727E-3</v>
      </c>
      <c r="E62" s="202">
        <f>IF(E63=0,0,+E57/E63)</f>
        <v>9.4813340488919071E-3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127376540</v>
      </c>
      <c r="D63" s="199">
        <v>130275487</v>
      </c>
      <c r="E63" s="199">
        <v>141153441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1.0646149637952866</v>
      </c>
      <c r="D67" s="203">
        <f>IF(D69=0,0,D68/D69)</f>
        <v>1.0844109388106191</v>
      </c>
      <c r="E67" s="203">
        <f>IF(E69=0,0,E68/E69)</f>
        <v>1.0355604404230294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34639590</v>
      </c>
      <c r="D68" s="204">
        <v>33998532</v>
      </c>
      <c r="E68" s="204">
        <v>33245301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32537200</v>
      </c>
      <c r="D69" s="204">
        <v>31352074</v>
      </c>
      <c r="E69" s="204">
        <v>32103680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42.793893114035164</v>
      </c>
      <c r="D71" s="203">
        <f>IF((D77/365)=0,0,+D74/(D77/365))</f>
        <v>45.594634094374157</v>
      </c>
      <c r="E71" s="203">
        <f>IF((E77/365)=0,0,+E74/(E77/365))</f>
        <v>39.145854076032904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5178405</v>
      </c>
      <c r="D72" s="183">
        <v>7492599</v>
      </c>
      <c r="E72" s="183">
        <v>6748148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9040563</v>
      </c>
      <c r="D73" s="206">
        <v>8062643</v>
      </c>
      <c r="E73" s="206">
        <v>7914147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14218968</v>
      </c>
      <c r="D74" s="204">
        <f>+D72+D73</f>
        <v>15555242</v>
      </c>
      <c r="E74" s="204">
        <f>+E72+E73</f>
        <v>14662295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127376540</v>
      </c>
      <c r="D75" s="204">
        <f>+D14</f>
        <v>130275487</v>
      </c>
      <c r="E75" s="204">
        <f>+E14</f>
        <v>141153441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6099345</v>
      </c>
      <c r="D76" s="204">
        <v>5750673</v>
      </c>
      <c r="E76" s="204">
        <v>4440683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121277195</v>
      </c>
      <c r="D77" s="204">
        <f>+D75-D76</f>
        <v>124524814</v>
      </c>
      <c r="E77" s="204">
        <f>+E75-E76</f>
        <v>136712758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41.835023173013781</v>
      </c>
      <c r="D79" s="203">
        <f>IF((D84/365)=0,0,+D83/(D84/365))</f>
        <v>33.979055489068188</v>
      </c>
      <c r="E79" s="203">
        <f>IF((E84/365)=0,0,+E83/(E84/365))</f>
        <v>30.935914794833042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14419423</v>
      </c>
      <c r="D80" s="212">
        <v>12651193</v>
      </c>
      <c r="E80" s="212">
        <v>13268952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1153146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14419423</v>
      </c>
      <c r="D83" s="212">
        <f>+D80+D81-D82</f>
        <v>12651193</v>
      </c>
      <c r="E83" s="212">
        <f>+E80+E81-E82</f>
        <v>12115806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125805820</v>
      </c>
      <c r="D84" s="204">
        <f>+D11</f>
        <v>135897993</v>
      </c>
      <c r="E84" s="204">
        <f>+E11</f>
        <v>142949359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97.925071568484086</v>
      </c>
      <c r="D86" s="203">
        <f>IF((D90/365)=0,0,+D87/(D90/365))</f>
        <v>91.897402954562949</v>
      </c>
      <c r="E86" s="203">
        <f>IF((E90/365)=0,0,+E87/(E90/365))</f>
        <v>85.711409611091312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32537200</v>
      </c>
      <c r="D87" s="76">
        <f>+D69</f>
        <v>31352074</v>
      </c>
      <c r="E87" s="76">
        <f>+E69</f>
        <v>32103680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127376540</v>
      </c>
      <c r="D88" s="76">
        <f t="shared" si="0"/>
        <v>130275487</v>
      </c>
      <c r="E88" s="76">
        <f t="shared" si="0"/>
        <v>141153441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6099345</v>
      </c>
      <c r="D89" s="201">
        <f t="shared" si="0"/>
        <v>5750673</v>
      </c>
      <c r="E89" s="201">
        <f t="shared" si="0"/>
        <v>4440683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121277195</v>
      </c>
      <c r="D90" s="76">
        <f>+D88-D89</f>
        <v>124524814</v>
      </c>
      <c r="E90" s="76">
        <f>+E88-E89</f>
        <v>136712758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-11.436281406957194</v>
      </c>
      <c r="D94" s="214">
        <f>IF(D96=0,0,(D95/D96)*100)</f>
        <v>-13.994331939877913</v>
      </c>
      <c r="E94" s="214">
        <f>IF(E96=0,0,(E95/E96)*100)</f>
        <v>-25.511613313746505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-13707175</v>
      </c>
      <c r="D95" s="76">
        <f>+D32</f>
        <v>-16666559</v>
      </c>
      <c r="E95" s="76">
        <f>+E32</f>
        <v>-29576383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119856923</v>
      </c>
      <c r="D96" s="76">
        <v>119095067</v>
      </c>
      <c r="E96" s="76">
        <v>115933017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13.635487436111418</v>
      </c>
      <c r="D98" s="214">
        <f>IF(D104=0,0,(D101/D104)*100)</f>
        <v>18.421918302645331</v>
      </c>
      <c r="E98" s="214">
        <f>IF(E104=0,0,(E101/E104)*100)</f>
        <v>13.01015834990549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4322996</v>
      </c>
      <c r="D99" s="76">
        <f>+D28</f>
        <v>7834130</v>
      </c>
      <c r="E99" s="76">
        <f>+E28</f>
        <v>5091139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6099345</v>
      </c>
      <c r="D100" s="201">
        <f>+D76</f>
        <v>5750673</v>
      </c>
      <c r="E100" s="201">
        <f>+E76</f>
        <v>4440683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10422341</v>
      </c>
      <c r="D101" s="76">
        <f>+D99+D100</f>
        <v>13584803</v>
      </c>
      <c r="E101" s="76">
        <f>+E99+E100</f>
        <v>9531822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32537200</v>
      </c>
      <c r="D102" s="204">
        <f>+D69</f>
        <v>31352074</v>
      </c>
      <c r="E102" s="204">
        <f>+E69</f>
        <v>32103680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43898212</v>
      </c>
      <c r="D103" s="216">
        <v>42390534</v>
      </c>
      <c r="E103" s="216">
        <v>41160778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76435412</v>
      </c>
      <c r="D104" s="204">
        <f>+D102+D103</f>
        <v>73742608</v>
      </c>
      <c r="E104" s="204">
        <f>+E102+E103</f>
        <v>73264458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145.40147130421522</v>
      </c>
      <c r="D106" s="214">
        <f>IF(D109=0,0,(D107/D109)*100)</f>
        <v>164.78998288561547</v>
      </c>
      <c r="E106" s="214">
        <f>IF(E109=0,0,(E107/E109)*100)</f>
        <v>355.31228001117017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43898212</v>
      </c>
      <c r="D107" s="204">
        <f>+D103</f>
        <v>42390534</v>
      </c>
      <c r="E107" s="204">
        <f>+E103</f>
        <v>41160778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-13707175</v>
      </c>
      <c r="D108" s="204">
        <f>+D32</f>
        <v>-16666559</v>
      </c>
      <c r="E108" s="204">
        <f>+E32</f>
        <v>-29576383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30191037</v>
      </c>
      <c r="D109" s="204">
        <f>+D107+D108</f>
        <v>25723975</v>
      </c>
      <c r="E109" s="204">
        <f>+E107+E108</f>
        <v>11584395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2.9352465213933399</v>
      </c>
      <c r="D111" s="214">
        <f>IF((+D113+D115)=0,0,((+D112+D113+D114)/(+D113+D115)))</f>
        <v>3.0722507162804322</v>
      </c>
      <c r="E111" s="214">
        <f>IF((+E113+E115)=0,0,((+E112+E113+E114)/(+E113+E115)))</f>
        <v>2.6532552026720797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4322996</v>
      </c>
      <c r="D112" s="76">
        <f>+D17</f>
        <v>7834130</v>
      </c>
      <c r="E112" s="76">
        <f>+E17</f>
        <v>5091139</v>
      </c>
    </row>
    <row r="113" spans="1:8" ht="24" customHeight="1" x14ac:dyDescent="0.2">
      <c r="A113" s="85">
        <v>17</v>
      </c>
      <c r="B113" s="75" t="s">
        <v>88</v>
      </c>
      <c r="C113" s="218">
        <v>2450664</v>
      </c>
      <c r="D113" s="76">
        <v>3531142</v>
      </c>
      <c r="E113" s="76">
        <v>2123883</v>
      </c>
    </row>
    <row r="114" spans="1:8" ht="24" customHeight="1" x14ac:dyDescent="0.2">
      <c r="A114" s="85">
        <v>18</v>
      </c>
      <c r="B114" s="75" t="s">
        <v>374</v>
      </c>
      <c r="C114" s="218">
        <v>6099345</v>
      </c>
      <c r="D114" s="76">
        <v>5750673</v>
      </c>
      <c r="E114" s="76">
        <v>4440683</v>
      </c>
    </row>
    <row r="115" spans="1:8" ht="24" customHeight="1" x14ac:dyDescent="0.2">
      <c r="A115" s="85">
        <v>19</v>
      </c>
      <c r="B115" s="75" t="s">
        <v>104</v>
      </c>
      <c r="C115" s="218">
        <v>1935000</v>
      </c>
      <c r="D115" s="76">
        <v>2040000</v>
      </c>
      <c r="E115" s="76">
        <v>2269100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15.465300618345085</v>
      </c>
      <c r="D119" s="214">
        <f>IF(+D121=0,0,(+D120)/(+D121))</f>
        <v>17.209894215859606</v>
      </c>
      <c r="E119" s="214">
        <f>IF(+E121=0,0,(+E120)/(+E121))</f>
        <v>22.843528799511247</v>
      </c>
    </row>
    <row r="120" spans="1:8" ht="24" customHeight="1" x14ac:dyDescent="0.2">
      <c r="A120" s="85">
        <v>21</v>
      </c>
      <c r="B120" s="75" t="s">
        <v>378</v>
      </c>
      <c r="C120" s="218">
        <v>94328204</v>
      </c>
      <c r="D120" s="218">
        <v>98968474</v>
      </c>
      <c r="E120" s="218">
        <v>101440870</v>
      </c>
    </row>
    <row r="121" spans="1:8" ht="24" customHeight="1" x14ac:dyDescent="0.2">
      <c r="A121" s="85">
        <v>22</v>
      </c>
      <c r="B121" s="75" t="s">
        <v>374</v>
      </c>
      <c r="C121" s="218">
        <v>6099345</v>
      </c>
      <c r="D121" s="218">
        <v>5750673</v>
      </c>
      <c r="E121" s="218">
        <v>4440683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31271</v>
      </c>
      <c r="D124" s="218">
        <v>30806</v>
      </c>
      <c r="E124" s="218">
        <v>30594</v>
      </c>
    </row>
    <row r="125" spans="1:8" ht="24" customHeight="1" x14ac:dyDescent="0.2">
      <c r="A125" s="85">
        <v>2</v>
      </c>
      <c r="B125" s="75" t="s">
        <v>381</v>
      </c>
      <c r="C125" s="218">
        <v>7176</v>
      </c>
      <c r="D125" s="218">
        <v>6935</v>
      </c>
      <c r="E125" s="218">
        <v>6950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4.357720178372352</v>
      </c>
      <c r="D126" s="219">
        <f>IF(D125=0,0,D124/D125)</f>
        <v>4.4421052631578943</v>
      </c>
      <c r="E126" s="219">
        <f>IF(E125=0,0,E124/E125)</f>
        <v>4.4020143884892082</v>
      </c>
    </row>
    <row r="127" spans="1:8" ht="24" customHeight="1" x14ac:dyDescent="0.2">
      <c r="A127" s="85">
        <v>4</v>
      </c>
      <c r="B127" s="75" t="s">
        <v>383</v>
      </c>
      <c r="C127" s="218">
        <v>88</v>
      </c>
      <c r="D127" s="218">
        <v>86</v>
      </c>
      <c r="E127" s="218">
        <v>86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180</v>
      </c>
      <c r="E128" s="218">
        <v>180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180</v>
      </c>
      <c r="D129" s="218">
        <v>180</v>
      </c>
      <c r="E129" s="218">
        <v>180</v>
      </c>
    </row>
    <row r="130" spans="1:7" ht="24" customHeight="1" x14ac:dyDescent="0.2">
      <c r="A130" s="85">
        <v>7</v>
      </c>
      <c r="B130" s="75" t="s">
        <v>386</v>
      </c>
      <c r="C130" s="193">
        <v>0.97350000000000003</v>
      </c>
      <c r="D130" s="193">
        <v>0.98129999999999995</v>
      </c>
      <c r="E130" s="193">
        <v>0.97460000000000002</v>
      </c>
    </row>
    <row r="131" spans="1:7" ht="24" customHeight="1" x14ac:dyDescent="0.2">
      <c r="A131" s="85">
        <v>8</v>
      </c>
      <c r="B131" s="75" t="s">
        <v>387</v>
      </c>
      <c r="C131" s="193">
        <v>0.47589999999999999</v>
      </c>
      <c r="D131" s="193">
        <v>0.46879999999999999</v>
      </c>
      <c r="E131" s="193">
        <v>0.46560000000000001</v>
      </c>
    </row>
    <row r="132" spans="1:7" ht="24" customHeight="1" x14ac:dyDescent="0.2">
      <c r="A132" s="85">
        <v>9</v>
      </c>
      <c r="B132" s="75" t="s">
        <v>388</v>
      </c>
      <c r="C132" s="219">
        <v>902.4</v>
      </c>
      <c r="D132" s="219">
        <v>924.2</v>
      </c>
      <c r="E132" s="219">
        <v>968.5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0.38031230184468351</v>
      </c>
      <c r="D135" s="227">
        <f>IF(D149=0,0,D143/D149)</f>
        <v>0.36736206600157317</v>
      </c>
      <c r="E135" s="227">
        <f>IF(E149=0,0,E143/E149)</f>
        <v>0.34143038687198762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0.4432009990347221</v>
      </c>
      <c r="D136" s="227">
        <f>IF(D149=0,0,D144/D149)</f>
        <v>0.43599055811793386</v>
      </c>
      <c r="E136" s="227">
        <f>IF(E149=0,0,E144/E149)</f>
        <v>0.44362713860838959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0.16233519096928223</v>
      </c>
      <c r="D137" s="227">
        <f>IF(D149=0,0,D145/D149)</f>
        <v>0.18688538628428378</v>
      </c>
      <c r="E137" s="227">
        <f>IF(E149=0,0,E145/E149)</f>
        <v>0.20825855186668596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1.2385375319037195E-2</v>
      </c>
      <c r="D139" s="227">
        <f>IF(D149=0,0,D147/D149)</f>
        <v>8.8454942339871705E-3</v>
      </c>
      <c r="E139" s="227">
        <f>IF(E149=0,0,E147/E149)</f>
        <v>5.5841954033717849E-3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1.766132832274981E-3</v>
      </c>
      <c r="D140" s="227">
        <f>IF(D149=0,0,D148/D149)</f>
        <v>9.1649536222198637E-4</v>
      </c>
      <c r="E140" s="227">
        <f>IF(E149=0,0,E148/E149)</f>
        <v>1.0997272495650741E-3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168743462</v>
      </c>
      <c r="D143" s="229">
        <f>+D46-D147</f>
        <v>177406112</v>
      </c>
      <c r="E143" s="229">
        <f>+E46-E147</f>
        <v>174747361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196646994</v>
      </c>
      <c r="D144" s="229">
        <f>+D51</f>
        <v>210548113</v>
      </c>
      <c r="E144" s="229">
        <f>+E51</f>
        <v>227052643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72027652</v>
      </c>
      <c r="D145" s="229">
        <f>+D55</f>
        <v>90250499</v>
      </c>
      <c r="E145" s="229">
        <f>+E55</f>
        <v>106588733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5495355</v>
      </c>
      <c r="D147" s="229">
        <f>+D47</f>
        <v>4271657</v>
      </c>
      <c r="E147" s="229">
        <f>+E47</f>
        <v>2858045</v>
      </c>
    </row>
    <row r="148" spans="1:7" ht="20.100000000000001" customHeight="1" x14ac:dyDescent="0.2">
      <c r="A148" s="226">
        <v>13</v>
      </c>
      <c r="B148" s="224" t="s">
        <v>402</v>
      </c>
      <c r="C148" s="230">
        <v>783628</v>
      </c>
      <c r="D148" s="229">
        <v>442593</v>
      </c>
      <c r="E148" s="229">
        <v>562851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443697091</v>
      </c>
      <c r="D149" s="229">
        <f>SUM(D143:D148)</f>
        <v>482918974</v>
      </c>
      <c r="E149" s="229">
        <f>SUM(E143:E148)</f>
        <v>511809633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0.49286714994076564</v>
      </c>
      <c r="D152" s="227">
        <f>IF(D166=0,0,D160/D166)</f>
        <v>0.47681465403185502</v>
      </c>
      <c r="E152" s="227">
        <f>IF(E166=0,0,E160/E166)</f>
        <v>0.47332753385496701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0.40229333671318229</v>
      </c>
      <c r="D153" s="227">
        <f>IF(D166=0,0,D161/D166)</f>
        <v>0.38559695823046936</v>
      </c>
      <c r="E153" s="227">
        <f>IF(E166=0,0,E161/E166)</f>
        <v>0.38237170337789239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9.8278310309694486E-2</v>
      </c>
      <c r="D154" s="227">
        <f>IF(D166=0,0,D162/D166)</f>
        <v>0.13091212568153665</v>
      </c>
      <c r="E154" s="227">
        <f>IF(E166=0,0,E162/E166)</f>
        <v>0.14140646688703018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6.3309903827789733E-3</v>
      </c>
      <c r="D156" s="227">
        <f>IF(D166=0,0,D164/D166)</f>
        <v>5.8778808336683568E-3</v>
      </c>
      <c r="E156" s="227">
        <f>IF(E166=0,0,E164/E166)</f>
        <v>2.3609007819506179E-3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2.302126535786129E-4</v>
      </c>
      <c r="D157" s="227">
        <f>IF(D166=0,0,D165/D166)</f>
        <v>7.9838122247062669E-4</v>
      </c>
      <c r="E157" s="227">
        <f>IF(E166=0,0,E165/E166)</f>
        <v>5.3339509815979907E-4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62296525</v>
      </c>
      <c r="D160" s="229">
        <f>+D44-D164</f>
        <v>66301132</v>
      </c>
      <c r="E160" s="229">
        <f>+E44-E164</f>
        <v>68173457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50848341</v>
      </c>
      <c r="D161" s="229">
        <f>+D50</f>
        <v>53617301</v>
      </c>
      <c r="E161" s="229">
        <f>+E50</f>
        <v>55073071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12422003</v>
      </c>
      <c r="D162" s="229">
        <f>+D54</f>
        <v>18203346</v>
      </c>
      <c r="E162" s="229">
        <f>+E54</f>
        <v>20366801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800213</v>
      </c>
      <c r="D164" s="229">
        <f>+D45</f>
        <v>817320</v>
      </c>
      <c r="E164" s="229">
        <f>+E45</f>
        <v>340041</v>
      </c>
    </row>
    <row r="165" spans="1:6" ht="20.100000000000001" customHeight="1" x14ac:dyDescent="0.2">
      <c r="A165" s="226">
        <v>13</v>
      </c>
      <c r="B165" s="224" t="s">
        <v>417</v>
      </c>
      <c r="C165" s="230">
        <v>29098</v>
      </c>
      <c r="D165" s="229">
        <v>111015</v>
      </c>
      <c r="E165" s="229">
        <v>76825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126396180</v>
      </c>
      <c r="D166" s="229">
        <f>SUM(D160:D165)</f>
        <v>139050114</v>
      </c>
      <c r="E166" s="229">
        <f>SUM(E160:E165)</f>
        <v>144030195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2395</v>
      </c>
      <c r="D169" s="218">
        <v>2232</v>
      </c>
      <c r="E169" s="218">
        <v>2030</v>
      </c>
    </row>
    <row r="170" spans="1:6" ht="20.100000000000001" customHeight="1" x14ac:dyDescent="0.2">
      <c r="A170" s="226">
        <v>2</v>
      </c>
      <c r="B170" s="224" t="s">
        <v>420</v>
      </c>
      <c r="C170" s="218">
        <v>3456</v>
      </c>
      <c r="D170" s="218">
        <v>3283</v>
      </c>
      <c r="E170" s="218">
        <v>3387</v>
      </c>
    </row>
    <row r="171" spans="1:6" ht="20.100000000000001" customHeight="1" x14ac:dyDescent="0.2">
      <c r="A171" s="226">
        <v>3</v>
      </c>
      <c r="B171" s="224" t="s">
        <v>421</v>
      </c>
      <c r="C171" s="218">
        <v>1315</v>
      </c>
      <c r="D171" s="218">
        <v>1416</v>
      </c>
      <c r="E171" s="218">
        <v>1523</v>
      </c>
    </row>
    <row r="172" spans="1:6" ht="20.100000000000001" customHeight="1" x14ac:dyDescent="0.2">
      <c r="A172" s="226">
        <v>4</v>
      </c>
      <c r="B172" s="224" t="s">
        <v>422</v>
      </c>
      <c r="C172" s="218">
        <v>1315</v>
      </c>
      <c r="D172" s="218">
        <v>1416</v>
      </c>
      <c r="E172" s="218">
        <v>1523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10</v>
      </c>
      <c r="D174" s="218">
        <v>4</v>
      </c>
      <c r="E174" s="218">
        <v>10</v>
      </c>
    </row>
    <row r="175" spans="1:6" ht="20.100000000000001" customHeight="1" x14ac:dyDescent="0.2">
      <c r="A175" s="226">
        <v>7</v>
      </c>
      <c r="B175" s="224" t="s">
        <v>425</v>
      </c>
      <c r="C175" s="218">
        <v>85</v>
      </c>
      <c r="D175" s="218">
        <v>81</v>
      </c>
      <c r="E175" s="218">
        <v>11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7176</v>
      </c>
      <c r="D176" s="218">
        <f>+D169+D170+D171+D174</f>
        <v>6935</v>
      </c>
      <c r="E176" s="218">
        <f>+E169+E170+E171+E174</f>
        <v>6950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1.0626</v>
      </c>
      <c r="D179" s="231">
        <v>1.0301499999999999</v>
      </c>
      <c r="E179" s="231">
        <v>1.0487</v>
      </c>
    </row>
    <row r="180" spans="1:6" ht="20.100000000000001" customHeight="1" x14ac:dyDescent="0.2">
      <c r="A180" s="226">
        <v>2</v>
      </c>
      <c r="B180" s="224" t="s">
        <v>420</v>
      </c>
      <c r="C180" s="231">
        <v>1.3304</v>
      </c>
      <c r="D180" s="231">
        <v>1.32358</v>
      </c>
      <c r="E180" s="231">
        <v>1.30745</v>
      </c>
    </row>
    <row r="181" spans="1:6" ht="20.100000000000001" customHeight="1" x14ac:dyDescent="0.2">
      <c r="A181" s="226">
        <v>3</v>
      </c>
      <c r="B181" s="224" t="s">
        <v>421</v>
      </c>
      <c r="C181" s="231">
        <v>0.80500000000000005</v>
      </c>
      <c r="D181" s="231">
        <v>0.84899000000000002</v>
      </c>
      <c r="E181" s="231">
        <v>0.87407999999999997</v>
      </c>
    </row>
    <row r="182" spans="1:6" ht="20.100000000000001" customHeight="1" x14ac:dyDescent="0.2">
      <c r="A182" s="226">
        <v>4</v>
      </c>
      <c r="B182" s="224" t="s">
        <v>422</v>
      </c>
      <c r="C182" s="231">
        <v>0.80500000000000005</v>
      </c>
      <c r="D182" s="231">
        <v>0.84899000000000002</v>
      </c>
      <c r="E182" s="231">
        <v>0.87407999999999997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0.43909999999999999</v>
      </c>
      <c r="D184" s="231">
        <v>1.24465</v>
      </c>
      <c r="E184" s="231">
        <v>0.65644999999999998</v>
      </c>
    </row>
    <row r="185" spans="1:6" ht="20.100000000000001" customHeight="1" x14ac:dyDescent="0.2">
      <c r="A185" s="226">
        <v>7</v>
      </c>
      <c r="B185" s="224" t="s">
        <v>425</v>
      </c>
      <c r="C185" s="231">
        <v>1.0423</v>
      </c>
      <c r="D185" s="231">
        <v>0.85394000000000003</v>
      </c>
      <c r="E185" s="231">
        <v>0.92817000000000005</v>
      </c>
    </row>
    <row r="186" spans="1:6" ht="20.100000000000001" customHeight="1" x14ac:dyDescent="0.2">
      <c r="A186" s="226">
        <v>8</v>
      </c>
      <c r="B186" s="224" t="s">
        <v>429</v>
      </c>
      <c r="C186" s="231">
        <v>1.143499</v>
      </c>
      <c r="D186" s="231">
        <v>1.1321920000000001</v>
      </c>
      <c r="E186" s="231">
        <v>1.1359680000000001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5156</v>
      </c>
      <c r="D189" s="218">
        <v>4838</v>
      </c>
      <c r="E189" s="218">
        <v>5022</v>
      </c>
    </row>
    <row r="190" spans="1:6" ht="20.100000000000001" customHeight="1" x14ac:dyDescent="0.2">
      <c r="A190" s="226">
        <v>2</v>
      </c>
      <c r="B190" s="224" t="s">
        <v>433</v>
      </c>
      <c r="C190" s="218">
        <v>34542</v>
      </c>
      <c r="D190" s="218">
        <v>33063</v>
      </c>
      <c r="E190" s="218">
        <v>32181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39698</v>
      </c>
      <c r="D191" s="218">
        <f>+D190+D189</f>
        <v>37901</v>
      </c>
      <c r="E191" s="218">
        <f>+E190+E189</f>
        <v>37203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FILING&amp;RGRIFFIN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763422</v>
      </c>
      <c r="D14" s="258">
        <v>394268</v>
      </c>
      <c r="E14" s="258">
        <f t="shared" ref="E14:E24" si="0">D14-C14</f>
        <v>-369154</v>
      </c>
      <c r="F14" s="259">
        <f t="shared" ref="F14:F24" si="1">IF(C14=0,0,E14/C14)</f>
        <v>-0.48355169224884798</v>
      </c>
    </row>
    <row r="15" spans="1:7" ht="20.25" customHeight="1" x14ac:dyDescent="0.3">
      <c r="A15" s="256">
        <v>2</v>
      </c>
      <c r="B15" s="257" t="s">
        <v>442</v>
      </c>
      <c r="C15" s="258">
        <v>165913</v>
      </c>
      <c r="D15" s="258">
        <v>102208</v>
      </c>
      <c r="E15" s="258">
        <f t="shared" si="0"/>
        <v>-63705</v>
      </c>
      <c r="F15" s="259">
        <f t="shared" si="1"/>
        <v>-0.38396629558865186</v>
      </c>
    </row>
    <row r="16" spans="1:7" ht="20.25" customHeight="1" x14ac:dyDescent="0.3">
      <c r="A16" s="256">
        <v>3</v>
      </c>
      <c r="B16" s="257" t="s">
        <v>443</v>
      </c>
      <c r="C16" s="258">
        <v>458352</v>
      </c>
      <c r="D16" s="258">
        <v>697828</v>
      </c>
      <c r="E16" s="258">
        <f t="shared" si="0"/>
        <v>239476</v>
      </c>
      <c r="F16" s="259">
        <f t="shared" si="1"/>
        <v>0.52247181205710891</v>
      </c>
    </row>
    <row r="17" spans="1:6" ht="20.25" customHeight="1" x14ac:dyDescent="0.3">
      <c r="A17" s="256">
        <v>4</v>
      </c>
      <c r="B17" s="257" t="s">
        <v>444</v>
      </c>
      <c r="C17" s="258">
        <v>107370</v>
      </c>
      <c r="D17" s="258">
        <v>177857</v>
      </c>
      <c r="E17" s="258">
        <f t="shared" si="0"/>
        <v>70487</v>
      </c>
      <c r="F17" s="259">
        <f t="shared" si="1"/>
        <v>0.65648691440812146</v>
      </c>
    </row>
    <row r="18" spans="1:6" ht="20.25" customHeight="1" x14ac:dyDescent="0.3">
      <c r="A18" s="256">
        <v>5</v>
      </c>
      <c r="B18" s="257" t="s">
        <v>381</v>
      </c>
      <c r="C18" s="260">
        <v>16</v>
      </c>
      <c r="D18" s="260">
        <v>12</v>
      </c>
      <c r="E18" s="260">
        <f t="shared" si="0"/>
        <v>-4</v>
      </c>
      <c r="F18" s="259">
        <f t="shared" si="1"/>
        <v>-0.25</v>
      </c>
    </row>
    <row r="19" spans="1:6" ht="20.25" customHeight="1" x14ac:dyDescent="0.3">
      <c r="A19" s="256">
        <v>6</v>
      </c>
      <c r="B19" s="257" t="s">
        <v>380</v>
      </c>
      <c r="C19" s="260">
        <v>118</v>
      </c>
      <c r="D19" s="260">
        <v>46</v>
      </c>
      <c r="E19" s="260">
        <f t="shared" si="0"/>
        <v>-72</v>
      </c>
      <c r="F19" s="259">
        <f t="shared" si="1"/>
        <v>-0.61016949152542377</v>
      </c>
    </row>
    <row r="20" spans="1:6" ht="20.25" customHeight="1" x14ac:dyDescent="0.3">
      <c r="A20" s="256">
        <v>7</v>
      </c>
      <c r="B20" s="257" t="s">
        <v>445</v>
      </c>
      <c r="C20" s="260">
        <v>139</v>
      </c>
      <c r="D20" s="260">
        <v>203</v>
      </c>
      <c r="E20" s="260">
        <f t="shared" si="0"/>
        <v>64</v>
      </c>
      <c r="F20" s="259">
        <f t="shared" si="1"/>
        <v>0.46043165467625902</v>
      </c>
    </row>
    <row r="21" spans="1:6" ht="20.25" customHeight="1" x14ac:dyDescent="0.3">
      <c r="A21" s="256">
        <v>8</v>
      </c>
      <c r="B21" s="257" t="s">
        <v>446</v>
      </c>
      <c r="C21" s="260">
        <v>22</v>
      </c>
      <c r="D21" s="260">
        <v>48</v>
      </c>
      <c r="E21" s="260">
        <f t="shared" si="0"/>
        <v>26</v>
      </c>
      <c r="F21" s="259">
        <f t="shared" si="1"/>
        <v>1.1818181818181819</v>
      </c>
    </row>
    <row r="22" spans="1:6" ht="20.25" customHeight="1" x14ac:dyDescent="0.3">
      <c r="A22" s="256">
        <v>9</v>
      </c>
      <c r="B22" s="257" t="s">
        <v>447</v>
      </c>
      <c r="C22" s="260">
        <v>14</v>
      </c>
      <c r="D22" s="260">
        <v>9</v>
      </c>
      <c r="E22" s="260">
        <f t="shared" si="0"/>
        <v>-5</v>
      </c>
      <c r="F22" s="259">
        <f t="shared" si="1"/>
        <v>-0.35714285714285715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1221774</v>
      </c>
      <c r="D23" s="263">
        <f>+D14+D16</f>
        <v>1092096</v>
      </c>
      <c r="E23" s="263">
        <f t="shared" si="0"/>
        <v>-129678</v>
      </c>
      <c r="F23" s="264">
        <f t="shared" si="1"/>
        <v>-0.10613910592302668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273283</v>
      </c>
      <c r="D24" s="263">
        <f>+D15+D17</f>
        <v>280065</v>
      </c>
      <c r="E24" s="263">
        <f t="shared" si="0"/>
        <v>6782</v>
      </c>
      <c r="F24" s="264">
        <f t="shared" si="1"/>
        <v>2.4816765038440006E-2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11898310</v>
      </c>
      <c r="D40" s="258">
        <v>15573269</v>
      </c>
      <c r="E40" s="258">
        <f t="shared" ref="E40:E50" si="4">D40-C40</f>
        <v>3674959</v>
      </c>
      <c r="F40" s="259">
        <f t="shared" ref="F40:F50" si="5">IF(C40=0,0,E40/C40)</f>
        <v>0.30886394790520671</v>
      </c>
    </row>
    <row r="41" spans="1:6" ht="20.25" customHeight="1" x14ac:dyDescent="0.3">
      <c r="A41" s="256">
        <v>2</v>
      </c>
      <c r="B41" s="257" t="s">
        <v>442</v>
      </c>
      <c r="C41" s="258">
        <v>3043293</v>
      </c>
      <c r="D41" s="258">
        <v>3608424</v>
      </c>
      <c r="E41" s="258">
        <f t="shared" si="4"/>
        <v>565131</v>
      </c>
      <c r="F41" s="259">
        <f t="shared" si="5"/>
        <v>0.18569720365406814</v>
      </c>
    </row>
    <row r="42" spans="1:6" ht="20.25" customHeight="1" x14ac:dyDescent="0.3">
      <c r="A42" s="256">
        <v>3</v>
      </c>
      <c r="B42" s="257" t="s">
        <v>443</v>
      </c>
      <c r="C42" s="258">
        <v>11015867</v>
      </c>
      <c r="D42" s="258">
        <v>14001956</v>
      </c>
      <c r="E42" s="258">
        <f t="shared" si="4"/>
        <v>2986089</v>
      </c>
      <c r="F42" s="259">
        <f t="shared" si="5"/>
        <v>0.27107162786188321</v>
      </c>
    </row>
    <row r="43" spans="1:6" ht="20.25" customHeight="1" x14ac:dyDescent="0.3">
      <c r="A43" s="256">
        <v>4</v>
      </c>
      <c r="B43" s="257" t="s">
        <v>444</v>
      </c>
      <c r="C43" s="258">
        <v>1939731</v>
      </c>
      <c r="D43" s="258">
        <v>2658196</v>
      </c>
      <c r="E43" s="258">
        <f t="shared" si="4"/>
        <v>718465</v>
      </c>
      <c r="F43" s="259">
        <f t="shared" si="5"/>
        <v>0.37039414228055334</v>
      </c>
    </row>
    <row r="44" spans="1:6" ht="20.25" customHeight="1" x14ac:dyDescent="0.3">
      <c r="A44" s="256">
        <v>5</v>
      </c>
      <c r="B44" s="257" t="s">
        <v>381</v>
      </c>
      <c r="C44" s="260">
        <v>292</v>
      </c>
      <c r="D44" s="260">
        <v>393</v>
      </c>
      <c r="E44" s="260">
        <f t="shared" si="4"/>
        <v>101</v>
      </c>
      <c r="F44" s="259">
        <f t="shared" si="5"/>
        <v>0.3458904109589041</v>
      </c>
    </row>
    <row r="45" spans="1:6" ht="20.25" customHeight="1" x14ac:dyDescent="0.3">
      <c r="A45" s="256">
        <v>6</v>
      </c>
      <c r="B45" s="257" t="s">
        <v>380</v>
      </c>
      <c r="C45" s="260">
        <v>1402</v>
      </c>
      <c r="D45" s="260">
        <v>1946</v>
      </c>
      <c r="E45" s="260">
        <f t="shared" si="4"/>
        <v>544</v>
      </c>
      <c r="F45" s="259">
        <f t="shared" si="5"/>
        <v>0.38801711840228248</v>
      </c>
    </row>
    <row r="46" spans="1:6" ht="20.25" customHeight="1" x14ac:dyDescent="0.3">
      <c r="A46" s="256">
        <v>7</v>
      </c>
      <c r="B46" s="257" t="s">
        <v>445</v>
      </c>
      <c r="C46" s="260">
        <v>4661</v>
      </c>
      <c r="D46" s="260">
        <v>5349</v>
      </c>
      <c r="E46" s="260">
        <f t="shared" si="4"/>
        <v>688</v>
      </c>
      <c r="F46" s="259">
        <f t="shared" si="5"/>
        <v>0.14760780948294358</v>
      </c>
    </row>
    <row r="47" spans="1:6" ht="20.25" customHeight="1" x14ac:dyDescent="0.3">
      <c r="A47" s="256">
        <v>8</v>
      </c>
      <c r="B47" s="257" t="s">
        <v>446</v>
      </c>
      <c r="C47" s="260">
        <v>638</v>
      </c>
      <c r="D47" s="260">
        <v>762</v>
      </c>
      <c r="E47" s="260">
        <f t="shared" si="4"/>
        <v>124</v>
      </c>
      <c r="F47" s="259">
        <f t="shared" si="5"/>
        <v>0.19435736677115986</v>
      </c>
    </row>
    <row r="48" spans="1:6" ht="20.25" customHeight="1" x14ac:dyDescent="0.3">
      <c r="A48" s="256">
        <v>9</v>
      </c>
      <c r="B48" s="257" t="s">
        <v>447</v>
      </c>
      <c r="C48" s="260">
        <v>261</v>
      </c>
      <c r="D48" s="260">
        <v>347</v>
      </c>
      <c r="E48" s="260">
        <f t="shared" si="4"/>
        <v>86</v>
      </c>
      <c r="F48" s="259">
        <f t="shared" si="5"/>
        <v>0.32950191570881227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22914177</v>
      </c>
      <c r="D49" s="263">
        <f>+D40+D42</f>
        <v>29575225</v>
      </c>
      <c r="E49" s="263">
        <f t="shared" si="4"/>
        <v>6661048</v>
      </c>
      <c r="F49" s="264">
        <f t="shared" si="5"/>
        <v>0.29069549388572846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4983024</v>
      </c>
      <c r="D50" s="263">
        <f>+D41+D43</f>
        <v>6266620</v>
      </c>
      <c r="E50" s="263">
        <f t="shared" si="4"/>
        <v>1283596</v>
      </c>
      <c r="F50" s="264">
        <f t="shared" si="5"/>
        <v>0.25759378241003855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16321401</v>
      </c>
      <c r="D92" s="258">
        <v>15670124</v>
      </c>
      <c r="E92" s="258">
        <f t="shared" ref="E92:E102" si="12">D92-C92</f>
        <v>-651277</v>
      </c>
      <c r="F92" s="259">
        <f t="shared" ref="F92:F102" si="13">IF(C92=0,0,E92/C92)</f>
        <v>-3.990325340330772E-2</v>
      </c>
    </row>
    <row r="93" spans="1:6" ht="20.25" customHeight="1" x14ac:dyDescent="0.3">
      <c r="A93" s="256">
        <v>2</v>
      </c>
      <c r="B93" s="257" t="s">
        <v>442</v>
      </c>
      <c r="C93" s="258">
        <v>4253103</v>
      </c>
      <c r="D93" s="258">
        <v>3711607</v>
      </c>
      <c r="E93" s="258">
        <f t="shared" si="12"/>
        <v>-541496</v>
      </c>
      <c r="F93" s="259">
        <f t="shared" si="13"/>
        <v>-0.12731786650828819</v>
      </c>
    </row>
    <row r="94" spans="1:6" ht="20.25" customHeight="1" x14ac:dyDescent="0.3">
      <c r="A94" s="256">
        <v>3</v>
      </c>
      <c r="B94" s="257" t="s">
        <v>443</v>
      </c>
      <c r="C94" s="258">
        <v>9907663</v>
      </c>
      <c r="D94" s="258">
        <v>11162425</v>
      </c>
      <c r="E94" s="258">
        <f t="shared" si="12"/>
        <v>1254762</v>
      </c>
      <c r="F94" s="259">
        <f t="shared" si="13"/>
        <v>0.1266456075464012</v>
      </c>
    </row>
    <row r="95" spans="1:6" ht="20.25" customHeight="1" x14ac:dyDescent="0.3">
      <c r="A95" s="256">
        <v>4</v>
      </c>
      <c r="B95" s="257" t="s">
        <v>444</v>
      </c>
      <c r="C95" s="258">
        <v>2005825</v>
      </c>
      <c r="D95" s="258">
        <v>1933826</v>
      </c>
      <c r="E95" s="258">
        <f t="shared" si="12"/>
        <v>-71999</v>
      </c>
      <c r="F95" s="259">
        <f t="shared" si="13"/>
        <v>-3.5894955940822357E-2</v>
      </c>
    </row>
    <row r="96" spans="1:6" ht="20.25" customHeight="1" x14ac:dyDescent="0.3">
      <c r="A96" s="256">
        <v>5</v>
      </c>
      <c r="B96" s="257" t="s">
        <v>381</v>
      </c>
      <c r="C96" s="260">
        <v>413</v>
      </c>
      <c r="D96" s="260">
        <v>416</v>
      </c>
      <c r="E96" s="260">
        <f t="shared" si="12"/>
        <v>3</v>
      </c>
      <c r="F96" s="259">
        <f t="shared" si="13"/>
        <v>7.2639225181598066E-3</v>
      </c>
    </row>
    <row r="97" spans="1:6" ht="20.25" customHeight="1" x14ac:dyDescent="0.3">
      <c r="A97" s="256">
        <v>6</v>
      </c>
      <c r="B97" s="257" t="s">
        <v>380</v>
      </c>
      <c r="C97" s="260">
        <v>2108</v>
      </c>
      <c r="D97" s="260">
        <v>2028</v>
      </c>
      <c r="E97" s="260">
        <f t="shared" si="12"/>
        <v>-80</v>
      </c>
      <c r="F97" s="259">
        <f t="shared" si="13"/>
        <v>-3.7950664136622389E-2</v>
      </c>
    </row>
    <row r="98" spans="1:6" ht="20.25" customHeight="1" x14ac:dyDescent="0.3">
      <c r="A98" s="256">
        <v>7</v>
      </c>
      <c r="B98" s="257" t="s">
        <v>445</v>
      </c>
      <c r="C98" s="260">
        <v>3693</v>
      </c>
      <c r="D98" s="260">
        <v>3567</v>
      </c>
      <c r="E98" s="260">
        <f t="shared" si="12"/>
        <v>-126</v>
      </c>
      <c r="F98" s="259">
        <f t="shared" si="13"/>
        <v>-3.4118602761982128E-2</v>
      </c>
    </row>
    <row r="99" spans="1:6" ht="20.25" customHeight="1" x14ac:dyDescent="0.3">
      <c r="A99" s="256">
        <v>8</v>
      </c>
      <c r="B99" s="257" t="s">
        <v>446</v>
      </c>
      <c r="C99" s="260">
        <v>681</v>
      </c>
      <c r="D99" s="260">
        <v>670</v>
      </c>
      <c r="E99" s="260">
        <f t="shared" si="12"/>
        <v>-11</v>
      </c>
      <c r="F99" s="259">
        <f t="shared" si="13"/>
        <v>-1.6152716593245228E-2</v>
      </c>
    </row>
    <row r="100" spans="1:6" ht="20.25" customHeight="1" x14ac:dyDescent="0.3">
      <c r="A100" s="256">
        <v>9</v>
      </c>
      <c r="B100" s="257" t="s">
        <v>447</v>
      </c>
      <c r="C100" s="260">
        <v>368</v>
      </c>
      <c r="D100" s="260">
        <v>380</v>
      </c>
      <c r="E100" s="260">
        <f t="shared" si="12"/>
        <v>12</v>
      </c>
      <c r="F100" s="259">
        <f t="shared" si="13"/>
        <v>3.2608695652173912E-2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26229064</v>
      </c>
      <c r="D101" s="263">
        <f>+D92+D94</f>
        <v>26832549</v>
      </c>
      <c r="E101" s="263">
        <f t="shared" si="12"/>
        <v>603485</v>
      </c>
      <c r="F101" s="264">
        <f t="shared" si="13"/>
        <v>2.3008255269802994E-2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6258928</v>
      </c>
      <c r="D102" s="263">
        <f>+D93+D95</f>
        <v>5645433</v>
      </c>
      <c r="E102" s="263">
        <f t="shared" si="12"/>
        <v>-613495</v>
      </c>
      <c r="F102" s="264">
        <f t="shared" si="13"/>
        <v>-9.8019181559525853E-2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436074</v>
      </c>
      <c r="D105" s="258">
        <v>2032356</v>
      </c>
      <c r="E105" s="258">
        <f t="shared" ref="E105:E115" si="14">D105-C105</f>
        <v>1596282</v>
      </c>
      <c r="F105" s="259">
        <f t="shared" ref="F105:F115" si="15">IF(C105=0,0,E105/C105)</f>
        <v>3.6605759572916523</v>
      </c>
    </row>
    <row r="106" spans="1:6" ht="20.25" customHeight="1" x14ac:dyDescent="0.3">
      <c r="A106" s="256">
        <v>2</v>
      </c>
      <c r="B106" s="257" t="s">
        <v>442</v>
      </c>
      <c r="C106" s="258">
        <v>252143</v>
      </c>
      <c r="D106" s="258">
        <v>389515</v>
      </c>
      <c r="E106" s="258">
        <f t="shared" si="14"/>
        <v>137372</v>
      </c>
      <c r="F106" s="259">
        <f t="shared" si="15"/>
        <v>0.54481782163296222</v>
      </c>
    </row>
    <row r="107" spans="1:6" ht="20.25" customHeight="1" x14ac:dyDescent="0.3">
      <c r="A107" s="256">
        <v>3</v>
      </c>
      <c r="B107" s="257" t="s">
        <v>443</v>
      </c>
      <c r="C107" s="258">
        <v>322384</v>
      </c>
      <c r="D107" s="258">
        <v>2131878</v>
      </c>
      <c r="E107" s="258">
        <f t="shared" si="14"/>
        <v>1809494</v>
      </c>
      <c r="F107" s="259">
        <f t="shared" si="15"/>
        <v>5.6128529951858654</v>
      </c>
    </row>
    <row r="108" spans="1:6" ht="20.25" customHeight="1" x14ac:dyDescent="0.3">
      <c r="A108" s="256">
        <v>4</v>
      </c>
      <c r="B108" s="257" t="s">
        <v>444</v>
      </c>
      <c r="C108" s="258">
        <v>129452</v>
      </c>
      <c r="D108" s="258">
        <v>580400</v>
      </c>
      <c r="E108" s="258">
        <f t="shared" si="14"/>
        <v>450948</v>
      </c>
      <c r="F108" s="259">
        <f t="shared" si="15"/>
        <v>3.4835151252974077</v>
      </c>
    </row>
    <row r="109" spans="1:6" ht="20.25" customHeight="1" x14ac:dyDescent="0.3">
      <c r="A109" s="256">
        <v>5</v>
      </c>
      <c r="B109" s="257" t="s">
        <v>381</v>
      </c>
      <c r="C109" s="260">
        <v>11</v>
      </c>
      <c r="D109" s="260">
        <v>66</v>
      </c>
      <c r="E109" s="260">
        <f t="shared" si="14"/>
        <v>55</v>
      </c>
      <c r="F109" s="259">
        <f t="shared" si="15"/>
        <v>5</v>
      </c>
    </row>
    <row r="110" spans="1:6" ht="20.25" customHeight="1" x14ac:dyDescent="0.3">
      <c r="A110" s="256">
        <v>6</v>
      </c>
      <c r="B110" s="257" t="s">
        <v>380</v>
      </c>
      <c r="C110" s="260">
        <v>46</v>
      </c>
      <c r="D110" s="260">
        <v>327</v>
      </c>
      <c r="E110" s="260">
        <f t="shared" si="14"/>
        <v>281</v>
      </c>
      <c r="F110" s="259">
        <f t="shared" si="15"/>
        <v>6.1086956521739131</v>
      </c>
    </row>
    <row r="111" spans="1:6" ht="20.25" customHeight="1" x14ac:dyDescent="0.3">
      <c r="A111" s="256">
        <v>7</v>
      </c>
      <c r="B111" s="257" t="s">
        <v>445</v>
      </c>
      <c r="C111" s="260">
        <v>141</v>
      </c>
      <c r="D111" s="260">
        <v>777</v>
      </c>
      <c r="E111" s="260">
        <f t="shared" si="14"/>
        <v>636</v>
      </c>
      <c r="F111" s="259">
        <f t="shared" si="15"/>
        <v>4.5106382978723403</v>
      </c>
    </row>
    <row r="112" spans="1:6" ht="20.25" customHeight="1" x14ac:dyDescent="0.3">
      <c r="A112" s="256">
        <v>8</v>
      </c>
      <c r="B112" s="257" t="s">
        <v>446</v>
      </c>
      <c r="C112" s="260">
        <v>31</v>
      </c>
      <c r="D112" s="260">
        <v>183</v>
      </c>
      <c r="E112" s="260">
        <f t="shared" si="14"/>
        <v>152</v>
      </c>
      <c r="F112" s="259">
        <f t="shared" si="15"/>
        <v>4.903225806451613</v>
      </c>
    </row>
    <row r="113" spans="1:6" ht="20.25" customHeight="1" x14ac:dyDescent="0.3">
      <c r="A113" s="256">
        <v>9</v>
      </c>
      <c r="B113" s="257" t="s">
        <v>447</v>
      </c>
      <c r="C113" s="260">
        <v>8</v>
      </c>
      <c r="D113" s="260">
        <v>65</v>
      </c>
      <c r="E113" s="260">
        <f t="shared" si="14"/>
        <v>57</v>
      </c>
      <c r="F113" s="259">
        <f t="shared" si="15"/>
        <v>7.125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758458</v>
      </c>
      <c r="D114" s="263">
        <f>+D105+D107</f>
        <v>4164234</v>
      </c>
      <c r="E114" s="263">
        <f t="shared" si="14"/>
        <v>3405776</v>
      </c>
      <c r="F114" s="264">
        <f t="shared" si="15"/>
        <v>4.4903949856155512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381595</v>
      </c>
      <c r="D115" s="263">
        <f>+D106+D108</f>
        <v>969915</v>
      </c>
      <c r="E115" s="263">
        <f t="shared" si="14"/>
        <v>588320</v>
      </c>
      <c r="F115" s="264">
        <f t="shared" si="15"/>
        <v>1.5417392785544883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7727272</v>
      </c>
      <c r="D118" s="258">
        <v>8589210</v>
      </c>
      <c r="E118" s="258">
        <f t="shared" ref="E118:E128" si="16">D118-C118</f>
        <v>861938</v>
      </c>
      <c r="F118" s="259">
        <f t="shared" ref="F118:F128" si="17">IF(C118=0,0,E118/C118)</f>
        <v>0.111544928145405</v>
      </c>
    </row>
    <row r="119" spans="1:6" ht="20.25" customHeight="1" x14ac:dyDescent="0.3">
      <c r="A119" s="256">
        <v>2</v>
      </c>
      <c r="B119" s="257" t="s">
        <v>442</v>
      </c>
      <c r="C119" s="258">
        <v>2019950</v>
      </c>
      <c r="D119" s="258">
        <v>2021928</v>
      </c>
      <c r="E119" s="258">
        <f t="shared" si="16"/>
        <v>1978</v>
      </c>
      <c r="F119" s="259">
        <f t="shared" si="17"/>
        <v>9.792321592118616E-4</v>
      </c>
    </row>
    <row r="120" spans="1:6" ht="20.25" customHeight="1" x14ac:dyDescent="0.3">
      <c r="A120" s="256">
        <v>3</v>
      </c>
      <c r="B120" s="257" t="s">
        <v>443</v>
      </c>
      <c r="C120" s="258">
        <v>7514299</v>
      </c>
      <c r="D120" s="258">
        <v>8044448</v>
      </c>
      <c r="E120" s="258">
        <f t="shared" si="16"/>
        <v>530149</v>
      </c>
      <c r="F120" s="259">
        <f t="shared" si="17"/>
        <v>7.0552023548703616E-2</v>
      </c>
    </row>
    <row r="121" spans="1:6" ht="20.25" customHeight="1" x14ac:dyDescent="0.3">
      <c r="A121" s="256">
        <v>4</v>
      </c>
      <c r="B121" s="257" t="s">
        <v>444</v>
      </c>
      <c r="C121" s="258">
        <v>1459909</v>
      </c>
      <c r="D121" s="258">
        <v>1607087</v>
      </c>
      <c r="E121" s="258">
        <f t="shared" si="16"/>
        <v>147178</v>
      </c>
      <c r="F121" s="259">
        <f t="shared" si="17"/>
        <v>0.10081313287335032</v>
      </c>
    </row>
    <row r="122" spans="1:6" ht="20.25" customHeight="1" x14ac:dyDescent="0.3">
      <c r="A122" s="256">
        <v>5</v>
      </c>
      <c r="B122" s="257" t="s">
        <v>381</v>
      </c>
      <c r="C122" s="260">
        <v>228</v>
      </c>
      <c r="D122" s="260">
        <v>238</v>
      </c>
      <c r="E122" s="260">
        <f t="shared" si="16"/>
        <v>10</v>
      </c>
      <c r="F122" s="259">
        <f t="shared" si="17"/>
        <v>4.3859649122807015E-2</v>
      </c>
    </row>
    <row r="123" spans="1:6" ht="20.25" customHeight="1" x14ac:dyDescent="0.3">
      <c r="A123" s="256">
        <v>6</v>
      </c>
      <c r="B123" s="257" t="s">
        <v>380</v>
      </c>
      <c r="C123" s="260">
        <v>1015</v>
      </c>
      <c r="D123" s="260">
        <v>1068</v>
      </c>
      <c r="E123" s="260">
        <f t="shared" si="16"/>
        <v>53</v>
      </c>
      <c r="F123" s="259">
        <f t="shared" si="17"/>
        <v>5.2216748768472904E-2</v>
      </c>
    </row>
    <row r="124" spans="1:6" ht="20.25" customHeight="1" x14ac:dyDescent="0.3">
      <c r="A124" s="256">
        <v>7</v>
      </c>
      <c r="B124" s="257" t="s">
        <v>445</v>
      </c>
      <c r="C124" s="260">
        <v>3382</v>
      </c>
      <c r="D124" s="260">
        <v>3061</v>
      </c>
      <c r="E124" s="260">
        <f t="shared" si="16"/>
        <v>-321</v>
      </c>
      <c r="F124" s="259">
        <f t="shared" si="17"/>
        <v>-9.4914251921939682E-2</v>
      </c>
    </row>
    <row r="125" spans="1:6" ht="20.25" customHeight="1" x14ac:dyDescent="0.3">
      <c r="A125" s="256">
        <v>8</v>
      </c>
      <c r="B125" s="257" t="s">
        <v>446</v>
      </c>
      <c r="C125" s="260">
        <v>410</v>
      </c>
      <c r="D125" s="260">
        <v>405</v>
      </c>
      <c r="E125" s="260">
        <f t="shared" si="16"/>
        <v>-5</v>
      </c>
      <c r="F125" s="259">
        <f t="shared" si="17"/>
        <v>-1.2195121951219513E-2</v>
      </c>
    </row>
    <row r="126" spans="1:6" ht="20.25" customHeight="1" x14ac:dyDescent="0.3">
      <c r="A126" s="256">
        <v>9</v>
      </c>
      <c r="B126" s="257" t="s">
        <v>447</v>
      </c>
      <c r="C126" s="260">
        <v>204</v>
      </c>
      <c r="D126" s="260">
        <v>209</v>
      </c>
      <c r="E126" s="260">
        <f t="shared" si="16"/>
        <v>5</v>
      </c>
      <c r="F126" s="259">
        <f t="shared" si="17"/>
        <v>2.4509803921568627E-2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15241571</v>
      </c>
      <c r="D127" s="263">
        <f>+D118+D120</f>
        <v>16633658</v>
      </c>
      <c r="E127" s="263">
        <f t="shared" si="16"/>
        <v>1392087</v>
      </c>
      <c r="F127" s="264">
        <f t="shared" si="17"/>
        <v>9.1334876175165933E-2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3479859</v>
      </c>
      <c r="D128" s="263">
        <f>+D119+D121</f>
        <v>3629015</v>
      </c>
      <c r="E128" s="263">
        <f t="shared" si="16"/>
        <v>149156</v>
      </c>
      <c r="F128" s="264">
        <f t="shared" si="17"/>
        <v>4.2862656216817979E-2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133049</v>
      </c>
      <c r="D131" s="258">
        <v>42100</v>
      </c>
      <c r="E131" s="258">
        <f t="shared" ref="E131:E141" si="18">D131-C131</f>
        <v>-90949</v>
      </c>
      <c r="F131" s="259">
        <f t="shared" ref="F131:F141" si="19">IF(C131=0,0,E131/C131)</f>
        <v>-0.68357522416553296</v>
      </c>
    </row>
    <row r="132" spans="1:6" ht="20.25" customHeight="1" x14ac:dyDescent="0.3">
      <c r="A132" s="256">
        <v>2</v>
      </c>
      <c r="B132" s="257" t="s">
        <v>442</v>
      </c>
      <c r="C132" s="258">
        <v>38735</v>
      </c>
      <c r="D132" s="258">
        <v>12807</v>
      </c>
      <c r="E132" s="258">
        <f t="shared" si="18"/>
        <v>-25928</v>
      </c>
      <c r="F132" s="259">
        <f t="shared" si="19"/>
        <v>-0.66936878791790366</v>
      </c>
    </row>
    <row r="133" spans="1:6" ht="20.25" customHeight="1" x14ac:dyDescent="0.3">
      <c r="A133" s="256">
        <v>3</v>
      </c>
      <c r="B133" s="257" t="s">
        <v>443</v>
      </c>
      <c r="C133" s="258">
        <v>72321</v>
      </c>
      <c r="D133" s="258">
        <v>81090</v>
      </c>
      <c r="E133" s="258">
        <f t="shared" si="18"/>
        <v>8769</v>
      </c>
      <c r="F133" s="259">
        <f t="shared" si="19"/>
        <v>0.1212510888953416</v>
      </c>
    </row>
    <row r="134" spans="1:6" ht="20.25" customHeight="1" x14ac:dyDescent="0.3">
      <c r="A134" s="256">
        <v>4</v>
      </c>
      <c r="B134" s="257" t="s">
        <v>444</v>
      </c>
      <c r="C134" s="258">
        <v>12083</v>
      </c>
      <c r="D134" s="258">
        <v>13544</v>
      </c>
      <c r="E134" s="258">
        <f t="shared" si="18"/>
        <v>1461</v>
      </c>
      <c r="F134" s="259">
        <f t="shared" si="19"/>
        <v>0.12091368037738973</v>
      </c>
    </row>
    <row r="135" spans="1:6" ht="20.25" customHeight="1" x14ac:dyDescent="0.3">
      <c r="A135" s="256">
        <v>5</v>
      </c>
      <c r="B135" s="257" t="s">
        <v>381</v>
      </c>
      <c r="C135" s="260">
        <v>6</v>
      </c>
      <c r="D135" s="260">
        <v>2</v>
      </c>
      <c r="E135" s="260">
        <f t="shared" si="18"/>
        <v>-4</v>
      </c>
      <c r="F135" s="259">
        <f t="shared" si="19"/>
        <v>-0.66666666666666663</v>
      </c>
    </row>
    <row r="136" spans="1:6" ht="20.25" customHeight="1" x14ac:dyDescent="0.3">
      <c r="A136" s="256">
        <v>6</v>
      </c>
      <c r="B136" s="257" t="s">
        <v>380</v>
      </c>
      <c r="C136" s="260">
        <v>20</v>
      </c>
      <c r="D136" s="260">
        <v>10</v>
      </c>
      <c r="E136" s="260">
        <f t="shared" si="18"/>
        <v>-10</v>
      </c>
      <c r="F136" s="259">
        <f t="shared" si="19"/>
        <v>-0.5</v>
      </c>
    </row>
    <row r="137" spans="1:6" ht="20.25" customHeight="1" x14ac:dyDescent="0.3">
      <c r="A137" s="256">
        <v>7</v>
      </c>
      <c r="B137" s="257" t="s">
        <v>445</v>
      </c>
      <c r="C137" s="260">
        <v>30</v>
      </c>
      <c r="D137" s="260">
        <v>17</v>
      </c>
      <c r="E137" s="260">
        <f t="shared" si="18"/>
        <v>-13</v>
      </c>
      <c r="F137" s="259">
        <f t="shared" si="19"/>
        <v>-0.43333333333333335</v>
      </c>
    </row>
    <row r="138" spans="1:6" ht="20.25" customHeight="1" x14ac:dyDescent="0.3">
      <c r="A138" s="256">
        <v>8</v>
      </c>
      <c r="B138" s="257" t="s">
        <v>446</v>
      </c>
      <c r="C138" s="260">
        <v>15</v>
      </c>
      <c r="D138" s="260">
        <v>17</v>
      </c>
      <c r="E138" s="260">
        <f t="shared" si="18"/>
        <v>2</v>
      </c>
      <c r="F138" s="259">
        <f t="shared" si="19"/>
        <v>0.13333333333333333</v>
      </c>
    </row>
    <row r="139" spans="1:6" ht="20.25" customHeight="1" x14ac:dyDescent="0.3">
      <c r="A139" s="256">
        <v>9</v>
      </c>
      <c r="B139" s="257" t="s">
        <v>447</v>
      </c>
      <c r="C139" s="260">
        <v>6</v>
      </c>
      <c r="D139" s="260">
        <v>2</v>
      </c>
      <c r="E139" s="260">
        <f t="shared" si="18"/>
        <v>-4</v>
      </c>
      <c r="F139" s="259">
        <f t="shared" si="19"/>
        <v>-0.66666666666666663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205370</v>
      </c>
      <c r="D140" s="263">
        <f>+D131+D133</f>
        <v>123190</v>
      </c>
      <c r="E140" s="263">
        <f t="shared" si="18"/>
        <v>-82180</v>
      </c>
      <c r="F140" s="264">
        <f t="shared" si="19"/>
        <v>-0.40015581633149927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50818</v>
      </c>
      <c r="D141" s="263">
        <f>+D132+D134</f>
        <v>26351</v>
      </c>
      <c r="E141" s="263">
        <f t="shared" si="18"/>
        <v>-24467</v>
      </c>
      <c r="F141" s="264">
        <f t="shared" si="19"/>
        <v>-0.48146326104923454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161667</v>
      </c>
      <c r="D185" s="258">
        <v>0</v>
      </c>
      <c r="E185" s="258">
        <f t="shared" si="26"/>
        <v>-161667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20330</v>
      </c>
      <c r="D186" s="258">
        <v>0</v>
      </c>
      <c r="E186" s="258">
        <f t="shared" si="26"/>
        <v>-20330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4</v>
      </c>
      <c r="D189" s="260">
        <v>0</v>
      </c>
      <c r="E189" s="260">
        <f t="shared" si="26"/>
        <v>-4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1</v>
      </c>
      <c r="D190" s="260">
        <v>0</v>
      </c>
      <c r="E190" s="260">
        <f t="shared" si="26"/>
        <v>-1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161667</v>
      </c>
      <c r="D192" s="263">
        <f>+D183+D185</f>
        <v>0</v>
      </c>
      <c r="E192" s="263">
        <f t="shared" si="26"/>
        <v>-161667</v>
      </c>
      <c r="F192" s="264">
        <f t="shared" si="27"/>
        <v>-1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20330</v>
      </c>
      <c r="D193" s="263">
        <f>+D184+D186</f>
        <v>0</v>
      </c>
      <c r="E193" s="263">
        <f t="shared" si="26"/>
        <v>-20330</v>
      </c>
      <c r="F193" s="264">
        <f t="shared" si="27"/>
        <v>-1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37279528</v>
      </c>
      <c r="D198" s="263">
        <f t="shared" si="28"/>
        <v>42301327</v>
      </c>
      <c r="E198" s="263">
        <f t="shared" ref="E198:E208" si="29">D198-C198</f>
        <v>5021799</v>
      </c>
      <c r="F198" s="273">
        <f t="shared" ref="F198:F208" si="30">IF(C198=0,0,E198/C198)</f>
        <v>0.13470661431121123</v>
      </c>
    </row>
    <row r="199" spans="1:9" ht="20.25" customHeight="1" x14ac:dyDescent="0.3">
      <c r="A199" s="271"/>
      <c r="B199" s="272" t="s">
        <v>466</v>
      </c>
      <c r="C199" s="263">
        <f t="shared" si="28"/>
        <v>9773137</v>
      </c>
      <c r="D199" s="263">
        <f t="shared" si="28"/>
        <v>9846489</v>
      </c>
      <c r="E199" s="263">
        <f t="shared" si="29"/>
        <v>73352</v>
      </c>
      <c r="F199" s="273">
        <f t="shared" si="30"/>
        <v>7.505471375260574E-3</v>
      </c>
    </row>
    <row r="200" spans="1:9" ht="20.25" customHeight="1" x14ac:dyDescent="0.3">
      <c r="A200" s="271"/>
      <c r="B200" s="272" t="s">
        <v>467</v>
      </c>
      <c r="C200" s="263">
        <f t="shared" si="28"/>
        <v>29452553</v>
      </c>
      <c r="D200" s="263">
        <f t="shared" si="28"/>
        <v>36119625</v>
      </c>
      <c r="E200" s="263">
        <f t="shared" si="29"/>
        <v>6667072</v>
      </c>
      <c r="F200" s="273">
        <f t="shared" si="30"/>
        <v>0.22636652245392785</v>
      </c>
    </row>
    <row r="201" spans="1:9" ht="20.25" customHeight="1" x14ac:dyDescent="0.3">
      <c r="A201" s="271"/>
      <c r="B201" s="272" t="s">
        <v>468</v>
      </c>
      <c r="C201" s="263">
        <f t="shared" si="28"/>
        <v>5674700</v>
      </c>
      <c r="D201" s="263">
        <f t="shared" si="28"/>
        <v>6970910</v>
      </c>
      <c r="E201" s="263">
        <f t="shared" si="29"/>
        <v>1296210</v>
      </c>
      <c r="F201" s="273">
        <f t="shared" si="30"/>
        <v>0.22841912347789312</v>
      </c>
    </row>
    <row r="202" spans="1:9" ht="20.25" customHeight="1" x14ac:dyDescent="0.3">
      <c r="A202" s="271"/>
      <c r="B202" s="272" t="s">
        <v>138</v>
      </c>
      <c r="C202" s="274">
        <f t="shared" si="28"/>
        <v>966</v>
      </c>
      <c r="D202" s="274">
        <f t="shared" si="28"/>
        <v>1127</v>
      </c>
      <c r="E202" s="274">
        <f t="shared" si="29"/>
        <v>161</v>
      </c>
      <c r="F202" s="273">
        <f t="shared" si="30"/>
        <v>0.16666666666666666</v>
      </c>
    </row>
    <row r="203" spans="1:9" ht="20.25" customHeight="1" x14ac:dyDescent="0.3">
      <c r="A203" s="271"/>
      <c r="B203" s="272" t="s">
        <v>140</v>
      </c>
      <c r="C203" s="274">
        <f t="shared" si="28"/>
        <v>4709</v>
      </c>
      <c r="D203" s="274">
        <f t="shared" si="28"/>
        <v>5425</v>
      </c>
      <c r="E203" s="274">
        <f t="shared" si="29"/>
        <v>716</v>
      </c>
      <c r="F203" s="273">
        <f t="shared" si="30"/>
        <v>0.15204926736037375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12050</v>
      </c>
      <c r="D204" s="274">
        <f t="shared" si="28"/>
        <v>12974</v>
      </c>
      <c r="E204" s="274">
        <f t="shared" si="29"/>
        <v>924</v>
      </c>
      <c r="F204" s="273">
        <f t="shared" si="30"/>
        <v>7.6680497925311203E-2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1798</v>
      </c>
      <c r="D205" s="274">
        <f t="shared" si="28"/>
        <v>2085</v>
      </c>
      <c r="E205" s="274">
        <f t="shared" si="29"/>
        <v>287</v>
      </c>
      <c r="F205" s="273">
        <f t="shared" si="30"/>
        <v>0.1596218020022247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861</v>
      </c>
      <c r="D206" s="274">
        <f t="shared" si="28"/>
        <v>1012</v>
      </c>
      <c r="E206" s="274">
        <f t="shared" si="29"/>
        <v>151</v>
      </c>
      <c r="F206" s="273">
        <f t="shared" si="30"/>
        <v>0.17537746806039489</v>
      </c>
    </row>
    <row r="207" spans="1:9" ht="20.25" customHeight="1" x14ac:dyDescent="0.3">
      <c r="A207" s="271"/>
      <c r="B207" s="262" t="s">
        <v>471</v>
      </c>
      <c r="C207" s="263">
        <f>+C198+C200</f>
        <v>66732081</v>
      </c>
      <c r="D207" s="263">
        <f>+D198+D200</f>
        <v>78420952</v>
      </c>
      <c r="E207" s="263">
        <f t="shared" si="29"/>
        <v>11688871</v>
      </c>
      <c r="F207" s="273">
        <f t="shared" si="30"/>
        <v>0.17516119420882439</v>
      </c>
    </row>
    <row r="208" spans="1:9" ht="20.25" customHeight="1" x14ac:dyDescent="0.3">
      <c r="A208" s="271"/>
      <c r="B208" s="262" t="s">
        <v>472</v>
      </c>
      <c r="C208" s="263">
        <f>+C199+C201</f>
        <v>15447837</v>
      </c>
      <c r="D208" s="263">
        <f>+D199+D201</f>
        <v>16817399</v>
      </c>
      <c r="E208" s="263">
        <f t="shared" si="29"/>
        <v>1369562</v>
      </c>
      <c r="F208" s="273">
        <f t="shared" si="30"/>
        <v>8.8657201652244264E-2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FILING&amp;RGRIFFIN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FILING&amp;RGRIFFIN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13616313</v>
      </c>
      <c r="D13" s="22">
        <v>11774575</v>
      </c>
      <c r="E13" s="22">
        <f t="shared" ref="E13:E22" si="0">D13-C13</f>
        <v>-1841738</v>
      </c>
      <c r="F13" s="306">
        <f t="shared" ref="F13:F22" si="1">IF(C13=0,0,E13/C13)</f>
        <v>-0.13525966977991766</v>
      </c>
    </row>
    <row r="14" spans="1:8" ht="24" customHeight="1" x14ac:dyDescent="0.2">
      <c r="A14" s="304">
        <v>2</v>
      </c>
      <c r="B14" s="305" t="s">
        <v>17</v>
      </c>
      <c r="C14" s="22">
        <v>31664235</v>
      </c>
      <c r="D14" s="22">
        <v>34851842</v>
      </c>
      <c r="E14" s="22">
        <f t="shared" si="0"/>
        <v>3187607</v>
      </c>
      <c r="F14" s="306">
        <f t="shared" si="1"/>
        <v>0.10066900400404431</v>
      </c>
    </row>
    <row r="15" spans="1:8" ht="35.1" customHeight="1" x14ac:dyDescent="0.2">
      <c r="A15" s="304">
        <v>3</v>
      </c>
      <c r="B15" s="305" t="s">
        <v>18</v>
      </c>
      <c r="C15" s="22">
        <v>13166233</v>
      </c>
      <c r="D15" s="22">
        <v>13863865</v>
      </c>
      <c r="E15" s="22">
        <f t="shared" si="0"/>
        <v>697632</v>
      </c>
      <c r="F15" s="306">
        <f t="shared" si="1"/>
        <v>5.298645406017044E-2</v>
      </c>
    </row>
    <row r="16" spans="1:8" ht="35.1" customHeight="1" x14ac:dyDescent="0.2">
      <c r="A16" s="304">
        <v>4</v>
      </c>
      <c r="B16" s="305" t="s">
        <v>19</v>
      </c>
      <c r="C16" s="22">
        <v>718522</v>
      </c>
      <c r="D16" s="22">
        <v>724768</v>
      </c>
      <c r="E16" s="22">
        <f t="shared" si="0"/>
        <v>6246</v>
      </c>
      <c r="F16" s="306">
        <f t="shared" si="1"/>
        <v>8.6928444779700558E-3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1445095</v>
      </c>
      <c r="D19" s="22">
        <v>1524437</v>
      </c>
      <c r="E19" s="22">
        <f t="shared" si="0"/>
        <v>79342</v>
      </c>
      <c r="F19" s="306">
        <f t="shared" si="1"/>
        <v>5.490434884903761E-2</v>
      </c>
    </row>
    <row r="20" spans="1:11" ht="24" customHeight="1" x14ac:dyDescent="0.2">
      <c r="A20" s="304">
        <v>8</v>
      </c>
      <c r="B20" s="305" t="s">
        <v>23</v>
      </c>
      <c r="C20" s="22">
        <v>3052485</v>
      </c>
      <c r="D20" s="22">
        <v>3191718</v>
      </c>
      <c r="E20" s="22">
        <f t="shared" si="0"/>
        <v>139233</v>
      </c>
      <c r="F20" s="306">
        <f t="shared" si="1"/>
        <v>4.5613000555285284E-2</v>
      </c>
    </row>
    <row r="21" spans="1:11" ht="24" customHeight="1" x14ac:dyDescent="0.2">
      <c r="A21" s="304">
        <v>9</v>
      </c>
      <c r="B21" s="305" t="s">
        <v>24</v>
      </c>
      <c r="C21" s="22">
        <v>3804502</v>
      </c>
      <c r="D21" s="22">
        <v>4330731</v>
      </c>
      <c r="E21" s="22">
        <f t="shared" si="0"/>
        <v>526229</v>
      </c>
      <c r="F21" s="306">
        <f t="shared" si="1"/>
        <v>0.13831744601527349</v>
      </c>
    </row>
    <row r="22" spans="1:11" ht="24" customHeight="1" x14ac:dyDescent="0.25">
      <c r="A22" s="307"/>
      <c r="B22" s="308" t="s">
        <v>25</v>
      </c>
      <c r="C22" s="309">
        <f>SUM(C13:C21)</f>
        <v>67467385</v>
      </c>
      <c r="D22" s="309">
        <f>SUM(D13:D21)</f>
        <v>70261936</v>
      </c>
      <c r="E22" s="309">
        <f t="shared" si="0"/>
        <v>2794551</v>
      </c>
      <c r="F22" s="310">
        <f t="shared" si="1"/>
        <v>4.1420769457716493E-2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3760171</v>
      </c>
      <c r="D25" s="22">
        <v>3450227</v>
      </c>
      <c r="E25" s="22">
        <f>D25-C25</f>
        <v>-309944</v>
      </c>
      <c r="F25" s="306">
        <f>IF(C25=0,0,E25/C25)</f>
        <v>-8.242816616584725E-2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1255429</v>
      </c>
      <c r="D26" s="22">
        <v>1212451</v>
      </c>
      <c r="E26" s="22">
        <f>D26-C26</f>
        <v>-42978</v>
      </c>
      <c r="F26" s="306">
        <f>IF(C26=0,0,E26/C26)</f>
        <v>-3.4233716124129683E-2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855927</v>
      </c>
      <c r="D27" s="22">
        <v>50430</v>
      </c>
      <c r="E27" s="22">
        <f>D27-C27</f>
        <v>-805497</v>
      </c>
      <c r="F27" s="306">
        <f>IF(C27=0,0,E27/C27)</f>
        <v>-0.94108142399994388</v>
      </c>
    </row>
    <row r="28" spans="1:11" ht="35.1" customHeight="1" x14ac:dyDescent="0.2">
      <c r="A28" s="304">
        <v>4</v>
      </c>
      <c r="B28" s="305" t="s">
        <v>31</v>
      </c>
      <c r="C28" s="22">
        <v>4289408</v>
      </c>
      <c r="D28" s="22">
        <v>4289023</v>
      </c>
      <c r="E28" s="22">
        <f>D28-C28</f>
        <v>-385</v>
      </c>
      <c r="F28" s="306">
        <f>IF(C28=0,0,E28/C28)</f>
        <v>-8.9755975649786639E-5</v>
      </c>
    </row>
    <row r="29" spans="1:11" ht="35.1" customHeight="1" x14ac:dyDescent="0.25">
      <c r="A29" s="307"/>
      <c r="B29" s="308" t="s">
        <v>32</v>
      </c>
      <c r="C29" s="309">
        <f>SUM(C25:C28)</f>
        <v>10160935</v>
      </c>
      <c r="D29" s="309">
        <f>SUM(D25:D28)</f>
        <v>9002131</v>
      </c>
      <c r="E29" s="309">
        <f>D29-C29</f>
        <v>-1158804</v>
      </c>
      <c r="F29" s="310">
        <f>IF(C29=0,0,E29/C29)</f>
        <v>-0.11404501652653029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3927719</v>
      </c>
      <c r="D32" s="22">
        <v>4067953</v>
      </c>
      <c r="E32" s="22">
        <f>D32-C32</f>
        <v>140234</v>
      </c>
      <c r="F32" s="306">
        <f>IF(C32=0,0,E32/C32)</f>
        <v>3.5703674320897195E-2</v>
      </c>
    </row>
    <row r="33" spans="1:8" ht="24" customHeight="1" x14ac:dyDescent="0.2">
      <c r="A33" s="304">
        <v>7</v>
      </c>
      <c r="B33" s="305" t="s">
        <v>35</v>
      </c>
      <c r="C33" s="22">
        <v>15234854</v>
      </c>
      <c r="D33" s="22">
        <v>10845617</v>
      </c>
      <c r="E33" s="22">
        <f>D33-C33</f>
        <v>-4389237</v>
      </c>
      <c r="F33" s="306">
        <f>IF(C33=0,0,E33/C33)</f>
        <v>-0.28810495985061624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161991851</v>
      </c>
      <c r="D36" s="22">
        <v>162617356</v>
      </c>
      <c r="E36" s="22">
        <f>D36-C36</f>
        <v>625505</v>
      </c>
      <c r="F36" s="306">
        <f>IF(C36=0,0,E36/C36)</f>
        <v>3.861336210054171E-3</v>
      </c>
    </row>
    <row r="37" spans="1:8" ht="24" customHeight="1" x14ac:dyDescent="0.2">
      <c r="A37" s="304">
        <v>2</v>
      </c>
      <c r="B37" s="305" t="s">
        <v>39</v>
      </c>
      <c r="C37" s="22">
        <v>103189081</v>
      </c>
      <c r="D37" s="22">
        <v>106114939</v>
      </c>
      <c r="E37" s="22">
        <f>D37-C37</f>
        <v>2925858</v>
      </c>
      <c r="F37" s="22">
        <f>IF(C37=0,0,E37/C37)</f>
        <v>2.8354337219070689E-2</v>
      </c>
    </row>
    <row r="38" spans="1:8" ht="24" customHeight="1" x14ac:dyDescent="0.25">
      <c r="A38" s="307"/>
      <c r="B38" s="308" t="s">
        <v>40</v>
      </c>
      <c r="C38" s="309">
        <f>C36-C37</f>
        <v>58802770</v>
      </c>
      <c r="D38" s="309">
        <f>D36-D37</f>
        <v>56502417</v>
      </c>
      <c r="E38" s="309">
        <f>D38-C38</f>
        <v>-2300353</v>
      </c>
      <c r="F38" s="310">
        <f>IF(C38=0,0,E38/C38)</f>
        <v>-3.9119806771007556E-2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677284</v>
      </c>
      <c r="D40" s="22">
        <v>1292037</v>
      </c>
      <c r="E40" s="22">
        <f>D40-C40</f>
        <v>614753</v>
      </c>
      <c r="F40" s="306">
        <f>IF(C40=0,0,E40/C40)</f>
        <v>0.90767388569639917</v>
      </c>
    </row>
    <row r="41" spans="1:8" ht="24" customHeight="1" x14ac:dyDescent="0.25">
      <c r="A41" s="307"/>
      <c r="B41" s="308" t="s">
        <v>42</v>
      </c>
      <c r="C41" s="309">
        <f>+C38+C40</f>
        <v>59480054</v>
      </c>
      <c r="D41" s="309">
        <f>+D38+D40</f>
        <v>57794454</v>
      </c>
      <c r="E41" s="309">
        <f>D41-C41</f>
        <v>-1685600</v>
      </c>
      <c r="F41" s="310">
        <f>IF(C41=0,0,E41/C41)</f>
        <v>-2.8338911729972539E-2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156270947</v>
      </c>
      <c r="D43" s="309">
        <f>D22+D29+D31+D32+D33+D41</f>
        <v>151972091</v>
      </c>
      <c r="E43" s="309">
        <f>D43-C43</f>
        <v>-4298856</v>
      </c>
      <c r="F43" s="310">
        <f>IF(C43=0,0,E43/C43)</f>
        <v>-2.750899052272333E-2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24884567</v>
      </c>
      <c r="D49" s="22">
        <v>24263458</v>
      </c>
      <c r="E49" s="22">
        <f t="shared" ref="E49:E56" si="2">D49-C49</f>
        <v>-621109</v>
      </c>
      <c r="F49" s="306">
        <f t="shared" ref="F49:F56" si="3">IF(C49=0,0,E49/C49)</f>
        <v>-2.4959606490239514E-2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1840576</v>
      </c>
      <c r="D50" s="22">
        <v>3139108</v>
      </c>
      <c r="E50" s="22">
        <f t="shared" si="2"/>
        <v>1298532</v>
      </c>
      <c r="F50" s="306">
        <f t="shared" si="3"/>
        <v>0.70550305991167983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1153146</v>
      </c>
      <c r="E51" s="22">
        <f t="shared" si="2"/>
        <v>1153146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6247526</v>
      </c>
      <c r="D53" s="22">
        <v>5093806</v>
      </c>
      <c r="E53" s="22">
        <f t="shared" si="2"/>
        <v>-1153720</v>
      </c>
      <c r="F53" s="306">
        <f t="shared" si="3"/>
        <v>-0.18466829909951554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2788153</v>
      </c>
      <c r="D55" s="22">
        <v>2942695</v>
      </c>
      <c r="E55" s="22">
        <f t="shared" si="2"/>
        <v>154542</v>
      </c>
      <c r="F55" s="306">
        <f t="shared" si="3"/>
        <v>5.5428091643464329E-2</v>
      </c>
    </row>
    <row r="56" spans="1:6" ht="24" customHeight="1" x14ac:dyDescent="0.25">
      <c r="A56" s="307"/>
      <c r="B56" s="308" t="s">
        <v>54</v>
      </c>
      <c r="C56" s="309">
        <f>SUM(C49:C55)</f>
        <v>35760822</v>
      </c>
      <c r="D56" s="309">
        <f>SUM(D49:D55)</f>
        <v>36592213</v>
      </c>
      <c r="E56" s="309">
        <f t="shared" si="2"/>
        <v>831391</v>
      </c>
      <c r="F56" s="310">
        <f t="shared" si="3"/>
        <v>2.3248654631037285E-2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45213706</v>
      </c>
      <c r="D59" s="22">
        <v>43903244</v>
      </c>
      <c r="E59" s="22">
        <f>D59-C59</f>
        <v>-1310462</v>
      </c>
      <c r="F59" s="306">
        <f>IF(C59=0,0,E59/C59)</f>
        <v>-2.8983733383854886E-2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45213706</v>
      </c>
      <c r="D61" s="309">
        <f>SUM(D59:D60)</f>
        <v>43903244</v>
      </c>
      <c r="E61" s="309">
        <f>D61-C61</f>
        <v>-1310462</v>
      </c>
      <c r="F61" s="310">
        <f>IF(C61=0,0,E61/C61)</f>
        <v>-2.8983733383854886E-2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35030914</v>
      </c>
      <c r="D63" s="22">
        <v>45060464</v>
      </c>
      <c r="E63" s="22">
        <f>D63-C63</f>
        <v>10029550</v>
      </c>
      <c r="F63" s="306">
        <f>IF(C63=0,0,E63/C63)</f>
        <v>0.28630568988294169</v>
      </c>
    </row>
    <row r="64" spans="1:6" ht="24" customHeight="1" x14ac:dyDescent="0.2">
      <c r="A64" s="304">
        <v>4</v>
      </c>
      <c r="B64" s="305" t="s">
        <v>60</v>
      </c>
      <c r="C64" s="22">
        <v>53047478</v>
      </c>
      <c r="D64" s="22">
        <v>51553126</v>
      </c>
      <c r="E64" s="22">
        <f>D64-C64</f>
        <v>-1494352</v>
      </c>
      <c r="F64" s="306">
        <f>IF(C64=0,0,E64/C64)</f>
        <v>-2.8170085673064421E-2</v>
      </c>
    </row>
    <row r="65" spans="1:6" ht="24" customHeight="1" x14ac:dyDescent="0.25">
      <c r="A65" s="307"/>
      <c r="B65" s="308" t="s">
        <v>61</v>
      </c>
      <c r="C65" s="309">
        <f>SUM(C61:C64)</f>
        <v>133292098</v>
      </c>
      <c r="D65" s="309">
        <f>SUM(D61:D64)</f>
        <v>140516834</v>
      </c>
      <c r="E65" s="309">
        <f>D65-C65</f>
        <v>7224736</v>
      </c>
      <c r="F65" s="310">
        <f>IF(C65=0,0,E65/C65)</f>
        <v>5.4202282869011485E-2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-1284550</v>
      </c>
      <c r="D67" s="22">
        <v>-1057961</v>
      </c>
      <c r="E67" s="22">
        <f>D67-C67</f>
        <v>226589</v>
      </c>
      <c r="F67" s="321">
        <f>IF(C67=0,0,E67/C67)</f>
        <v>-0.17639562492701724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-20969896</v>
      </c>
      <c r="D70" s="22">
        <v>-33789551</v>
      </c>
      <c r="E70" s="22">
        <f>D70-C70</f>
        <v>-12819655</v>
      </c>
      <c r="F70" s="306">
        <f>IF(C70=0,0,E70/C70)</f>
        <v>0.61133612679814908</v>
      </c>
    </row>
    <row r="71" spans="1:6" ht="24" customHeight="1" x14ac:dyDescent="0.2">
      <c r="A71" s="304">
        <v>2</v>
      </c>
      <c r="B71" s="305" t="s">
        <v>65</v>
      </c>
      <c r="C71" s="22">
        <v>3552041</v>
      </c>
      <c r="D71" s="22">
        <v>4100068</v>
      </c>
      <c r="E71" s="22">
        <f>D71-C71</f>
        <v>548027</v>
      </c>
      <c r="F71" s="306">
        <f>IF(C71=0,0,E71/C71)</f>
        <v>0.15428509974969321</v>
      </c>
    </row>
    <row r="72" spans="1:6" ht="24" customHeight="1" x14ac:dyDescent="0.2">
      <c r="A72" s="304">
        <v>3</v>
      </c>
      <c r="B72" s="305" t="s">
        <v>66</v>
      </c>
      <c r="C72" s="22">
        <v>5920432</v>
      </c>
      <c r="D72" s="22">
        <v>5610488</v>
      </c>
      <c r="E72" s="22">
        <f>D72-C72</f>
        <v>-309944</v>
      </c>
      <c r="F72" s="306">
        <f>IF(C72=0,0,E72/C72)</f>
        <v>-5.2351585154596827E-2</v>
      </c>
    </row>
    <row r="73" spans="1:6" ht="24" customHeight="1" x14ac:dyDescent="0.25">
      <c r="A73" s="304"/>
      <c r="B73" s="308" t="s">
        <v>67</v>
      </c>
      <c r="C73" s="309">
        <f>SUM(C70:C72)</f>
        <v>-11497423</v>
      </c>
      <c r="D73" s="309">
        <f>SUM(D70:D72)</f>
        <v>-24078995</v>
      </c>
      <c r="E73" s="309">
        <f>D73-C73</f>
        <v>-12581572</v>
      </c>
      <c r="F73" s="310">
        <f>IF(C73=0,0,E73/C73)</f>
        <v>1.0942949563567419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156270947</v>
      </c>
      <c r="D75" s="309">
        <f>D56+D65+D67+D73</f>
        <v>151972091</v>
      </c>
      <c r="E75" s="309">
        <f>D75-C75</f>
        <v>-4298856</v>
      </c>
      <c r="F75" s="310">
        <f>IF(C75=0,0,E75/C75)</f>
        <v>-2.750899052272333E-2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FILING&amp;RGRIFFIN HEALTH SERVICES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493590094</v>
      </c>
      <c r="D11" s="76">
        <v>535683242</v>
      </c>
      <c r="E11" s="76">
        <f t="shared" ref="E11:E20" si="0">D11-C11</f>
        <v>42093148</v>
      </c>
      <c r="F11" s="77">
        <f t="shared" ref="F11:F20" si="1">IF(C11=0,0,E11/C11)</f>
        <v>8.5279563977635253E-2</v>
      </c>
    </row>
    <row r="12" spans="1:7" ht="23.1" customHeight="1" x14ac:dyDescent="0.2">
      <c r="A12" s="74">
        <v>2</v>
      </c>
      <c r="B12" s="75" t="s">
        <v>72</v>
      </c>
      <c r="C12" s="76">
        <v>347914401</v>
      </c>
      <c r="D12" s="76">
        <v>378943996</v>
      </c>
      <c r="E12" s="76">
        <f t="shared" si="0"/>
        <v>31029595</v>
      </c>
      <c r="F12" s="77">
        <f t="shared" si="1"/>
        <v>8.9187440677398117E-2</v>
      </c>
    </row>
    <row r="13" spans="1:7" ht="23.1" customHeight="1" x14ac:dyDescent="0.2">
      <c r="A13" s="74">
        <v>3</v>
      </c>
      <c r="B13" s="75" t="s">
        <v>73</v>
      </c>
      <c r="C13" s="76">
        <v>3784978</v>
      </c>
      <c r="D13" s="76">
        <v>3122499</v>
      </c>
      <c r="E13" s="76">
        <f t="shared" si="0"/>
        <v>-662479</v>
      </c>
      <c r="F13" s="77">
        <f t="shared" si="1"/>
        <v>-0.17502849422110248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141890715</v>
      </c>
      <c r="D15" s="79">
        <f>D11-D12-D13-D14</f>
        <v>153616747</v>
      </c>
      <c r="E15" s="79">
        <f t="shared" si="0"/>
        <v>11726032</v>
      </c>
      <c r="F15" s="80">
        <f t="shared" si="1"/>
        <v>8.2641291926677518E-2</v>
      </c>
    </row>
    <row r="16" spans="1:7" ht="23.1" customHeight="1" x14ac:dyDescent="0.2">
      <c r="A16" s="74">
        <v>5</v>
      </c>
      <c r="B16" s="75" t="s">
        <v>76</v>
      </c>
      <c r="C16" s="76">
        <v>1107461</v>
      </c>
      <c r="D16" s="76">
        <v>1951079</v>
      </c>
      <c r="E16" s="76">
        <f t="shared" si="0"/>
        <v>843618</v>
      </c>
      <c r="F16" s="77">
        <f t="shared" si="1"/>
        <v>0.76175865335212711</v>
      </c>
      <c r="G16" s="65"/>
    </row>
    <row r="17" spans="1:7" ht="31.5" customHeight="1" x14ac:dyDescent="0.25">
      <c r="A17" s="71"/>
      <c r="B17" s="81" t="s">
        <v>77</v>
      </c>
      <c r="C17" s="79">
        <f>C15-C16</f>
        <v>140783254</v>
      </c>
      <c r="D17" s="79">
        <f>D15-D16</f>
        <v>151665668</v>
      </c>
      <c r="E17" s="79">
        <f t="shared" si="0"/>
        <v>10882414</v>
      </c>
      <c r="F17" s="80">
        <f t="shared" si="1"/>
        <v>7.7299065697117642E-2</v>
      </c>
    </row>
    <row r="18" spans="1:7" ht="23.1" customHeight="1" x14ac:dyDescent="0.2">
      <c r="A18" s="74">
        <v>6</v>
      </c>
      <c r="B18" s="75" t="s">
        <v>78</v>
      </c>
      <c r="C18" s="76">
        <v>12677437</v>
      </c>
      <c r="D18" s="76">
        <v>15016680</v>
      </c>
      <c r="E18" s="76">
        <f t="shared" si="0"/>
        <v>2339243</v>
      </c>
      <c r="F18" s="77">
        <f t="shared" si="1"/>
        <v>0.18452018337776002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115867</v>
      </c>
      <c r="D19" s="76">
        <v>0</v>
      </c>
      <c r="E19" s="76">
        <f t="shared" si="0"/>
        <v>-115867</v>
      </c>
      <c r="F19" s="77">
        <f t="shared" si="1"/>
        <v>-1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153576558</v>
      </c>
      <c r="D20" s="79">
        <f>SUM(D17:D19)</f>
        <v>166682348</v>
      </c>
      <c r="E20" s="79">
        <f t="shared" si="0"/>
        <v>13105790</v>
      </c>
      <c r="F20" s="80">
        <f t="shared" si="1"/>
        <v>8.5337177565862621E-2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65333750</v>
      </c>
      <c r="D23" s="76">
        <v>72195023</v>
      </c>
      <c r="E23" s="76">
        <f t="shared" ref="E23:E32" si="2">D23-C23</f>
        <v>6861273</v>
      </c>
      <c r="F23" s="77">
        <f t="shared" ref="F23:F32" si="3">IF(C23=0,0,E23/C23)</f>
        <v>0.10501881493102723</v>
      </c>
    </row>
    <row r="24" spans="1:7" ht="23.1" customHeight="1" x14ac:dyDescent="0.2">
      <c r="A24" s="74">
        <v>2</v>
      </c>
      <c r="B24" s="75" t="s">
        <v>83</v>
      </c>
      <c r="C24" s="76">
        <v>19081645</v>
      </c>
      <c r="D24" s="76">
        <v>20016207</v>
      </c>
      <c r="E24" s="76">
        <f t="shared" si="2"/>
        <v>934562</v>
      </c>
      <c r="F24" s="77">
        <f t="shared" si="3"/>
        <v>4.8977014298295561E-2</v>
      </c>
    </row>
    <row r="25" spans="1:7" ht="23.1" customHeight="1" x14ac:dyDescent="0.2">
      <c r="A25" s="74">
        <v>3</v>
      </c>
      <c r="B25" s="75" t="s">
        <v>84</v>
      </c>
      <c r="C25" s="76">
        <v>3514383</v>
      </c>
      <c r="D25" s="76">
        <v>5729084</v>
      </c>
      <c r="E25" s="76">
        <f t="shared" si="2"/>
        <v>2214701</v>
      </c>
      <c r="F25" s="77">
        <f t="shared" si="3"/>
        <v>0.63018202626179332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24914530</v>
      </c>
      <c r="D26" s="76">
        <v>28109350</v>
      </c>
      <c r="E26" s="76">
        <f t="shared" si="2"/>
        <v>3194820</v>
      </c>
      <c r="F26" s="77">
        <f t="shared" si="3"/>
        <v>0.12823119681567344</v>
      </c>
    </row>
    <row r="27" spans="1:7" ht="23.1" customHeight="1" x14ac:dyDescent="0.2">
      <c r="A27" s="74">
        <v>5</v>
      </c>
      <c r="B27" s="75" t="s">
        <v>86</v>
      </c>
      <c r="C27" s="76">
        <v>6094741</v>
      </c>
      <c r="D27" s="76">
        <v>4894145</v>
      </c>
      <c r="E27" s="76">
        <f t="shared" si="2"/>
        <v>-1200596</v>
      </c>
      <c r="F27" s="77">
        <f t="shared" si="3"/>
        <v>-0.19698884661382657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3685864</v>
      </c>
      <c r="D29" s="76">
        <v>2252819</v>
      </c>
      <c r="E29" s="76">
        <f t="shared" si="2"/>
        <v>-1433045</v>
      </c>
      <c r="F29" s="77">
        <f t="shared" si="3"/>
        <v>-0.3887948660069932</v>
      </c>
    </row>
    <row r="30" spans="1:7" ht="23.1" customHeight="1" x14ac:dyDescent="0.2">
      <c r="A30" s="74">
        <v>8</v>
      </c>
      <c r="B30" s="75" t="s">
        <v>89</v>
      </c>
      <c r="C30" s="76">
        <v>563492</v>
      </c>
      <c r="D30" s="76">
        <v>536009</v>
      </c>
      <c r="E30" s="76">
        <f t="shared" si="2"/>
        <v>-27483</v>
      </c>
      <c r="F30" s="77">
        <f t="shared" si="3"/>
        <v>-4.8772653382834187E-2</v>
      </c>
    </row>
    <row r="31" spans="1:7" ht="23.1" customHeight="1" x14ac:dyDescent="0.2">
      <c r="A31" s="74">
        <v>9</v>
      </c>
      <c r="B31" s="75" t="s">
        <v>90</v>
      </c>
      <c r="C31" s="76">
        <v>28283472</v>
      </c>
      <c r="D31" s="76">
        <v>32154796</v>
      </c>
      <c r="E31" s="76">
        <f t="shared" si="2"/>
        <v>3871324</v>
      </c>
      <c r="F31" s="77">
        <f t="shared" si="3"/>
        <v>0.13687584042015774</v>
      </c>
    </row>
    <row r="32" spans="1:7" ht="23.1" customHeight="1" x14ac:dyDescent="0.25">
      <c r="A32" s="71"/>
      <c r="B32" s="78" t="s">
        <v>91</v>
      </c>
      <c r="C32" s="79">
        <f>SUM(C23:C31)</f>
        <v>151471877</v>
      </c>
      <c r="D32" s="79">
        <f>SUM(D23:D31)</f>
        <v>165887433</v>
      </c>
      <c r="E32" s="79">
        <f t="shared" si="2"/>
        <v>14415556</v>
      </c>
      <c r="F32" s="80">
        <f t="shared" si="3"/>
        <v>9.5169851232516256E-2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2104681</v>
      </c>
      <c r="D34" s="79">
        <f>+D20-D32</f>
        <v>794915</v>
      </c>
      <c r="E34" s="79">
        <f>D34-C34</f>
        <v>-1309766</v>
      </c>
      <c r="F34" s="80">
        <f>IF(C34=0,0,E34/C34)</f>
        <v>-0.62231093453117126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2020394</v>
      </c>
      <c r="D37" s="76">
        <v>660172</v>
      </c>
      <c r="E37" s="76">
        <f>D37-C37</f>
        <v>-1360222</v>
      </c>
      <c r="F37" s="77">
        <f>IF(C37=0,0,E37/C37)</f>
        <v>-0.67324591144103574</v>
      </c>
    </row>
    <row r="38" spans="1:6" ht="23.1" customHeight="1" x14ac:dyDescent="0.2">
      <c r="A38" s="85">
        <v>2</v>
      </c>
      <c r="B38" s="75" t="s">
        <v>95</v>
      </c>
      <c r="C38" s="76">
        <v>314372</v>
      </c>
      <c r="D38" s="76">
        <v>323106</v>
      </c>
      <c r="E38" s="76">
        <f>D38-C38</f>
        <v>8734</v>
      </c>
      <c r="F38" s="77">
        <f>IF(C38=0,0,E38/C38)</f>
        <v>2.7782372475920247E-2</v>
      </c>
    </row>
    <row r="39" spans="1:6" ht="23.1" customHeight="1" x14ac:dyDescent="0.2">
      <c r="A39" s="85">
        <v>3</v>
      </c>
      <c r="B39" s="75" t="s">
        <v>96</v>
      </c>
      <c r="C39" s="76">
        <v>850811</v>
      </c>
      <c r="D39" s="76">
        <v>-1882268</v>
      </c>
      <c r="E39" s="76">
        <f>D39-C39</f>
        <v>-2733079</v>
      </c>
      <c r="F39" s="77">
        <f>IF(C39=0,0,E39/C39)</f>
        <v>-3.2123221255954615</v>
      </c>
    </row>
    <row r="40" spans="1:6" ht="23.1" customHeight="1" x14ac:dyDescent="0.25">
      <c r="A40" s="83"/>
      <c r="B40" s="78" t="s">
        <v>97</v>
      </c>
      <c r="C40" s="79">
        <f>SUM(C37:C39)</f>
        <v>3185577</v>
      </c>
      <c r="D40" s="79">
        <f>SUM(D37:D39)</f>
        <v>-898990</v>
      </c>
      <c r="E40" s="79">
        <f>D40-C40</f>
        <v>-4084567</v>
      </c>
      <c r="F40" s="80">
        <f>IF(C40=0,0,E40/C40)</f>
        <v>-1.2822063318513413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5290258</v>
      </c>
      <c r="D42" s="79">
        <f>D34+D40</f>
        <v>-104075</v>
      </c>
      <c r="E42" s="79">
        <f>D42-C42</f>
        <v>-5394333</v>
      </c>
      <c r="F42" s="80">
        <f>IF(C42=0,0,E42/C42)</f>
        <v>-1.0196729535686162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-681994</v>
      </c>
      <c r="D46" s="76">
        <v>272087</v>
      </c>
      <c r="E46" s="76">
        <f>D46-C46</f>
        <v>954081</v>
      </c>
      <c r="F46" s="77">
        <f>IF(C46=0,0,E46/C46)</f>
        <v>-1.3989580553494605</v>
      </c>
    </row>
    <row r="47" spans="1:6" ht="23.1" customHeight="1" x14ac:dyDescent="0.25">
      <c r="A47" s="83"/>
      <c r="B47" s="78" t="s">
        <v>102</v>
      </c>
      <c r="C47" s="79">
        <f>SUM(C45:C46)</f>
        <v>-681994</v>
      </c>
      <c r="D47" s="79">
        <f>SUM(D45:D46)</f>
        <v>272087</v>
      </c>
      <c r="E47" s="79">
        <f>D47-C47</f>
        <v>954081</v>
      </c>
      <c r="F47" s="80">
        <f>IF(C47=0,0,E47/C47)</f>
        <v>-1.3989580553494605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4608264</v>
      </c>
      <c r="D49" s="79">
        <f>D42+D47</f>
        <v>168012</v>
      </c>
      <c r="E49" s="79">
        <f>D49-C49</f>
        <v>-4440252</v>
      </c>
      <c r="F49" s="80">
        <f>IF(C49=0,0,E49/C49)</f>
        <v>-0.9635411512882075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FILING&amp;R&amp;8GRIFFIN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2016-07-29T20:40:10Z</dcterms:created>
  <dcterms:modified xsi:type="dcterms:W3CDTF">2016-07-29T21:13:57Z</dcterms:modified>
</cp:coreProperties>
</file>