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Report485!$A$11:$F$31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4" i="22"/>
  <c r="C12" i="22"/>
  <c r="C33" i="22"/>
  <c r="D21" i="21"/>
  <c r="E21" i="21"/>
  <c r="C21" i="21"/>
  <c r="D19" i="21"/>
  <c r="E19" i="21"/>
  <c r="F19" i="21"/>
  <c r="C19" i="21"/>
  <c r="F17" i="21"/>
  <c r="E17" i="21"/>
  <c r="F15" i="21"/>
  <c r="E15" i="21"/>
  <c r="D45" i="20"/>
  <c r="E45" i="20"/>
  <c r="C45" i="20"/>
  <c r="D44" i="20"/>
  <c r="E44" i="20"/>
  <c r="C44" i="20"/>
  <c r="D43" i="20"/>
  <c r="D46" i="20"/>
  <c r="C43" i="20"/>
  <c r="D36" i="20"/>
  <c r="D40" i="20"/>
  <c r="C36" i="20"/>
  <c r="F35" i="20"/>
  <c r="E35" i="20"/>
  <c r="F34" i="20"/>
  <c r="E34" i="20"/>
  <c r="F33" i="20"/>
  <c r="E33" i="20"/>
  <c r="E36" i="20"/>
  <c r="F30" i="20"/>
  <c r="E30" i="20"/>
  <c r="F29" i="20"/>
  <c r="E29" i="20"/>
  <c r="F28" i="20"/>
  <c r="E28" i="20"/>
  <c r="F27" i="20"/>
  <c r="E27" i="20"/>
  <c r="D25" i="20"/>
  <c r="D39" i="20"/>
  <c r="C25" i="20"/>
  <c r="F24" i="20"/>
  <c r="E24" i="20"/>
  <c r="E23" i="20"/>
  <c r="F23" i="20"/>
  <c r="F22" i="20"/>
  <c r="E22" i="20"/>
  <c r="E25" i="20"/>
  <c r="D19" i="20"/>
  <c r="D20" i="20"/>
  <c r="C19" i="20"/>
  <c r="E18" i="20"/>
  <c r="F18" i="20"/>
  <c r="D16" i="20"/>
  <c r="C16" i="20"/>
  <c r="E15" i="20"/>
  <c r="F15" i="20"/>
  <c r="E13" i="20"/>
  <c r="F13" i="20"/>
  <c r="E12" i="20"/>
  <c r="F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E251" i="18"/>
  <c r="D23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/>
  <c r="C228" i="18"/>
  <c r="D227" i="18"/>
  <c r="C227" i="18"/>
  <c r="E227" i="18"/>
  <c r="D221" i="18"/>
  <c r="D245" i="18"/>
  <c r="C221" i="18"/>
  <c r="C245" i="18"/>
  <c r="D220" i="18"/>
  <c r="D244" i="18"/>
  <c r="C220" i="18"/>
  <c r="C244" i="18"/>
  <c r="D219" i="18"/>
  <c r="D243" i="18"/>
  <c r="C219" i="18"/>
  <c r="C243" i="18"/>
  <c r="D218" i="18"/>
  <c r="D242" i="18"/>
  <c r="C218" i="18"/>
  <c r="C242" i="18"/>
  <c r="D217" i="18"/>
  <c r="D216" i="18"/>
  <c r="D240" i="18"/>
  <c r="C216" i="18"/>
  <c r="D215" i="18"/>
  <c r="C215" i="18"/>
  <c r="C239" i="18"/>
  <c r="D210" i="18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C179" i="18"/>
  <c r="E179" i="18"/>
  <c r="D178" i="18"/>
  <c r="E178" i="18"/>
  <c r="C178" i="18"/>
  <c r="D177" i="18"/>
  <c r="C177" i="18"/>
  <c r="E177" i="18"/>
  <c r="D176" i="18"/>
  <c r="E176" i="18"/>
  <c r="C176" i="18"/>
  <c r="D174" i="18"/>
  <c r="E174" i="18"/>
  <c r="C174" i="18"/>
  <c r="D173" i="18"/>
  <c r="C173" i="18"/>
  <c r="E173" i="18"/>
  <c r="D167" i="18"/>
  <c r="E167" i="18"/>
  <c r="C167" i="18"/>
  <c r="D166" i="18"/>
  <c r="C166" i="18"/>
  <c r="E166" i="18"/>
  <c r="D165" i="18"/>
  <c r="E165" i="18"/>
  <c r="C165" i="18"/>
  <c r="D164" i="18"/>
  <c r="C164" i="18"/>
  <c r="E164" i="18"/>
  <c r="D162" i="18"/>
  <c r="C162" i="18"/>
  <c r="E162" i="18"/>
  <c r="D161" i="18"/>
  <c r="E161" i="18"/>
  <c r="C161" i="18"/>
  <c r="D156" i="18"/>
  <c r="D157" i="18"/>
  <c r="E155" i="18"/>
  <c r="E154" i="18"/>
  <c r="E153" i="18"/>
  <c r="E152" i="18"/>
  <c r="D151" i="18"/>
  <c r="C151" i="18"/>
  <c r="E151" i="18"/>
  <c r="E150" i="18"/>
  <c r="E149" i="18"/>
  <c r="C144" i="18"/>
  <c r="E143" i="18"/>
  <c r="E142" i="18"/>
  <c r="E141" i="18"/>
  <c r="E140" i="18"/>
  <c r="D139" i="18"/>
  <c r="D163" i="18"/>
  <c r="C139" i="18"/>
  <c r="C175" i="18"/>
  <c r="E138" i="18"/>
  <c r="E137" i="18"/>
  <c r="D75" i="18"/>
  <c r="C75" i="18"/>
  <c r="E75" i="18"/>
  <c r="D74" i="18"/>
  <c r="E74" i="18"/>
  <c r="C74" i="18"/>
  <c r="D73" i="18"/>
  <c r="C73" i="18"/>
  <c r="E73" i="18"/>
  <c r="D72" i="18"/>
  <c r="E72" i="18"/>
  <c r="C72" i="18"/>
  <c r="C71" i="18"/>
  <c r="D70" i="18"/>
  <c r="E70" i="18"/>
  <c r="C70" i="18"/>
  <c r="C76" i="18"/>
  <c r="D69" i="18"/>
  <c r="C69" i="18"/>
  <c r="C77" i="18"/>
  <c r="C65" i="18"/>
  <c r="C66" i="18"/>
  <c r="E64" i="18"/>
  <c r="E63" i="18"/>
  <c r="E62" i="18"/>
  <c r="E61" i="18"/>
  <c r="D60" i="18"/>
  <c r="C60" i="18"/>
  <c r="C289" i="18"/>
  <c r="E59" i="18"/>
  <c r="E58" i="18"/>
  <c r="C55" i="18"/>
  <c r="D54" i="18"/>
  <c r="C54" i="18"/>
  <c r="E53" i="18"/>
  <c r="E52" i="18"/>
  <c r="E51" i="18"/>
  <c r="E50" i="18"/>
  <c r="E49" i="18"/>
  <c r="E48" i="18"/>
  <c r="E47" i="18"/>
  <c r="D42" i="18"/>
  <c r="E42" i="18"/>
  <c r="C42" i="18"/>
  <c r="D41" i="18"/>
  <c r="C41" i="18"/>
  <c r="E41" i="18"/>
  <c r="D40" i="18"/>
  <c r="E40" i="18"/>
  <c r="C40" i="18"/>
  <c r="D39" i="18"/>
  <c r="C39" i="18"/>
  <c r="E39" i="18"/>
  <c r="D38" i="18"/>
  <c r="E38" i="18"/>
  <c r="C38" i="18"/>
  <c r="D37" i="18"/>
  <c r="D43" i="18"/>
  <c r="C37" i="18"/>
  <c r="C43" i="18"/>
  <c r="C259" i="18"/>
  <c r="D36" i="18"/>
  <c r="D44" i="18"/>
  <c r="C36" i="18"/>
  <c r="C44" i="18"/>
  <c r="C33" i="18"/>
  <c r="C295" i="18"/>
  <c r="D32" i="18"/>
  <c r="D33" i="18"/>
  <c r="C32" i="18"/>
  <c r="C294" i="18"/>
  <c r="E31" i="18"/>
  <c r="E30" i="18"/>
  <c r="E29" i="18"/>
  <c r="E28" i="18"/>
  <c r="E27" i="18"/>
  <c r="E26" i="18"/>
  <c r="E25" i="18"/>
  <c r="D22" i="18"/>
  <c r="D21" i="18"/>
  <c r="C21" i="18"/>
  <c r="C283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F308" i="17"/>
  <c r="E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E306" i="17"/>
  <c r="C250" i="17"/>
  <c r="C306" i="17"/>
  <c r="F249" i="17"/>
  <c r="E249" i="17"/>
  <c r="F248" i="17"/>
  <c r="E248" i="17"/>
  <c r="F245" i="17"/>
  <c r="E245" i="17"/>
  <c r="F244" i="17"/>
  <c r="E244" i="17"/>
  <c r="F243" i="17"/>
  <c r="E243" i="17"/>
  <c r="D238" i="17"/>
  <c r="E238" i="17"/>
  <c r="F238" i="17"/>
  <c r="C238" i="17"/>
  <c r="D237" i="17"/>
  <c r="D239" i="17"/>
  <c r="C237" i="17"/>
  <c r="C239" i="17"/>
  <c r="F234" i="17"/>
  <c r="E234" i="17"/>
  <c r="F233" i="17"/>
  <c r="E233" i="17"/>
  <c r="D230" i="17"/>
  <c r="E230" i="17"/>
  <c r="F230" i="17"/>
  <c r="C230" i="17"/>
  <c r="D229" i="17"/>
  <c r="E229" i="17"/>
  <c r="F229" i="17"/>
  <c r="C229" i="17"/>
  <c r="F228" i="17"/>
  <c r="E228" i="17"/>
  <c r="D226" i="17"/>
  <c r="D227" i="17"/>
  <c r="C226" i="17"/>
  <c r="C227" i="17"/>
  <c r="F225" i="17"/>
  <c r="E225" i="17"/>
  <c r="F224" i="17"/>
  <c r="E224" i="17"/>
  <c r="D223" i="17"/>
  <c r="E223" i="17"/>
  <c r="F223" i="17"/>
  <c r="C223" i="17"/>
  <c r="F222" i="17"/>
  <c r="E222" i="17"/>
  <c r="F221" i="17"/>
  <c r="E221" i="17"/>
  <c r="D204" i="17"/>
  <c r="E204" i="17"/>
  <c r="F204" i="17"/>
  <c r="C204" i="17"/>
  <c r="D203" i="17"/>
  <c r="E203" i="17"/>
  <c r="F203" i="17"/>
  <c r="C203" i="17"/>
  <c r="C283" i="17"/>
  <c r="D198" i="17"/>
  <c r="E198" i="17"/>
  <c r="F198" i="17"/>
  <c r="C198" i="17"/>
  <c r="D191" i="17"/>
  <c r="D280" i="17"/>
  <c r="C191" i="17"/>
  <c r="C280" i="17"/>
  <c r="D189" i="17"/>
  <c r="D278" i="17"/>
  <c r="C189" i="17"/>
  <c r="C278" i="17"/>
  <c r="D188" i="17"/>
  <c r="D277" i="17"/>
  <c r="C188" i="17"/>
  <c r="C277" i="17"/>
  <c r="F180" i="17"/>
  <c r="D180" i="17"/>
  <c r="E180" i="17"/>
  <c r="C180" i="17"/>
  <c r="F179" i="17"/>
  <c r="D179" i="17"/>
  <c r="D181" i="17"/>
  <c r="C179" i="17"/>
  <c r="C181" i="17"/>
  <c r="F181" i="17"/>
  <c r="F171" i="17"/>
  <c r="D171" i="17"/>
  <c r="E171" i="17"/>
  <c r="C171" i="17"/>
  <c r="C172" i="17"/>
  <c r="C173" i="17"/>
  <c r="F173" i="17"/>
  <c r="F170" i="17"/>
  <c r="D170" i="17"/>
  <c r="E170" i="17"/>
  <c r="C170" i="17"/>
  <c r="F169" i="17"/>
  <c r="E169" i="17"/>
  <c r="F168" i="17"/>
  <c r="E168" i="17"/>
  <c r="F165" i="17"/>
  <c r="D165" i="17"/>
  <c r="E165" i="17"/>
  <c r="C165" i="17"/>
  <c r="F164" i="17"/>
  <c r="D164" i="17"/>
  <c r="E164" i="17"/>
  <c r="C164" i="17"/>
  <c r="F163" i="17"/>
  <c r="E163" i="17"/>
  <c r="F158" i="17"/>
  <c r="D158" i="17"/>
  <c r="E158" i="17"/>
  <c r="C158" i="17"/>
  <c r="C159" i="17"/>
  <c r="F159" i="17"/>
  <c r="F157" i="17"/>
  <c r="E157" i="17"/>
  <c r="F156" i="17"/>
  <c r="E156" i="17"/>
  <c r="F155" i="17"/>
  <c r="D155" i="17"/>
  <c r="E155" i="17"/>
  <c r="C155" i="17"/>
  <c r="F154" i="17"/>
  <c r="E154" i="17"/>
  <c r="F153" i="17"/>
  <c r="E153" i="17"/>
  <c r="F145" i="17"/>
  <c r="D145" i="17"/>
  <c r="E145" i="17"/>
  <c r="C145" i="17"/>
  <c r="D144" i="17"/>
  <c r="E144" i="17"/>
  <c r="F144" i="17"/>
  <c r="C144" i="17"/>
  <c r="C146" i="17"/>
  <c r="D136" i="17"/>
  <c r="E136" i="17"/>
  <c r="F136" i="17"/>
  <c r="C136" i="17"/>
  <c r="C137" i="17"/>
  <c r="D135" i="17"/>
  <c r="E135" i="17"/>
  <c r="F135" i="17"/>
  <c r="C135" i="17"/>
  <c r="E134" i="17"/>
  <c r="F134" i="17"/>
  <c r="E133" i="17"/>
  <c r="F133" i="17"/>
  <c r="D130" i="17"/>
  <c r="E130" i="17"/>
  <c r="F130" i="17"/>
  <c r="C130" i="17"/>
  <c r="D129" i="17"/>
  <c r="E129" i="17"/>
  <c r="F129" i="17"/>
  <c r="C129" i="17"/>
  <c r="E128" i="17"/>
  <c r="F128" i="17"/>
  <c r="D123" i="17"/>
  <c r="D192" i="17"/>
  <c r="C123" i="17"/>
  <c r="E122" i="17"/>
  <c r="F122" i="17"/>
  <c r="E121" i="17"/>
  <c r="F121" i="17"/>
  <c r="D120" i="17"/>
  <c r="E120" i="17"/>
  <c r="F120" i="17"/>
  <c r="C120" i="17"/>
  <c r="E119" i="17"/>
  <c r="F119" i="17"/>
  <c r="E118" i="17"/>
  <c r="F118" i="17"/>
  <c r="D110" i="17"/>
  <c r="E110" i="17"/>
  <c r="F110" i="17"/>
  <c r="C110" i="17"/>
  <c r="D109" i="17"/>
  <c r="D111" i="17"/>
  <c r="E111" i="17"/>
  <c r="C109" i="17"/>
  <c r="C111" i="17"/>
  <c r="D101" i="17"/>
  <c r="D102" i="17"/>
  <c r="C101" i="17"/>
  <c r="C102" i="17"/>
  <c r="D100" i="17"/>
  <c r="E100" i="17"/>
  <c r="F100" i="17"/>
  <c r="C100" i="17"/>
  <c r="E99" i="17"/>
  <c r="F99" i="17"/>
  <c r="E98" i="17"/>
  <c r="F98" i="17"/>
  <c r="D95" i="17"/>
  <c r="E95" i="17"/>
  <c r="F95" i="17"/>
  <c r="C95" i="17"/>
  <c r="D94" i="17"/>
  <c r="E94" i="17"/>
  <c r="F94" i="17"/>
  <c r="C94" i="17"/>
  <c r="E93" i="17"/>
  <c r="F93" i="17"/>
  <c r="D88" i="17"/>
  <c r="D89" i="17"/>
  <c r="E89" i="17"/>
  <c r="C88" i="17"/>
  <c r="C89" i="17"/>
  <c r="E87" i="17"/>
  <c r="F87" i="17"/>
  <c r="E86" i="17"/>
  <c r="F86" i="17"/>
  <c r="D85" i="17"/>
  <c r="E85" i="17"/>
  <c r="F85" i="17"/>
  <c r="C85" i="17"/>
  <c r="E84" i="17"/>
  <c r="F84" i="17"/>
  <c r="E83" i="17"/>
  <c r="F83" i="17"/>
  <c r="D76" i="17"/>
  <c r="D77" i="17"/>
  <c r="E77" i="17"/>
  <c r="C76" i="17"/>
  <c r="C77" i="17"/>
  <c r="E74" i="17"/>
  <c r="F74" i="17"/>
  <c r="E73" i="17"/>
  <c r="F73" i="17"/>
  <c r="D67" i="17"/>
  <c r="C67" i="17"/>
  <c r="D66" i="17"/>
  <c r="D68" i="17"/>
  <c r="E68" i="17"/>
  <c r="C66" i="17"/>
  <c r="C68" i="17"/>
  <c r="D59" i="17"/>
  <c r="D60" i="17"/>
  <c r="C59" i="17"/>
  <c r="C60" i="17"/>
  <c r="D58" i="17"/>
  <c r="C58" i="17"/>
  <c r="E57" i="17"/>
  <c r="F57" i="17"/>
  <c r="E56" i="17"/>
  <c r="F56" i="17"/>
  <c r="D53" i="17"/>
  <c r="C53" i="17"/>
  <c r="D52" i="17"/>
  <c r="C52" i="17"/>
  <c r="E51" i="17"/>
  <c r="F51" i="17"/>
  <c r="D47" i="17"/>
  <c r="D48" i="17"/>
  <c r="C47" i="17"/>
  <c r="C48" i="17"/>
  <c r="E46" i="17"/>
  <c r="F46" i="17"/>
  <c r="E45" i="17"/>
  <c r="F45" i="17"/>
  <c r="D44" i="17"/>
  <c r="C44" i="17"/>
  <c r="E43" i="17"/>
  <c r="F43" i="17"/>
  <c r="E42" i="17"/>
  <c r="F42" i="17"/>
  <c r="D36" i="17"/>
  <c r="C36" i="17"/>
  <c r="D35" i="17"/>
  <c r="D37" i="17"/>
  <c r="C35" i="17"/>
  <c r="D30" i="17"/>
  <c r="D31" i="17"/>
  <c r="C30" i="17"/>
  <c r="C31" i="17"/>
  <c r="D29" i="17"/>
  <c r="C29" i="17"/>
  <c r="E28" i="17"/>
  <c r="F28" i="17"/>
  <c r="E27" i="17"/>
  <c r="F27" i="17"/>
  <c r="D24" i="17"/>
  <c r="C24" i="17"/>
  <c r="D23" i="17"/>
  <c r="C23" i="17"/>
  <c r="E22" i="17"/>
  <c r="F22" i="17"/>
  <c r="D20" i="17"/>
  <c r="C20" i="17"/>
  <c r="E19" i="17"/>
  <c r="F19" i="17"/>
  <c r="E18" i="17"/>
  <c r="F18" i="17"/>
  <c r="D17" i="17"/>
  <c r="C17" i="17"/>
  <c r="E16" i="17"/>
  <c r="F16" i="17"/>
  <c r="E15" i="17"/>
  <c r="F15" i="17"/>
  <c r="D24" i="16"/>
  <c r="E24" i="16"/>
  <c r="C24" i="16"/>
  <c r="F23" i="16"/>
  <c r="E23" i="16"/>
  <c r="D20" i="16"/>
  <c r="E20" i="16"/>
  <c r="F20" i="16"/>
  <c r="C20" i="16"/>
  <c r="F19" i="16"/>
  <c r="E19" i="16"/>
  <c r="F18" i="16"/>
  <c r="E18" i="16"/>
  <c r="D15" i="16"/>
  <c r="E15" i="16"/>
  <c r="F15" i="16"/>
  <c r="C15" i="16"/>
  <c r="F14" i="16"/>
  <c r="E14" i="16"/>
  <c r="F13" i="16"/>
  <c r="E13" i="16"/>
  <c r="F12" i="16"/>
  <c r="E12" i="16"/>
  <c r="D107" i="15"/>
  <c r="E107" i="15"/>
  <c r="F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D60" i="15"/>
  <c r="C60" i="15"/>
  <c r="F59" i="15"/>
  <c r="E59" i="15"/>
  <c r="F58" i="15"/>
  <c r="E58" i="15"/>
  <c r="E60" i="15"/>
  <c r="F60" i="15"/>
  <c r="D55" i="15"/>
  <c r="E55" i="15"/>
  <c r="F55" i="15"/>
  <c r="C55" i="15"/>
  <c r="F54" i="15"/>
  <c r="E54" i="15"/>
  <c r="F53" i="15"/>
  <c r="E53" i="15"/>
  <c r="D50" i="15"/>
  <c r="E50" i="15"/>
  <c r="F50" i="15"/>
  <c r="C50" i="15"/>
  <c r="F49" i="15"/>
  <c r="E49" i="15"/>
  <c r="F48" i="15"/>
  <c r="E48" i="15"/>
  <c r="D45" i="15"/>
  <c r="E45" i="15"/>
  <c r="F45" i="15"/>
  <c r="C45" i="15"/>
  <c r="F44" i="15"/>
  <c r="E44" i="15"/>
  <c r="F43" i="15"/>
  <c r="E43" i="15"/>
  <c r="D37" i="15"/>
  <c r="E37" i="15"/>
  <c r="F37" i="15"/>
  <c r="C37" i="15"/>
  <c r="F36" i="15"/>
  <c r="E36" i="15"/>
  <c r="F35" i="15"/>
  <c r="E35" i="15"/>
  <c r="F34" i="15"/>
  <c r="E34" i="15"/>
  <c r="F33" i="15"/>
  <c r="E33" i="15"/>
  <c r="D30" i="15"/>
  <c r="E30" i="15"/>
  <c r="F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D75" i="13"/>
  <c r="E73" i="13"/>
  <c r="E75" i="13"/>
  <c r="D73" i="13"/>
  <c r="C73" i="13"/>
  <c r="C75" i="13"/>
  <c r="E71" i="13"/>
  <c r="D71" i="13"/>
  <c r="C71" i="13"/>
  <c r="E66" i="13"/>
  <c r="D66" i="13"/>
  <c r="D65" i="13"/>
  <c r="C66" i="13"/>
  <c r="E65" i="13"/>
  <c r="C65" i="13"/>
  <c r="E60" i="13"/>
  <c r="D60" i="13"/>
  <c r="C60" i="13"/>
  <c r="D59" i="13"/>
  <c r="D61" i="13"/>
  <c r="D57" i="13"/>
  <c r="E58" i="13"/>
  <c r="D58" i="13"/>
  <c r="C58" i="13"/>
  <c r="E55" i="13"/>
  <c r="D55" i="13"/>
  <c r="C55" i="13"/>
  <c r="E54" i="13"/>
  <c r="D54" i="13"/>
  <c r="D50" i="13"/>
  <c r="C54" i="13"/>
  <c r="E50" i="13"/>
  <c r="C50" i="13"/>
  <c r="D48" i="13"/>
  <c r="D42" i="13"/>
  <c r="E46" i="13"/>
  <c r="E59" i="13"/>
  <c r="E61" i="13"/>
  <c r="E57" i="13"/>
  <c r="D46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D25" i="13"/>
  <c r="D27" i="13"/>
  <c r="D15" i="13"/>
  <c r="D24" i="13"/>
  <c r="E13" i="13"/>
  <c r="E25" i="13"/>
  <c r="E27" i="13"/>
  <c r="D13" i="13"/>
  <c r="C13" i="13"/>
  <c r="C25" i="13"/>
  <c r="C27" i="13"/>
  <c r="D47" i="12"/>
  <c r="E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E54" i="11"/>
  <c r="F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E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E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0" i="10"/>
  <c r="D120" i="10"/>
  <c r="E120" i="10"/>
  <c r="C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D122" i="10"/>
  <c r="E122" i="10"/>
  <c r="C113" i="10"/>
  <c r="C122" i="10"/>
  <c r="F122" i="10"/>
  <c r="F112" i="10"/>
  <c r="D112" i="10"/>
  <c r="D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F206" i="9"/>
  <c r="C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D207" i="9"/>
  <c r="E207" i="9"/>
  <c r="C198" i="9"/>
  <c r="C207" i="9"/>
  <c r="F193" i="9"/>
  <c r="D193" i="9"/>
  <c r="E193" i="9"/>
  <c r="C193" i="9"/>
  <c r="F192" i="9"/>
  <c r="D192" i="9"/>
  <c r="E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/>
  <c r="C141" i="9"/>
  <c r="F140" i="9"/>
  <c r="D140" i="9"/>
  <c r="E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E89" i="8"/>
  <c r="D89" i="8"/>
  <c r="C89" i="8"/>
  <c r="E87" i="8"/>
  <c r="D87" i="8"/>
  <c r="C87" i="8"/>
  <c r="E84" i="8"/>
  <c r="D84" i="8"/>
  <c r="C84" i="8"/>
  <c r="E83" i="8"/>
  <c r="E79" i="8"/>
  <c r="D83" i="8"/>
  <c r="C83" i="8"/>
  <c r="C79" i="8"/>
  <c r="D79" i="8"/>
  <c r="E77" i="8"/>
  <c r="E71" i="8"/>
  <c r="C77" i="8"/>
  <c r="C71" i="8"/>
  <c r="E75" i="8"/>
  <c r="E88" i="8"/>
  <c r="E90" i="8"/>
  <c r="E86" i="8"/>
  <c r="D75" i="8"/>
  <c r="D88" i="8"/>
  <c r="D90" i="8"/>
  <c r="D86" i="8"/>
  <c r="C75" i="8"/>
  <c r="C88" i="8"/>
  <c r="C90" i="8"/>
  <c r="C86" i="8"/>
  <c r="E74" i="8"/>
  <c r="D74" i="8"/>
  <c r="C74" i="8"/>
  <c r="E67" i="8"/>
  <c r="D67" i="8"/>
  <c r="C67" i="8"/>
  <c r="D53" i="8"/>
  <c r="D43" i="8"/>
  <c r="E38" i="8"/>
  <c r="E57" i="8"/>
  <c r="E62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E25" i="8"/>
  <c r="E27" i="8"/>
  <c r="C25" i="8"/>
  <c r="C27" i="8"/>
  <c r="E15" i="8"/>
  <c r="E24" i="8"/>
  <c r="C15" i="8"/>
  <c r="C24" i="8"/>
  <c r="E13" i="8"/>
  <c r="D13" i="8"/>
  <c r="D25" i="8"/>
  <c r="D27" i="8"/>
  <c r="C13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4" i="6"/>
  <c r="D94" i="6"/>
  <c r="E94" i="6"/>
  <c r="C94" i="6"/>
  <c r="F93" i="6"/>
  <c r="D93" i="6"/>
  <c r="E93" i="6"/>
  <c r="C93" i="6"/>
  <c r="D92" i="6"/>
  <c r="E92" i="6"/>
  <c r="F92" i="6"/>
  <c r="C92" i="6"/>
  <c r="F91" i="6"/>
  <c r="D91" i="6"/>
  <c r="E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E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1" i="6"/>
  <c r="D51" i="6"/>
  <c r="E51" i="6"/>
  <c r="C51" i="6"/>
  <c r="F50" i="6"/>
  <c r="D50" i="6"/>
  <c r="E50" i="6"/>
  <c r="C50" i="6"/>
  <c r="D49" i="6"/>
  <c r="E49" i="6"/>
  <c r="F49" i="6"/>
  <c r="C49" i="6"/>
  <c r="F48" i="6"/>
  <c r="D48" i="6"/>
  <c r="E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F48" i="5"/>
  <c r="D48" i="5"/>
  <c r="E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E73" i="4"/>
  <c r="F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E65" i="4"/>
  <c r="C61" i="4"/>
  <c r="C65" i="4"/>
  <c r="F60" i="4"/>
  <c r="E60" i="4"/>
  <c r="F59" i="4"/>
  <c r="E59" i="4"/>
  <c r="D56" i="4"/>
  <c r="D75" i="4"/>
  <c r="E75" i="4"/>
  <c r="C56" i="4"/>
  <c r="C75" i="4"/>
  <c r="F55" i="4"/>
  <c r="E55" i="4"/>
  <c r="E54" i="4"/>
  <c r="F54" i="4"/>
  <c r="F53" i="4"/>
  <c r="E53" i="4"/>
  <c r="E52" i="4"/>
  <c r="F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E38" i="4"/>
  <c r="F38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D108" i="22"/>
  <c r="D109" i="22"/>
  <c r="C109" i="22"/>
  <c r="C108" i="22"/>
  <c r="E109" i="22"/>
  <c r="E108" i="22"/>
  <c r="C103" i="22"/>
  <c r="D22" i="22"/>
  <c r="C23" i="22"/>
  <c r="E23" i="22"/>
  <c r="D33" i="22"/>
  <c r="C34" i="22"/>
  <c r="E34" i="22"/>
  <c r="D101" i="22"/>
  <c r="D103" i="22"/>
  <c r="C102" i="22"/>
  <c r="E102" i="22"/>
  <c r="E103" i="22"/>
  <c r="D111" i="22"/>
  <c r="C22" i="22"/>
  <c r="E22" i="22"/>
  <c r="D30" i="22"/>
  <c r="D36" i="22"/>
  <c r="D40" i="22"/>
  <c r="D46" i="22"/>
  <c r="F21" i="21"/>
  <c r="F16" i="20"/>
  <c r="F25" i="20"/>
  <c r="F36" i="20"/>
  <c r="F44" i="20"/>
  <c r="F45" i="20"/>
  <c r="D41" i="20"/>
  <c r="E40" i="20"/>
  <c r="E16" i="20"/>
  <c r="E19" i="20"/>
  <c r="F19" i="20"/>
  <c r="C20" i="20"/>
  <c r="C39" i="20"/>
  <c r="E39" i="20"/>
  <c r="E41" i="20"/>
  <c r="C40" i="20"/>
  <c r="E43" i="20"/>
  <c r="E46" i="20"/>
  <c r="C46" i="20"/>
  <c r="C38" i="19"/>
  <c r="C127" i="19"/>
  <c r="C129" i="19"/>
  <c r="C133" i="19"/>
  <c r="E17" i="17"/>
  <c r="F17" i="17"/>
  <c r="E52" i="17"/>
  <c r="F52" i="17"/>
  <c r="E53" i="17"/>
  <c r="E58" i="17"/>
  <c r="F58" i="17"/>
  <c r="E67" i="17"/>
  <c r="C22" i="19"/>
  <c r="D258" i="18"/>
  <c r="D100" i="18"/>
  <c r="E100" i="18"/>
  <c r="D98" i="18"/>
  <c r="D96" i="18"/>
  <c r="D89" i="18"/>
  <c r="D87" i="18"/>
  <c r="E87" i="18"/>
  <c r="D85" i="18"/>
  <c r="D83" i="18"/>
  <c r="D101" i="18"/>
  <c r="D99" i="18"/>
  <c r="E99" i="18"/>
  <c r="D97" i="18"/>
  <c r="D95" i="18"/>
  <c r="D88" i="18"/>
  <c r="D86" i="18"/>
  <c r="E86" i="18"/>
  <c r="D84" i="18"/>
  <c r="E44" i="18"/>
  <c r="E43" i="18"/>
  <c r="E33" i="18"/>
  <c r="C258" i="18"/>
  <c r="C101" i="18"/>
  <c r="C99" i="18"/>
  <c r="C97" i="18"/>
  <c r="C95" i="18"/>
  <c r="C88" i="18"/>
  <c r="C86" i="18"/>
  <c r="C84" i="18"/>
  <c r="C100" i="18"/>
  <c r="C98" i="18"/>
  <c r="C96" i="18"/>
  <c r="C89" i="18"/>
  <c r="C87" i="18"/>
  <c r="C85" i="18"/>
  <c r="C83" i="18"/>
  <c r="E23" i="17"/>
  <c r="E24" i="17"/>
  <c r="E29" i="17"/>
  <c r="E36" i="17"/>
  <c r="E44" i="17"/>
  <c r="E294" i="17"/>
  <c r="E295" i="17"/>
  <c r="E296" i="17"/>
  <c r="E297" i="17"/>
  <c r="E298" i="17"/>
  <c r="E299" i="17"/>
  <c r="D283" i="18"/>
  <c r="E283" i="18"/>
  <c r="C22" i="18"/>
  <c r="C284" i="18"/>
  <c r="E32" i="18"/>
  <c r="E36" i="18"/>
  <c r="E21" i="18"/>
  <c r="E37" i="18"/>
  <c r="D55" i="18"/>
  <c r="E55" i="18"/>
  <c r="E54" i="18"/>
  <c r="D289" i="18"/>
  <c r="E289" i="18"/>
  <c r="D71" i="18"/>
  <c r="E71" i="18"/>
  <c r="D65" i="18"/>
  <c r="E60" i="18"/>
  <c r="C126" i="18"/>
  <c r="C124" i="18"/>
  <c r="C122" i="18"/>
  <c r="C128" i="18"/>
  <c r="C115" i="18"/>
  <c r="C113" i="18"/>
  <c r="C111" i="18"/>
  <c r="C109" i="18"/>
  <c r="C117" i="18"/>
  <c r="C127" i="18"/>
  <c r="C125" i="18"/>
  <c r="C123" i="18"/>
  <c r="C121" i="18"/>
  <c r="C129" i="18"/>
  <c r="C114" i="18"/>
  <c r="C112" i="18"/>
  <c r="C110" i="18"/>
  <c r="C116" i="18"/>
  <c r="E69" i="18"/>
  <c r="E139" i="18"/>
  <c r="D144" i="18"/>
  <c r="C145" i="18"/>
  <c r="C156" i="18"/>
  <c r="C157" i="18"/>
  <c r="E157" i="18"/>
  <c r="E156" i="18"/>
  <c r="C163" i="18"/>
  <c r="E163" i="18"/>
  <c r="D175" i="18"/>
  <c r="E175" i="18"/>
  <c r="C229" i="18"/>
  <c r="C210" i="18"/>
  <c r="C180" i="18"/>
  <c r="E205" i="18"/>
  <c r="C240" i="18"/>
  <c r="C253" i="18"/>
  <c r="C222" i="18"/>
  <c r="C246" i="18"/>
  <c r="E216" i="18"/>
  <c r="D241" i="18"/>
  <c r="E242" i="18"/>
  <c r="E243" i="18"/>
  <c r="E244" i="18"/>
  <c r="E245" i="18"/>
  <c r="D252" i="18"/>
  <c r="D253" i="18"/>
  <c r="E302" i="18"/>
  <c r="C303" i="18"/>
  <c r="C306" i="18"/>
  <c r="C310" i="18"/>
  <c r="C261" i="18"/>
  <c r="C263" i="18"/>
  <c r="C189" i="18"/>
  <c r="E189" i="18"/>
  <c r="E188" i="18"/>
  <c r="D260" i="18"/>
  <c r="E195" i="18"/>
  <c r="E229" i="18"/>
  <c r="D234" i="18"/>
  <c r="D211" i="18"/>
  <c r="E210" i="18"/>
  <c r="D239" i="18"/>
  <c r="E239" i="18"/>
  <c r="E215" i="18"/>
  <c r="E240" i="18"/>
  <c r="E303" i="18"/>
  <c r="D306" i="18"/>
  <c r="D320" i="18"/>
  <c r="E320" i="18"/>
  <c r="E316" i="18"/>
  <c r="E326" i="18"/>
  <c r="D330" i="18"/>
  <c r="E330" i="18"/>
  <c r="C217" i="18"/>
  <c r="C241" i="18"/>
  <c r="E219" i="18"/>
  <c r="E221" i="18"/>
  <c r="D222" i="18"/>
  <c r="C223" i="18"/>
  <c r="C247" i="18"/>
  <c r="C252" i="18"/>
  <c r="C254" i="18"/>
  <c r="E265" i="18"/>
  <c r="E314" i="18"/>
  <c r="E218" i="18"/>
  <c r="E220" i="18"/>
  <c r="E233" i="18"/>
  <c r="E301" i="18"/>
  <c r="E324" i="18"/>
  <c r="E31" i="17"/>
  <c r="D32" i="17"/>
  <c r="D90" i="17"/>
  <c r="E48" i="17"/>
  <c r="F48" i="17"/>
  <c r="C61" i="17"/>
  <c r="F68" i="17"/>
  <c r="F89" i="17"/>
  <c r="C103" i="17"/>
  <c r="F111" i="17"/>
  <c r="C32" i="17"/>
  <c r="F31" i="17"/>
  <c r="C160" i="17"/>
  <c r="C90" i="17"/>
  <c r="E60" i="17"/>
  <c r="F60" i="17"/>
  <c r="D61" i="17"/>
  <c r="D103" i="17"/>
  <c r="E103" i="17"/>
  <c r="E102" i="17"/>
  <c r="F102" i="17"/>
  <c r="D21" i="17"/>
  <c r="F23" i="17"/>
  <c r="F24" i="17"/>
  <c r="F29" i="17"/>
  <c r="F36" i="17"/>
  <c r="F44" i="17"/>
  <c r="F53" i="17"/>
  <c r="F67" i="17"/>
  <c r="E88" i="17"/>
  <c r="F88" i="17"/>
  <c r="E101" i="17"/>
  <c r="F101" i="17"/>
  <c r="E109" i="17"/>
  <c r="F109" i="17"/>
  <c r="C193" i="17"/>
  <c r="C266" i="17"/>
  <c r="C192" i="17"/>
  <c r="C124" i="17"/>
  <c r="C125" i="17"/>
  <c r="E123" i="17"/>
  <c r="F123" i="17"/>
  <c r="D124" i="17"/>
  <c r="E124" i="17"/>
  <c r="D137" i="17"/>
  <c r="D146" i="17"/>
  <c r="E146" i="17"/>
  <c r="F146" i="17"/>
  <c r="D159" i="17"/>
  <c r="E159" i="17"/>
  <c r="D172" i="17"/>
  <c r="E181" i="17"/>
  <c r="E227" i="17"/>
  <c r="F227" i="17"/>
  <c r="E239" i="17"/>
  <c r="F239" i="17"/>
  <c r="C282" i="17"/>
  <c r="C281" i="17"/>
  <c r="E20" i="17"/>
  <c r="F20" i="17"/>
  <c r="C21" i="17"/>
  <c r="E30" i="17"/>
  <c r="F30" i="17"/>
  <c r="E35" i="17"/>
  <c r="F35" i="17"/>
  <c r="C37" i="17"/>
  <c r="E47" i="17"/>
  <c r="F47" i="17"/>
  <c r="E59" i="17"/>
  <c r="F59" i="17"/>
  <c r="E66" i="17"/>
  <c r="F66" i="17"/>
  <c r="E76" i="17"/>
  <c r="F76" i="17"/>
  <c r="E192" i="17"/>
  <c r="C207" i="17"/>
  <c r="C138" i="17"/>
  <c r="F172" i="17"/>
  <c r="E179" i="17"/>
  <c r="C287" i="17"/>
  <c r="C284" i="17"/>
  <c r="C279" i="17"/>
  <c r="E188" i="17"/>
  <c r="F188" i="17"/>
  <c r="E189" i="17"/>
  <c r="F189" i="17"/>
  <c r="C190" i="17"/>
  <c r="E191" i="17"/>
  <c r="F191" i="17"/>
  <c r="C290" i="17"/>
  <c r="C274" i="17"/>
  <c r="C199" i="17"/>
  <c r="C200" i="17"/>
  <c r="C285" i="17"/>
  <c r="C269" i="17"/>
  <c r="C205" i="17"/>
  <c r="C206" i="17"/>
  <c r="C214" i="17"/>
  <c r="C304" i="17"/>
  <c r="C215" i="17"/>
  <c r="E226" i="17"/>
  <c r="F226" i="17"/>
  <c r="E237" i="17"/>
  <c r="F237" i="17"/>
  <c r="E250" i="17"/>
  <c r="F250" i="17"/>
  <c r="C254" i="17"/>
  <c r="C255" i="17"/>
  <c r="C261" i="17"/>
  <c r="C262" i="17"/>
  <c r="C264" i="17"/>
  <c r="C267" i="17"/>
  <c r="E277" i="17"/>
  <c r="F277" i="17"/>
  <c r="D279" i="17"/>
  <c r="E279" i="17"/>
  <c r="E278" i="17"/>
  <c r="F278" i="17"/>
  <c r="D190" i="17"/>
  <c r="E280" i="17"/>
  <c r="F280" i="17"/>
  <c r="D193" i="17"/>
  <c r="D282" i="17"/>
  <c r="D290" i="17"/>
  <c r="D274" i="17"/>
  <c r="E274" i="17"/>
  <c r="D199" i="17"/>
  <c r="D200" i="17"/>
  <c r="E200" i="17"/>
  <c r="D283" i="17"/>
  <c r="D287" i="17"/>
  <c r="D267" i="17"/>
  <c r="D285" i="17"/>
  <c r="E285" i="17"/>
  <c r="D269" i="17"/>
  <c r="E269" i="17"/>
  <c r="D205" i="17"/>
  <c r="E205" i="17"/>
  <c r="D206" i="17"/>
  <c r="E206" i="17"/>
  <c r="D214" i="17"/>
  <c r="D215" i="17"/>
  <c r="D261" i="17"/>
  <c r="D262" i="17"/>
  <c r="D264" i="17"/>
  <c r="F294" i="17"/>
  <c r="F295" i="17"/>
  <c r="F296" i="17"/>
  <c r="F297" i="17"/>
  <c r="F298" i="17"/>
  <c r="F299" i="17"/>
  <c r="F24" i="16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C21" i="13"/>
  <c r="E21" i="13"/>
  <c r="D21" i="13"/>
  <c r="D22" i="13"/>
  <c r="D20" i="13"/>
  <c r="D69" i="13"/>
  <c r="C15" i="13"/>
  <c r="E15" i="13"/>
  <c r="D17" i="13"/>
  <c r="D28" i="13"/>
  <c r="D70" i="13"/>
  <c r="D72" i="13"/>
  <c r="C48" i="13"/>
  <c r="C42" i="13"/>
  <c r="E48" i="13"/>
  <c r="E42" i="13"/>
  <c r="C20" i="12"/>
  <c r="F47" i="12"/>
  <c r="D20" i="12"/>
  <c r="E17" i="12"/>
  <c r="F17" i="12"/>
  <c r="E15" i="12"/>
  <c r="F15" i="12"/>
  <c r="F43" i="11"/>
  <c r="F41" i="11"/>
  <c r="F75" i="11"/>
  <c r="F65" i="11"/>
  <c r="F73" i="11"/>
  <c r="E22" i="11"/>
  <c r="F22" i="11"/>
  <c r="E38" i="11"/>
  <c r="F38" i="11"/>
  <c r="E56" i="11"/>
  <c r="F56" i="11"/>
  <c r="E61" i="11"/>
  <c r="F61" i="11"/>
  <c r="E121" i="10"/>
  <c r="E112" i="10"/>
  <c r="E113" i="10"/>
  <c r="F207" i="9"/>
  <c r="F208" i="9"/>
  <c r="E198" i="9"/>
  <c r="F198" i="9"/>
  <c r="E199" i="9"/>
  <c r="F199" i="9"/>
  <c r="D21" i="8"/>
  <c r="C20" i="8"/>
  <c r="C21" i="8"/>
  <c r="C140" i="8"/>
  <c r="C138" i="8"/>
  <c r="C136" i="8"/>
  <c r="C139" i="8"/>
  <c r="C137" i="8"/>
  <c r="C135" i="8"/>
  <c r="E157" i="8"/>
  <c r="E155" i="8"/>
  <c r="E153" i="8"/>
  <c r="E156" i="8"/>
  <c r="E154" i="8"/>
  <c r="E152" i="8"/>
  <c r="D156" i="8"/>
  <c r="D154" i="8"/>
  <c r="D152" i="8"/>
  <c r="D157" i="8"/>
  <c r="D155" i="8"/>
  <c r="D153" i="8"/>
  <c r="E20" i="8"/>
  <c r="E21" i="8"/>
  <c r="E140" i="8"/>
  <c r="E138" i="8"/>
  <c r="E136" i="8"/>
  <c r="E139" i="8"/>
  <c r="E137" i="8"/>
  <c r="E135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D15" i="8"/>
  <c r="C17" i="8"/>
  <c r="E17" i="8"/>
  <c r="C43" i="8"/>
  <c r="E43" i="8"/>
  <c r="D49" i="8"/>
  <c r="C53" i="8"/>
  <c r="E53" i="8"/>
  <c r="D77" i="8"/>
  <c r="D71" i="8"/>
  <c r="C49" i="8"/>
  <c r="E49" i="8"/>
  <c r="F95" i="7"/>
  <c r="F188" i="7"/>
  <c r="E90" i="7"/>
  <c r="F90" i="7"/>
  <c r="E183" i="7"/>
  <c r="F183" i="7"/>
  <c r="F52" i="6"/>
  <c r="F95" i="6"/>
  <c r="F179" i="6"/>
  <c r="E41" i="6"/>
  <c r="F41" i="6"/>
  <c r="E84" i="6"/>
  <c r="F84" i="6"/>
  <c r="D21" i="5"/>
  <c r="E18" i="5"/>
  <c r="F18" i="5"/>
  <c r="C21" i="5"/>
  <c r="E16" i="5"/>
  <c r="F16" i="5"/>
  <c r="D43" i="4"/>
  <c r="E43" i="4"/>
  <c r="F43" i="4"/>
  <c r="F75" i="4"/>
  <c r="F65" i="4"/>
  <c r="D41" i="4"/>
  <c r="E41" i="4"/>
  <c r="F41" i="4"/>
  <c r="E22" i="4"/>
  <c r="F22" i="4"/>
  <c r="E56" i="4"/>
  <c r="F56" i="4"/>
  <c r="E61" i="4"/>
  <c r="F61" i="4"/>
  <c r="E53" i="22"/>
  <c r="E45" i="22"/>
  <c r="E39" i="22"/>
  <c r="E35" i="22"/>
  <c r="E29" i="22"/>
  <c r="E110" i="22"/>
  <c r="C111" i="22"/>
  <c r="C54" i="22"/>
  <c r="C46" i="22"/>
  <c r="C40" i="22"/>
  <c r="C36" i="22"/>
  <c r="C30" i="22"/>
  <c r="D56" i="22"/>
  <c r="D48" i="22"/>
  <c r="D38" i="22"/>
  <c r="D113" i="22"/>
  <c r="C53" i="22"/>
  <c r="C45" i="22"/>
  <c r="C39" i="22"/>
  <c r="C35" i="22"/>
  <c r="C29" i="22"/>
  <c r="C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F46" i="20"/>
  <c r="F40" i="20"/>
  <c r="F20" i="20"/>
  <c r="E20" i="20"/>
  <c r="F39" i="20"/>
  <c r="C41" i="20"/>
  <c r="F41" i="20"/>
  <c r="F43" i="20"/>
  <c r="F285" i="17"/>
  <c r="E217" i="18"/>
  <c r="E306" i="18"/>
  <c r="D310" i="18"/>
  <c r="E310" i="18"/>
  <c r="D235" i="18"/>
  <c r="E260" i="18"/>
  <c r="E253" i="18"/>
  <c r="E241" i="18"/>
  <c r="D180" i="18"/>
  <c r="E180" i="18"/>
  <c r="D145" i="18"/>
  <c r="E144" i="18"/>
  <c r="D168" i="18"/>
  <c r="C168" i="18"/>
  <c r="D284" i="18"/>
  <c r="E284" i="18"/>
  <c r="D76" i="18"/>
  <c r="C102" i="18"/>
  <c r="C103" i="18"/>
  <c r="C264" i="18"/>
  <c r="C266" i="18"/>
  <c r="C267" i="18"/>
  <c r="E84" i="18"/>
  <c r="D90" i="18"/>
  <c r="E88" i="18"/>
  <c r="E97" i="18"/>
  <c r="E101" i="18"/>
  <c r="E85" i="18"/>
  <c r="E89" i="18"/>
  <c r="E98" i="18"/>
  <c r="E258" i="18"/>
  <c r="D288" i="17"/>
  <c r="E222" i="18"/>
  <c r="D246" i="18"/>
  <c r="E246" i="18"/>
  <c r="D223" i="18"/>
  <c r="D254" i="18"/>
  <c r="E254" i="18"/>
  <c r="E252" i="18"/>
  <c r="C234" i="18"/>
  <c r="E234" i="18"/>
  <c r="C211" i="18"/>
  <c r="C235" i="18"/>
  <c r="E261" i="18"/>
  <c r="C181" i="18"/>
  <c r="C169" i="18"/>
  <c r="C131" i="18"/>
  <c r="E65" i="18"/>
  <c r="D66" i="18"/>
  <c r="D294" i="18"/>
  <c r="E294" i="18"/>
  <c r="C90" i="18"/>
  <c r="C91" i="18"/>
  <c r="C105" i="18"/>
  <c r="E95" i="18"/>
  <c r="D91" i="18"/>
  <c r="E83" i="18"/>
  <c r="D102" i="18"/>
  <c r="E102" i="18"/>
  <c r="E96" i="18"/>
  <c r="E22" i="18"/>
  <c r="E282" i="17"/>
  <c r="D281" i="17"/>
  <c r="E281" i="17"/>
  <c r="F281" i="17"/>
  <c r="D271" i="17"/>
  <c r="D268" i="17"/>
  <c r="D263" i="17"/>
  <c r="E261" i="17"/>
  <c r="E267" i="17"/>
  <c r="D270" i="17"/>
  <c r="D272" i="17"/>
  <c r="E262" i="17"/>
  <c r="F262" i="17"/>
  <c r="D254" i="17"/>
  <c r="D216" i="17"/>
  <c r="E214" i="17"/>
  <c r="E283" i="17"/>
  <c r="F283" i="17"/>
  <c r="D286" i="17"/>
  <c r="E199" i="17"/>
  <c r="E290" i="17"/>
  <c r="E190" i="17"/>
  <c r="D284" i="17"/>
  <c r="E284" i="17"/>
  <c r="C300" i="17"/>
  <c r="C265" i="17"/>
  <c r="C271" i="17"/>
  <c r="C268" i="17"/>
  <c r="F261" i="17"/>
  <c r="C263" i="17"/>
  <c r="F206" i="17"/>
  <c r="F269" i="17"/>
  <c r="F200" i="17"/>
  <c r="F274" i="17"/>
  <c r="C288" i="17"/>
  <c r="F284" i="17"/>
  <c r="C208" i="17"/>
  <c r="C161" i="17"/>
  <c r="C126" i="17"/>
  <c r="C49" i="17"/>
  <c r="C91" i="17"/>
  <c r="D207" i="17"/>
  <c r="E137" i="17"/>
  <c r="F137" i="17"/>
  <c r="D138" i="17"/>
  <c r="E138" i="17"/>
  <c r="F138" i="17"/>
  <c r="F192" i="17"/>
  <c r="D91" i="17"/>
  <c r="E21" i="17"/>
  <c r="F21" i="17"/>
  <c r="D161" i="17"/>
  <c r="D126" i="17"/>
  <c r="D49" i="17"/>
  <c r="D104" i="17"/>
  <c r="E104" i="17"/>
  <c r="E61" i="17"/>
  <c r="F61" i="17"/>
  <c r="C209" i="17"/>
  <c r="C174" i="17"/>
  <c r="C139" i="17"/>
  <c r="C104" i="17"/>
  <c r="D160" i="17"/>
  <c r="E160" i="17"/>
  <c r="F160" i="17"/>
  <c r="E90" i="17"/>
  <c r="F90" i="17"/>
  <c r="E37" i="17"/>
  <c r="F37" i="17"/>
  <c r="D300" i="17"/>
  <c r="E300" i="17"/>
  <c r="E264" i="17"/>
  <c r="F264" i="17"/>
  <c r="D255" i="17"/>
  <c r="E255" i="17"/>
  <c r="F255" i="17"/>
  <c r="E215" i="17"/>
  <c r="F215" i="17"/>
  <c r="D194" i="17"/>
  <c r="E193" i="17"/>
  <c r="F193" i="17"/>
  <c r="E287" i="17"/>
  <c r="D291" i="17"/>
  <c r="D289" i="17"/>
  <c r="C270" i="17"/>
  <c r="F267" i="17"/>
  <c r="C272" i="17"/>
  <c r="F214" i="17"/>
  <c r="C216" i="17"/>
  <c r="F205" i="17"/>
  <c r="C286" i="17"/>
  <c r="F199" i="17"/>
  <c r="F290" i="17"/>
  <c r="F190" i="17"/>
  <c r="F279" i="17"/>
  <c r="C291" i="17"/>
  <c r="C289" i="17"/>
  <c r="F287" i="17"/>
  <c r="F282" i="17"/>
  <c r="E172" i="17"/>
  <c r="D173" i="17"/>
  <c r="E173" i="17"/>
  <c r="F124" i="17"/>
  <c r="C194" i="17"/>
  <c r="D266" i="17"/>
  <c r="E266" i="17"/>
  <c r="F266" i="17"/>
  <c r="C210" i="17"/>
  <c r="C175" i="17"/>
  <c r="C140" i="17"/>
  <c r="C62" i="17"/>
  <c r="C105" i="17"/>
  <c r="F103" i="17"/>
  <c r="D125" i="17"/>
  <c r="E125" i="17"/>
  <c r="F125" i="17"/>
  <c r="D105" i="17"/>
  <c r="E32" i="17"/>
  <c r="F32" i="17"/>
  <c r="D140" i="17"/>
  <c r="D62" i="17"/>
  <c r="G36" i="14"/>
  <c r="G38" i="14"/>
  <c r="G40" i="14"/>
  <c r="I33" i="14"/>
  <c r="I36" i="14"/>
  <c r="I38" i="14"/>
  <c r="I40" i="14"/>
  <c r="H33" i="14"/>
  <c r="H36" i="14"/>
  <c r="H38" i="14"/>
  <c r="H40" i="14"/>
  <c r="E24" i="13"/>
  <c r="E20" i="13"/>
  <c r="E17" i="13"/>
  <c r="E28" i="13"/>
  <c r="C24" i="13"/>
  <c r="C20" i="13"/>
  <c r="C17" i="13"/>
  <c r="C28" i="13"/>
  <c r="D34" i="12"/>
  <c r="E20" i="12"/>
  <c r="F20" i="12"/>
  <c r="C34" i="12"/>
  <c r="D24" i="8"/>
  <c r="D20" i="8"/>
  <c r="D17" i="8"/>
  <c r="C112" i="8"/>
  <c r="C111" i="8"/>
  <c r="C28" i="8"/>
  <c r="C158" i="8"/>
  <c r="E141" i="8"/>
  <c r="E158" i="8"/>
  <c r="C141" i="8"/>
  <c r="E112" i="8"/>
  <c r="E111" i="8"/>
  <c r="E28" i="8"/>
  <c r="D141" i="8"/>
  <c r="D158" i="8"/>
  <c r="D35" i="5"/>
  <c r="E21" i="5"/>
  <c r="F21" i="5"/>
  <c r="C35" i="5"/>
  <c r="D112" i="22"/>
  <c r="D55" i="22"/>
  <c r="D47" i="22"/>
  <c r="D37" i="22"/>
  <c r="E113" i="22"/>
  <c r="E56" i="22"/>
  <c r="E48" i="22"/>
  <c r="E38" i="22"/>
  <c r="C113" i="22"/>
  <c r="C56" i="22"/>
  <c r="C48" i="22"/>
  <c r="C38" i="22"/>
  <c r="C55" i="22"/>
  <c r="C47" i="22"/>
  <c r="C37" i="22"/>
  <c r="C112" i="22"/>
  <c r="E55" i="22"/>
  <c r="E47" i="22"/>
  <c r="E37" i="22"/>
  <c r="E112" i="22"/>
  <c r="C269" i="18"/>
  <c r="C268" i="18"/>
  <c r="D175" i="17"/>
  <c r="D176" i="17"/>
  <c r="E176" i="17"/>
  <c r="D139" i="17"/>
  <c r="D103" i="18"/>
  <c r="E103" i="18"/>
  <c r="E66" i="18"/>
  <c r="D295" i="18"/>
  <c r="E295" i="18"/>
  <c r="E90" i="18"/>
  <c r="E168" i="18"/>
  <c r="D169" i="18"/>
  <c r="E169" i="18"/>
  <c r="D181" i="18"/>
  <c r="E181" i="18"/>
  <c r="E145" i="18"/>
  <c r="E211" i="18"/>
  <c r="D105" i="18"/>
  <c r="E105" i="18"/>
  <c r="E91" i="18"/>
  <c r="D247" i="18"/>
  <c r="E247" i="18"/>
  <c r="E223" i="18"/>
  <c r="E76" i="18"/>
  <c r="D77" i="18"/>
  <c r="D259" i="18"/>
  <c r="E235" i="18"/>
  <c r="C63" i="17"/>
  <c r="C176" i="17"/>
  <c r="F176" i="17"/>
  <c r="E140" i="17"/>
  <c r="F140" i="17"/>
  <c r="D141" i="17"/>
  <c r="C106" i="17"/>
  <c r="C141" i="17"/>
  <c r="C195" i="17"/>
  <c r="E289" i="17"/>
  <c r="F289" i="17"/>
  <c r="E194" i="17"/>
  <c r="F194" i="17"/>
  <c r="D195" i="17"/>
  <c r="E195" i="17"/>
  <c r="D265" i="17"/>
  <c r="E265" i="17"/>
  <c r="F104" i="17"/>
  <c r="E139" i="17"/>
  <c r="E126" i="17"/>
  <c r="F126" i="17"/>
  <c r="D127" i="17"/>
  <c r="D196" i="17"/>
  <c r="D208" i="17"/>
  <c r="E207" i="17"/>
  <c r="F207" i="17"/>
  <c r="C92" i="17"/>
  <c r="C127" i="17"/>
  <c r="C196" i="17"/>
  <c r="C273" i="17"/>
  <c r="E286" i="17"/>
  <c r="F286" i="17"/>
  <c r="E254" i="17"/>
  <c r="F254" i="17"/>
  <c r="E272" i="17"/>
  <c r="E270" i="17"/>
  <c r="F270" i="17"/>
  <c r="E268" i="17"/>
  <c r="E62" i="17"/>
  <c r="F62" i="17"/>
  <c r="D63" i="17"/>
  <c r="E63" i="17"/>
  <c r="D106" i="17"/>
  <c r="E106" i="17"/>
  <c r="E105" i="17"/>
  <c r="F105" i="17"/>
  <c r="C305" i="17"/>
  <c r="F272" i="17"/>
  <c r="E291" i="17"/>
  <c r="F291" i="17"/>
  <c r="D305" i="17"/>
  <c r="F139" i="17"/>
  <c r="D174" i="17"/>
  <c r="E174" i="17"/>
  <c r="F174" i="17"/>
  <c r="E49" i="17"/>
  <c r="F49" i="17"/>
  <c r="D50" i="17"/>
  <c r="E161" i="17"/>
  <c r="F161" i="17"/>
  <c r="D162" i="17"/>
  <c r="D92" i="17"/>
  <c r="E91" i="17"/>
  <c r="F91" i="17"/>
  <c r="C50" i="17"/>
  <c r="C162" i="17"/>
  <c r="F268" i="17"/>
  <c r="F265" i="17"/>
  <c r="F300" i="17"/>
  <c r="E216" i="17"/>
  <c r="F216" i="17"/>
  <c r="E288" i="17"/>
  <c r="F288" i="17"/>
  <c r="E263" i="17"/>
  <c r="F263" i="17"/>
  <c r="E271" i="17"/>
  <c r="F271" i="17"/>
  <c r="D304" i="17"/>
  <c r="D273" i="17"/>
  <c r="C70" i="13"/>
  <c r="C72" i="13"/>
  <c r="C69" i="13"/>
  <c r="C22" i="13"/>
  <c r="E70" i="13"/>
  <c r="E72" i="13"/>
  <c r="E69" i="13"/>
  <c r="E22" i="13"/>
  <c r="D42" i="12"/>
  <c r="E34" i="12"/>
  <c r="F34" i="12"/>
  <c r="C42" i="12"/>
  <c r="E99" i="8"/>
  <c r="E101" i="8"/>
  <c r="E98" i="8"/>
  <c r="E22" i="8"/>
  <c r="C99" i="8"/>
  <c r="C101" i="8"/>
  <c r="C98" i="8"/>
  <c r="C22" i="8"/>
  <c r="D28" i="8"/>
  <c r="D112" i="8"/>
  <c r="D111" i="8"/>
  <c r="D43" i="5"/>
  <c r="E35" i="5"/>
  <c r="F35" i="5"/>
  <c r="C43" i="5"/>
  <c r="E175" i="17"/>
  <c r="F175" i="17"/>
  <c r="D263" i="18"/>
  <c r="E259" i="18"/>
  <c r="C271" i="18"/>
  <c r="D127" i="18"/>
  <c r="E127" i="18"/>
  <c r="D125" i="18"/>
  <c r="E125" i="18"/>
  <c r="D123" i="18"/>
  <c r="E123" i="18"/>
  <c r="D121" i="18"/>
  <c r="D114" i="18"/>
  <c r="E114" i="18"/>
  <c r="D112" i="18"/>
  <c r="E112" i="18"/>
  <c r="D110" i="18"/>
  <c r="E77" i="18"/>
  <c r="D126" i="18"/>
  <c r="E126" i="18"/>
  <c r="D124" i="18"/>
  <c r="E124" i="18"/>
  <c r="D122" i="18"/>
  <c r="D115" i="18"/>
  <c r="E115" i="18"/>
  <c r="D113" i="18"/>
  <c r="E113" i="18"/>
  <c r="D111" i="18"/>
  <c r="E111" i="18"/>
  <c r="D109" i="18"/>
  <c r="C309" i="17"/>
  <c r="E273" i="17"/>
  <c r="F273" i="17"/>
  <c r="C323" i="17"/>
  <c r="F323" i="17"/>
  <c r="C183" i="17"/>
  <c r="F183" i="17"/>
  <c r="F162" i="17"/>
  <c r="C70" i="17"/>
  <c r="D324" i="17"/>
  <c r="D113" i="17"/>
  <c r="E92" i="17"/>
  <c r="D309" i="17"/>
  <c r="E309" i="17"/>
  <c r="E305" i="17"/>
  <c r="F305" i="17"/>
  <c r="C324" i="17"/>
  <c r="F92" i="17"/>
  <c r="C113" i="17"/>
  <c r="D197" i="17"/>
  <c r="E196" i="17"/>
  <c r="F196" i="17"/>
  <c r="F106" i="17"/>
  <c r="D322" i="17"/>
  <c r="E141" i="17"/>
  <c r="D310" i="17"/>
  <c r="E304" i="17"/>
  <c r="F304" i="17"/>
  <c r="D323" i="17"/>
  <c r="E323" i="17"/>
  <c r="D183" i="17"/>
  <c r="E183" i="17"/>
  <c r="E162" i="17"/>
  <c r="E50" i="17"/>
  <c r="F50" i="17"/>
  <c r="D70" i="17"/>
  <c r="E70" i="17"/>
  <c r="C197" i="17"/>
  <c r="C148" i="17"/>
  <c r="E208" i="17"/>
  <c r="F208" i="17"/>
  <c r="D209" i="17"/>
  <c r="E209" i="17"/>
  <c r="F209" i="17"/>
  <c r="D210" i="17"/>
  <c r="E127" i="17"/>
  <c r="F127" i="17"/>
  <c r="D148" i="17"/>
  <c r="E148" i="17"/>
  <c r="F195" i="17"/>
  <c r="C322" i="17"/>
  <c r="C211" i="17"/>
  <c r="F141" i="17"/>
  <c r="F63" i="17"/>
  <c r="D49" i="12"/>
  <c r="E49" i="12"/>
  <c r="E42" i="12"/>
  <c r="F42" i="12"/>
  <c r="C49" i="12"/>
  <c r="D99" i="8"/>
  <c r="D101" i="8"/>
  <c r="D98" i="8"/>
  <c r="D22" i="8"/>
  <c r="D50" i="5"/>
  <c r="E50" i="5"/>
  <c r="E43" i="5"/>
  <c r="F43" i="5"/>
  <c r="C50" i="5"/>
  <c r="F50" i="5"/>
  <c r="E109" i="18"/>
  <c r="E122" i="18"/>
  <c r="D128" i="18"/>
  <c r="E128" i="18"/>
  <c r="D116" i="18"/>
  <c r="E116" i="18"/>
  <c r="E110" i="18"/>
  <c r="D129" i="18"/>
  <c r="E129" i="18"/>
  <c r="E121" i="18"/>
  <c r="E263" i="18"/>
  <c r="D264" i="18"/>
  <c r="E322" i="17"/>
  <c r="F322" i="17"/>
  <c r="C325" i="17"/>
  <c r="E113" i="17"/>
  <c r="F113" i="17"/>
  <c r="D211" i="17"/>
  <c r="E211" i="17"/>
  <c r="F211" i="17"/>
  <c r="E210" i="17"/>
  <c r="F210" i="17"/>
  <c r="F148" i="17"/>
  <c r="D312" i="17"/>
  <c r="E197" i="17"/>
  <c r="F197" i="17"/>
  <c r="D325" i="17"/>
  <c r="E325" i="17"/>
  <c r="E324" i="17"/>
  <c r="F324" i="17"/>
  <c r="F70" i="17"/>
  <c r="F309" i="17"/>
  <c r="C310" i="17"/>
  <c r="F49" i="12"/>
  <c r="E264" i="18"/>
  <c r="D266" i="18"/>
  <c r="D117" i="18"/>
  <c r="D313" i="17"/>
  <c r="F325" i="17"/>
  <c r="C312" i="17"/>
  <c r="E310" i="17"/>
  <c r="F310" i="17"/>
  <c r="E117" i="18"/>
  <c r="D131" i="18"/>
  <c r="E131" i="18"/>
  <c r="E266" i="18"/>
  <c r="D267" i="18"/>
  <c r="C313" i="17"/>
  <c r="E312" i="17"/>
  <c r="F312" i="17"/>
  <c r="D315" i="17"/>
  <c r="D314" i="17"/>
  <c r="E313" i="17"/>
  <c r="D251" i="17"/>
  <c r="D256" i="17"/>
  <c r="D269" i="18"/>
  <c r="E269" i="18"/>
  <c r="E267" i="18"/>
  <c r="D268" i="18"/>
  <c r="D318" i="17"/>
  <c r="E314" i="17"/>
  <c r="D257" i="17"/>
  <c r="E256" i="17"/>
  <c r="F313" i="17"/>
  <c r="C314" i="17"/>
  <c r="C251" i="17"/>
  <c r="C256" i="17"/>
  <c r="C315" i="17"/>
  <c r="E315" i="17"/>
  <c r="D271" i="18"/>
  <c r="E271" i="18"/>
  <c r="E268" i="18"/>
  <c r="F251" i="17"/>
  <c r="E251" i="17"/>
  <c r="F256" i="17"/>
  <c r="C257" i="17"/>
  <c r="F314" i="17"/>
  <c r="C318" i="17"/>
  <c r="E257" i="17"/>
  <c r="E318" i="17"/>
  <c r="F315" i="17"/>
  <c r="F318" i="17"/>
  <c r="F257" i="17"/>
</calcChain>
</file>

<file path=xl/sharedStrings.xml><?xml version="1.0" encoding="utf-8"?>
<sst xmlns="http://schemas.openxmlformats.org/spreadsheetml/2006/main" count="2336" uniqueCount="1010">
  <si>
    <t>HARTFORD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</si>
  <si>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</si>
  <si>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</si>
  <si>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</si>
  <si>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</si>
  <si>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</si>
  <si>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</si>
  <si>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</si>
  <si>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</si>
  <si>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</si>
  <si>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</si>
  <si>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</si>
  <si>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</si>
  <si>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</si>
  <si>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</si>
  <si>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</si>
  <si>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</si>
  <si>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</si>
  <si>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</si>
  <si>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</si>
  <si>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</si>
  <si>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</si>
  <si>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</si>
  <si>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</si>
  <si>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</si>
  <si>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</si>
  <si>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</si>
  <si>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</si>
  <si>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</si>
  <si>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</si>
  <si>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</si>
  <si>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</si>
  <si>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</si>
  <si>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</si>
  <si>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</si>
  <si>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</si>
  <si>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</si>
  <si>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</si>
  <si>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</si>
  <si>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</si>
  <si>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</si>
  <si>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</si>
  <si>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</si>
  <si>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</si>
  <si>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</si>
  <si>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</si>
  <si>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</si>
  <si>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</si>
  <si>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</si>
  <si>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</si>
  <si>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</si>
  <si>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</si>
  <si>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</si>
  <si>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</si>
  <si>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</si>
  <si>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</si>
  <si>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</si>
  <si>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</si>
  <si>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</si>
  <si>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</si>
  <si>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</si>
  <si>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</si>
  <si>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</si>
  <si>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</si>
  <si>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</si>
  <si>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</si>
  <si>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</si>
  <si>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</si>
  <si>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</si>
  <si>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</si>
  <si>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</si>
  <si>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</si>
  <si>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</si>
  <si>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</si>
  <si>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</si>
  <si>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</si>
  <si>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</si>
  <si>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</si>
  <si>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</si>
  <si>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</si>
  <si>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</si>
  <si>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</si>
  <si>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</si>
  <si>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</si>
  <si>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</si>
  <si>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</si>
  <si>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</si>
  <si>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</si>
  <si>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</si>
  <si>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</si>
  <si>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</si>
  <si>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</si>
  <si>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</si>
  <si>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</si>
  <si>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</si>
  <si>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</si>
  <si>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</si>
  <si>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</si>
  <si>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</si>
  <si>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</si>
  <si>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</si>
  <si>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</si>
  <si>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</si>
  <si>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</si>
  <si>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</si>
  <si>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</si>
  <si>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</si>
  <si>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</si>
  <si>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</si>
  <si>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</si>
  <si>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</si>
  <si>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</si>
  <si>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</si>
  <si>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</si>
  <si>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</si>
  <si>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</si>
  <si>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</si>
  <si>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</si>
  <si>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</si>
  <si>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</si>
  <si>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</si>
  <si>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</si>
  <si>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</si>
  <si>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</si>
  <si>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</si>
  <si>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</si>
  <si>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</si>
  <si>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</si>
  <si>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</si>
  <si>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</si>
  <si>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</si>
  <si>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</si>
  <si>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</si>
  <si>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</si>
  <si>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</si>
  <si>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</si>
  <si>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</si>
  <si>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</si>
  <si>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</si>
  <si>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</si>
  <si>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</si>
  <si>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</si>
  <si>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</si>
  <si>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</si>
  <si>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</si>
  <si>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</si>
  <si>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</si>
  <si>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</si>
  <si>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</si>
  <si>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</si>
  <si>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</si>
  <si>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</si>
  <si>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</si>
  <si>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</si>
  <si>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</si>
  <si>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</si>
  <si>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</si>
  <si>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</si>
  <si>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</si>
  <si>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</si>
  <si>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</si>
  <si>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</si>
  <si>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</si>
  <si>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</si>
  <si>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</si>
  <si>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</si>
  <si>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</si>
  <si>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</si>
  <si>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</si>
  <si>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</si>
  <si>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</si>
  <si>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</si>
  <si>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</si>
  <si>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</si>
  <si>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</si>
  <si>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</si>
  <si>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</si>
  <si>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</si>
  <si>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</si>
  <si>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</si>
  <si>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</si>
  <si>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</si>
  <si>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</si>
  <si>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</si>
  <si>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</si>
  <si>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</si>
  <si>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</si>
  <si>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</si>
  <si>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</si>
  <si>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</si>
  <si>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</si>
  <si>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</si>
  <si>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</si>
  <si>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</si>
  <si>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</si>
  <si>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</si>
  <si>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</si>
  <si>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</si>
  <si>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</si>
  <si>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</si>
  <si>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</si>
  <si>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</si>
  <si>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</si>
  <si>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</si>
  <si>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</si>
  <si>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</si>
  <si>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</si>
  <si>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</si>
  <si>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</si>
  <si>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</si>
  <si>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</si>
  <si>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</si>
  <si>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</si>
  <si>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</si>
  <si>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</si>
  <si>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</si>
  <si>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</si>
  <si>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</si>
  <si>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</si>
  <si>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</si>
  <si>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</si>
  <si>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</si>
  <si>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</si>
  <si>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</si>
  <si>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</si>
  <si>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</si>
  <si>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</si>
  <si>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</si>
  <si>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</si>
  <si>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</si>
  <si>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</si>
  <si>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</si>
  <si>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</si>
  <si>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</si>
  <si>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</si>
  <si>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</si>
  <si>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</si>
  <si>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</si>
  <si>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</si>
  <si>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</si>
  <si>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</si>
  <si>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</si>
  <si>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</si>
  <si>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</si>
  <si>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</si>
  <si>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</si>
  <si>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</si>
  <si>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</si>
  <si>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</si>
  <si>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</si>
  <si>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</si>
  <si>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</si>
  <si>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</si>
  <si>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</si>
  <si>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</si>
  <si>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</si>
  <si>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</si>
  <si>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</si>
  <si>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</si>
  <si>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</si>
  <si>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</si>
  <si>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</si>
  <si>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</si>
  <si>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</si>
  <si>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</si>
  <si>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</si>
  <si>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</si>
  <si>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</si>
  <si>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</si>
  <si>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</si>
  <si>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</si>
  <si>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</si>
  <si>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</si>
  <si>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</si>
  <si>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</si>
  <si>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</si>
  <si>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</si>
  <si>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</si>
  <si>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</si>
  <si>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</si>
  <si>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</si>
  <si>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</si>
  <si>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</si>
  <si>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</si>
  <si>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</si>
  <si>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</si>
  <si>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</si>
  <si>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</si>
  <si>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</si>
  <si>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</si>
  <si>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</si>
  <si>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</si>
  <si>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</si>
  <si>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</si>
  <si>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</si>
  <si>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</si>
  <si>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</si>
  <si>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</si>
  <si>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</si>
  <si>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</si>
  <si>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</si>
  <si>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</si>
  <si>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</si>
  <si>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</si>
  <si>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</si>
  <si>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</si>
  <si>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</si>
  <si>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</si>
  <si>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</si>
  <si>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</si>
  <si>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</si>
  <si>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</si>
  <si>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</si>
  <si>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</si>
  <si>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</si>
  <si>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</si>
  <si>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</si>
  <si>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</si>
  <si>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</si>
  <si>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</si>
  <si>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</si>
  <si>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</si>
  <si>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</si>
  <si>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</si>
  <si>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</si>
  <si>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</si>
  <si>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</si>
  <si>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</si>
  <si>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</si>
  <si>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</si>
  <si>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</si>
  <si>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</si>
  <si>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</si>
  <si>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</si>
  <si>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</si>
  <si>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</si>
  <si>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</si>
  <si>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</si>
  <si>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</si>
  <si>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</si>
  <si>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</si>
  <si>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</si>
  <si>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</si>
  <si>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</si>
  <si>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</si>
  <si>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</si>
  <si>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</si>
  <si>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</si>
  <si>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</si>
  <si>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</si>
  <si>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</si>
  <si>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</si>
  <si>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</si>
  <si>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</si>
  <si>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</si>
  <si>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</si>
  <si>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</si>
  <si>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</si>
  <si>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</si>
  <si>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</si>
  <si>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</si>
  <si>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</si>
  <si>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</si>
  <si>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</si>
  <si>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</si>
  <si>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</si>
  <si>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</si>
  <si>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</si>
  <si>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</si>
  <si>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</si>
  <si>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</si>
  <si>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</si>
  <si>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</si>
  <si>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</si>
  <si>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</si>
  <si>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</si>
  <si>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</si>
  <si>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</si>
  <si>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</si>
  <si>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</si>
  <si>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</si>
  <si>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</si>
  <si>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</si>
  <si>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</si>
  <si>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</si>
  <si>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</si>
  <si>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</si>
  <si>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</si>
  <si>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</si>
  <si>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</si>
  <si>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</si>
  <si>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</si>
  <si>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</si>
  <si>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</si>
  <si>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</si>
  <si>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</si>
  <si>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</si>
  <si>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</si>
  <si>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</si>
  <si>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</si>
  <si>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</si>
  <si>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</si>
  <si>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</si>
  <si>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</si>
  <si>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</si>
  <si>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</si>
  <si>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</si>
  <si>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</si>
  <si>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</si>
  <si>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</si>
  <si>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</si>
  <si>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</si>
  <si>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</si>
  <si>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</si>
  <si>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</si>
  <si>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</si>
  <si>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</si>
  <si>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</si>
  <si>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</si>
  <si>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</si>
  <si>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</si>
  <si>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</si>
  <si>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</si>
  <si>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</si>
  <si>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</si>
  <si>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</si>
  <si>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</si>
  <si>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</si>
  <si>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</si>
  <si>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</si>
  <si>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</si>
  <si>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</si>
  <si>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</si>
  <si>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</si>
  <si>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</si>
  <si>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</si>
  <si>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</si>
  <si>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</si>
  <si>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</si>
  <si>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</si>
  <si>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</si>
  <si>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</si>
  <si>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</si>
  <si>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</si>
  <si>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</si>
  <si>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</si>
  <si>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</si>
  <si>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</si>
  <si>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</si>
  <si>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</si>
  <si>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</si>
  <si>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</si>
  <si>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</si>
  <si>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</si>
  <si>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</si>
  <si>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</si>
  <si>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</si>
  <si>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</si>
  <si>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</si>
  <si>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</si>
  <si>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</si>
  <si>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</si>
  <si>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</si>
  <si>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</si>
  <si>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</si>
  <si>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</si>
  <si>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</si>
  <si>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</si>
  <si>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</si>
  <si>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</si>
  <si>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</si>
  <si>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</si>
  <si>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</si>
  <si>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</si>
  <si>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</si>
  <si>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</si>
  <si>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</si>
  <si>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</si>
  <si>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</si>
  <si>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</si>
  <si>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</si>
  <si>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</si>
  <si>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</si>
  <si>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</si>
  <si>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</si>
  <si>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</si>
  <si>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</si>
  <si>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</si>
  <si>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</si>
  <si>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</si>
  <si>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</si>
  <si>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</si>
  <si>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</si>
  <si>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</si>
  <si>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</si>
  <si>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</si>
  <si>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</si>
  <si>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</si>
  <si>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</si>
  <si>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</si>
  <si>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HARTFORD HEALTH CARE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</si>
  <si>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</si>
  <si>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</si>
  <si>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</si>
  <si>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</si>
  <si>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</si>
  <si>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</si>
  <si>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</si>
  <si>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</si>
  <si>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</si>
  <si>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</si>
  <si>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</si>
  <si>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</si>
  <si>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</si>
  <si>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</si>
  <si>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</si>
  <si>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</si>
  <si>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</si>
  <si>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</si>
  <si>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</si>
  <si>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</si>
  <si>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</si>
  <si>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</si>
  <si>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</si>
  <si>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</si>
  <si>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</si>
  <si>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</si>
  <si>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</si>
  <si>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</si>
  <si>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</si>
  <si>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</si>
  <si>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</si>
  <si>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</si>
  <si>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</si>
  <si>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</si>
  <si>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</si>
  <si>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</si>
  <si>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</si>
  <si>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</si>
  <si>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</si>
  <si>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</si>
  <si>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</si>
  <si>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</si>
  <si>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</si>
  <si>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</si>
  <si>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</si>
  <si>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</si>
  <si>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</si>
  <si>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</si>
  <si>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</si>
  <si>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</si>
  <si>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</si>
  <si>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</si>
  <si>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</si>
  <si>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</si>
  <si>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</si>
  <si>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</si>
  <si>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</si>
  <si>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</si>
  <si>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</si>
  <si>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</si>
  <si>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</si>
  <si>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</si>
  <si>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</si>
  <si>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</si>
  <si>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</si>
  <si>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</si>
  <si>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</si>
  <si>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</si>
  <si>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</si>
  <si>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</si>
  <si>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</si>
  <si>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</si>
  <si>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</si>
  <si>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</si>
  <si>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</si>
  <si>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</si>
  <si>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</si>
  <si>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</si>
  <si>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</si>
  <si>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</si>
  <si>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</si>
  <si>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</si>
  <si>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</si>
  <si>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</si>
  <si>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</si>
  <si>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</si>
  <si>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</si>
  <si>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</si>
  <si>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</si>
  <si>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</si>
  <si>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</si>
  <si>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</si>
  <si>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</si>
  <si>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</si>
  <si>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</si>
  <si>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</si>
  <si>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</si>
  <si>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</si>
  <si>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</si>
  <si>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</si>
  <si>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</si>
  <si>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</si>
  <si>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</si>
  <si>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</si>
  <si>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</si>
  <si>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</si>
  <si>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</si>
  <si>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</si>
  <si>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</si>
  <si>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</si>
  <si>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</si>
  <si>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</si>
  <si>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</si>
  <si>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</si>
  <si>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</si>
  <si>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</si>
  <si>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</si>
  <si>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</si>
  <si>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</si>
  <si>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</si>
  <si>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Eye Surgery Center</t>
  </si>
  <si>
    <t>Hartford Hospital</t>
  </si>
  <si>
    <t>West Hartford Surgery Center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</si>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</sst>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8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13453682</v>
      </c>
      <c r="D13" s="22">
        <v>8310780</v>
      </c>
      <c r="E13" s="22">
        <f t="shared" ref="E13:E22" si="0">D13-C13</f>
        <v>-5142902</v>
      </c>
      <c r="F13" s="23">
        <f t="shared" ref="F13:F22" si="1">IF(C13=0,0,E13/C13)</f>
        <v>-0.38226724847517579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149495353</v>
      </c>
      <c r="D15" s="22">
        <v>128300658</v>
      </c>
      <c r="E15" s="22">
        <f t="shared" si="0"/>
        <v>-21194695</v>
      </c>
      <c r="F15" s="23">
        <f t="shared" si="1"/>
        <v>-0.14177494199435081</v>
      </c>
    </row>
    <row r="16" spans="1:8" ht="24" customHeight="1" x14ac:dyDescent="0.2">
      <c r="A16" s="20">
        <v>4</v>
      </c>
      <c r="B16" s="21" t="s">
        <v>19</v>
      </c>
      <c r="C16" s="22">
        <v>450405</v>
      </c>
      <c r="D16" s="22">
        <v>0</v>
      </c>
      <c r="E16" s="22">
        <f t="shared" si="0"/>
        <v>-450405</v>
      </c>
      <c r="F16" s="23">
        <f t="shared" si="1"/>
        <v>-1</v>
      </c>
    </row>
    <row r="17" spans="1:11" ht="24" customHeight="1" x14ac:dyDescent="0.2">
      <c r="A17" s="20">
        <v>5</v>
      </c>
      <c r="B17" s="21" t="s">
        <v>20</v>
      </c>
      <c r="C17" s="22">
        <v>20670123</v>
      </c>
      <c r="D17" s="22">
        <v>26155102</v>
      </c>
      <c r="E17" s="22">
        <f t="shared" si="0"/>
        <v>5484979</v>
      </c>
      <c r="F17" s="23">
        <f t="shared" si="1"/>
        <v>0.26535783072021391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11186533</v>
      </c>
      <c r="D19" s="22">
        <v>12834592</v>
      </c>
      <c r="E19" s="22">
        <f t="shared" si="0"/>
        <v>1648059</v>
      </c>
      <c r="F19" s="23">
        <f t="shared" si="1"/>
        <v>0.14732527048371466</v>
      </c>
    </row>
    <row r="20" spans="1:11" ht="24" customHeight="1" x14ac:dyDescent="0.2">
      <c r="A20" s="20">
        <v>8</v>
      </c>
      <c r="B20" s="21" t="s">
        <v>23</v>
      </c>
      <c r="C20" s="22">
        <v>11528573</v>
      </c>
      <c r="D20" s="22">
        <v>6559164</v>
      </c>
      <c r="E20" s="22">
        <f t="shared" si="0"/>
        <v>-4969409</v>
      </c>
      <c r="F20" s="23">
        <f t="shared" si="1"/>
        <v>-0.43105152736596281</v>
      </c>
    </row>
    <row r="21" spans="1:11" ht="24" customHeight="1" x14ac:dyDescent="0.2">
      <c r="A21" s="20">
        <v>9</v>
      </c>
      <c r="B21" s="21" t="s">
        <v>24</v>
      </c>
      <c r="C21" s="22">
        <v>32334078</v>
      </c>
      <c r="D21" s="22">
        <v>24120130</v>
      </c>
      <c r="E21" s="22">
        <f t="shared" si="0"/>
        <v>-8213948</v>
      </c>
      <c r="F21" s="23">
        <f t="shared" si="1"/>
        <v>-0.25403377823236523</v>
      </c>
    </row>
    <row r="22" spans="1:11" ht="24" customHeight="1" x14ac:dyDescent="0.25">
      <c r="A22" s="24"/>
      <c r="B22" s="25" t="s">
        <v>25</v>
      </c>
      <c r="C22" s="26">
        <f>SUM(C13:C21)</f>
        <v>239118747</v>
      </c>
      <c r="D22" s="26">
        <f>SUM(D13:D21)</f>
        <v>206280426</v>
      </c>
      <c r="E22" s="26">
        <f t="shared" si="0"/>
        <v>-32838321</v>
      </c>
      <c r="F22" s="27">
        <f t="shared" si="1"/>
        <v>-0.13733060001355729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109092405</v>
      </c>
      <c r="D25" s="22">
        <v>112879389</v>
      </c>
      <c r="E25" s="22">
        <f>D25-C25</f>
        <v>3786984</v>
      </c>
      <c r="F25" s="23">
        <f>IF(C25=0,0,E25/C25)</f>
        <v>3.4713543990528027E-2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4538771</v>
      </c>
      <c r="D27" s="22">
        <v>3243365</v>
      </c>
      <c r="E27" s="22">
        <f>D27-C27</f>
        <v>-1295406</v>
      </c>
      <c r="F27" s="23">
        <f>IF(C27=0,0,E27/C27)</f>
        <v>-0.28540897965550588</v>
      </c>
    </row>
    <row r="28" spans="1:11" ht="24" customHeight="1" x14ac:dyDescent="0.2">
      <c r="A28" s="20">
        <v>4</v>
      </c>
      <c r="B28" s="21" t="s">
        <v>31</v>
      </c>
      <c r="C28" s="22">
        <v>381672751</v>
      </c>
      <c r="D28" s="22">
        <v>390367657</v>
      </c>
      <c r="E28" s="22">
        <f>D28-C28</f>
        <v>8694906</v>
      </c>
      <c r="F28" s="23">
        <f>IF(C28=0,0,E28/C28)</f>
        <v>2.2781049936677299E-2</v>
      </c>
    </row>
    <row r="29" spans="1:11" ht="24" customHeight="1" x14ac:dyDescent="0.25">
      <c r="A29" s="24"/>
      <c r="B29" s="25" t="s">
        <v>32</v>
      </c>
      <c r="C29" s="26">
        <f>SUM(C25:C28)</f>
        <v>495303927</v>
      </c>
      <c r="D29" s="26">
        <f>SUM(D25:D28)</f>
        <v>506490411</v>
      </c>
      <c r="E29" s="26">
        <f>D29-C29</f>
        <v>11186484</v>
      </c>
      <c r="F29" s="27">
        <f>IF(C29=0,0,E29/C29)</f>
        <v>2.2585090467090119E-2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71120072</v>
      </c>
      <c r="D33" s="22">
        <v>79437312</v>
      </c>
      <c r="E33" s="22">
        <f>D33-C33</f>
        <v>8317240</v>
      </c>
      <c r="F33" s="23">
        <f>IF(C33=0,0,E33/C33)</f>
        <v>0.11694645078537041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1012881379</v>
      </c>
      <c r="D36" s="22">
        <v>1049326309</v>
      </c>
      <c r="E36" s="22">
        <f>D36-C36</f>
        <v>36444930</v>
      </c>
      <c r="F36" s="23">
        <f>IF(C36=0,0,E36/C36)</f>
        <v>3.5981439441587368E-2</v>
      </c>
    </row>
    <row r="37" spans="1:8" ht="24" customHeight="1" x14ac:dyDescent="0.2">
      <c r="A37" s="20">
        <v>2</v>
      </c>
      <c r="B37" s="21" t="s">
        <v>39</v>
      </c>
      <c r="C37" s="22">
        <v>684226898</v>
      </c>
      <c r="D37" s="22">
        <v>732523247</v>
      </c>
      <c r="E37" s="22">
        <f>D37-C37</f>
        <v>48296349</v>
      </c>
      <c r="F37" s="23">
        <f>IF(C37=0,0,E37/C37)</f>
        <v>7.0585282661600357E-2</v>
      </c>
    </row>
    <row r="38" spans="1:8" ht="24" customHeight="1" x14ac:dyDescent="0.25">
      <c r="A38" s="24"/>
      <c r="B38" s="25" t="s">
        <v>40</v>
      </c>
      <c r="C38" s="26">
        <f>C36-C37</f>
        <v>328654481</v>
      </c>
      <c r="D38" s="26">
        <f>D36-D37</f>
        <v>316803062</v>
      </c>
      <c r="E38" s="26">
        <f>D38-C38</f>
        <v>-11851419</v>
      </c>
      <c r="F38" s="27">
        <f>IF(C38=0,0,E38/C38)</f>
        <v>-3.6060421157014438E-2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50410603</v>
      </c>
      <c r="D40" s="22">
        <v>51093959</v>
      </c>
      <c r="E40" s="22">
        <f>D40-C40</f>
        <v>683356</v>
      </c>
      <c r="F40" s="23">
        <f>IF(C40=0,0,E40/C40)</f>
        <v>1.355579896554699E-2</v>
      </c>
    </row>
    <row r="41" spans="1:8" ht="24" customHeight="1" x14ac:dyDescent="0.25">
      <c r="A41" s="24"/>
      <c r="B41" s="25" t="s">
        <v>42</v>
      </c>
      <c r="C41" s="26">
        <f>+C38+C40</f>
        <v>379065084</v>
      </c>
      <c r="D41" s="26">
        <f>+D38+D40</f>
        <v>367897021</v>
      </c>
      <c r="E41" s="26">
        <f>D41-C41</f>
        <v>-11168063</v>
      </c>
      <c r="F41" s="27">
        <f>IF(C41=0,0,E41/C41)</f>
        <v>-2.9462125295612825E-2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1184607830</v>
      </c>
      <c r="D43" s="26">
        <f>D22+D29+D31+D32+D33+D41</f>
        <v>1160105170</v>
      </c>
      <c r="E43" s="26">
        <f>D43-C43</f>
        <v>-24502660</v>
      </c>
      <c r="F43" s="27">
        <f>IF(C43=0,0,E43/C43)</f>
        <v>-2.0684195545119771E-2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22176748</v>
      </c>
      <c r="D49" s="22">
        <v>16411539</v>
      </c>
      <c r="E49" s="22">
        <f t="shared" ref="E49:E56" si="2">D49-C49</f>
        <v>-5765209</v>
      </c>
      <c r="F49" s="23">
        <f t="shared" ref="F49:F56" si="3">IF(C49=0,0,E49/C49)</f>
        <v>-0.25996638461148586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21047461</v>
      </c>
      <c r="D50" s="22">
        <v>23404488</v>
      </c>
      <c r="E50" s="22">
        <f t="shared" si="2"/>
        <v>2357027</v>
      </c>
      <c r="F50" s="23">
        <f t="shared" si="3"/>
        <v>0.11198628661195761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13084951</v>
      </c>
      <c r="D51" s="22">
        <v>18683246</v>
      </c>
      <c r="E51" s="22">
        <f t="shared" si="2"/>
        <v>5598295</v>
      </c>
      <c r="F51" s="23">
        <f t="shared" si="3"/>
        <v>0.42784225940165921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24731220</v>
      </c>
      <c r="D52" s="22">
        <v>17205913</v>
      </c>
      <c r="E52" s="22">
        <f t="shared" si="2"/>
        <v>-7525307</v>
      </c>
      <c r="F52" s="23">
        <f t="shared" si="3"/>
        <v>-0.30428369486018075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925167</v>
      </c>
      <c r="D53" s="22">
        <v>1081105</v>
      </c>
      <c r="E53" s="22">
        <f t="shared" si="2"/>
        <v>155938</v>
      </c>
      <c r="F53" s="23">
        <f t="shared" si="3"/>
        <v>0.16855119129843585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100093854</v>
      </c>
      <c r="D54" s="22">
        <v>17514931</v>
      </c>
      <c r="E54" s="22">
        <f t="shared" si="2"/>
        <v>-82578923</v>
      </c>
      <c r="F54" s="23">
        <f t="shared" si="3"/>
        <v>-0.82501492049651715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40761348</v>
      </c>
      <c r="D55" s="22">
        <v>38456561</v>
      </c>
      <c r="E55" s="22">
        <f t="shared" si="2"/>
        <v>-2304787</v>
      </c>
      <c r="F55" s="23">
        <f t="shared" si="3"/>
        <v>-5.6543444049004465E-2</v>
      </c>
    </row>
    <row r="56" spans="1:6" ht="24" customHeight="1" x14ac:dyDescent="0.25">
      <c r="A56" s="24"/>
      <c r="B56" s="25" t="s">
        <v>54</v>
      </c>
      <c r="C56" s="26">
        <f>SUM(C49:C55)</f>
        <v>222820749</v>
      </c>
      <c r="D56" s="26">
        <f>SUM(D49:D55)</f>
        <v>132757783</v>
      </c>
      <c r="E56" s="26">
        <f t="shared" si="2"/>
        <v>-90062966</v>
      </c>
      <c r="F56" s="27">
        <f t="shared" si="3"/>
        <v>-0.40419470091629572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192751207</v>
      </c>
      <c r="D59" s="22">
        <v>273575278</v>
      </c>
      <c r="E59" s="22">
        <f>D59-C59</f>
        <v>80824071</v>
      </c>
      <c r="F59" s="23">
        <f>IF(C59=0,0,E59/C59)</f>
        <v>0.41931810574861927</v>
      </c>
    </row>
    <row r="60" spans="1:6" ht="24" customHeight="1" x14ac:dyDescent="0.2">
      <c r="A60" s="20">
        <v>2</v>
      </c>
      <c r="B60" s="21" t="s">
        <v>57</v>
      </c>
      <c r="C60" s="22">
        <v>18200881</v>
      </c>
      <c r="D60" s="22">
        <v>13505755</v>
      </c>
      <c r="E60" s="22">
        <f>D60-C60</f>
        <v>-4695126</v>
      </c>
      <c r="F60" s="23">
        <f>IF(C60=0,0,E60/C60)</f>
        <v>-0.2579614690080112</v>
      </c>
    </row>
    <row r="61" spans="1:6" ht="24" customHeight="1" x14ac:dyDescent="0.25">
      <c r="A61" s="24"/>
      <c r="B61" s="25" t="s">
        <v>58</v>
      </c>
      <c r="C61" s="26">
        <f>SUM(C59:C60)</f>
        <v>210952088</v>
      </c>
      <c r="D61" s="26">
        <f>SUM(D59:D60)</f>
        <v>287081033</v>
      </c>
      <c r="E61" s="26">
        <f>D61-C61</f>
        <v>76128945</v>
      </c>
      <c r="F61" s="27">
        <f>IF(C61=0,0,E61/C61)</f>
        <v>0.36088263321669517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218856421</v>
      </c>
      <c r="D63" s="22">
        <v>254058658</v>
      </c>
      <c r="E63" s="22">
        <f>D63-C63</f>
        <v>35202237</v>
      </c>
      <c r="F63" s="23">
        <f>IF(C63=0,0,E63/C63)</f>
        <v>0.16084626093743898</v>
      </c>
    </row>
    <row r="64" spans="1:6" ht="24" customHeight="1" x14ac:dyDescent="0.2">
      <c r="A64" s="20">
        <v>4</v>
      </c>
      <c r="B64" s="21" t="s">
        <v>60</v>
      </c>
      <c r="C64" s="22">
        <v>37533464</v>
      </c>
      <c r="D64" s="22">
        <v>41991787</v>
      </c>
      <c r="E64" s="22">
        <f>D64-C64</f>
        <v>4458323</v>
      </c>
      <c r="F64" s="23">
        <f>IF(C64=0,0,E64/C64)</f>
        <v>0.11878261489533713</v>
      </c>
    </row>
    <row r="65" spans="1:6" ht="24" customHeight="1" x14ac:dyDescent="0.25">
      <c r="A65" s="24"/>
      <c r="B65" s="25" t="s">
        <v>61</v>
      </c>
      <c r="C65" s="26">
        <f>SUM(C61:C64)</f>
        <v>467341973</v>
      </c>
      <c r="D65" s="26">
        <f>SUM(D61:D64)</f>
        <v>583131478</v>
      </c>
      <c r="E65" s="26">
        <f>D65-C65</f>
        <v>115789505</v>
      </c>
      <c r="F65" s="27">
        <f>IF(C65=0,0,E65/C65)</f>
        <v>0.24776183542153188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201002168</v>
      </c>
      <c r="D70" s="22">
        <v>135104064</v>
      </c>
      <c r="E70" s="22">
        <f>D70-C70</f>
        <v>-65898104</v>
      </c>
      <c r="F70" s="23">
        <f>IF(C70=0,0,E70/C70)</f>
        <v>-0.32784772749316815</v>
      </c>
    </row>
    <row r="71" spans="1:6" ht="24" customHeight="1" x14ac:dyDescent="0.2">
      <c r="A71" s="20">
        <v>2</v>
      </c>
      <c r="B71" s="21" t="s">
        <v>65</v>
      </c>
      <c r="C71" s="22">
        <v>112993866</v>
      </c>
      <c r="D71" s="22">
        <v>122874055</v>
      </c>
      <c r="E71" s="22">
        <f>D71-C71</f>
        <v>9880189</v>
      </c>
      <c r="F71" s="23">
        <f>IF(C71=0,0,E71/C71)</f>
        <v>8.7440047409299185E-2</v>
      </c>
    </row>
    <row r="72" spans="1:6" ht="24" customHeight="1" x14ac:dyDescent="0.2">
      <c r="A72" s="20">
        <v>3</v>
      </c>
      <c r="B72" s="21" t="s">
        <v>66</v>
      </c>
      <c r="C72" s="22">
        <v>180449074</v>
      </c>
      <c r="D72" s="22">
        <v>186237790</v>
      </c>
      <c r="E72" s="22">
        <f>D72-C72</f>
        <v>5788716</v>
      </c>
      <c r="F72" s="23">
        <f>IF(C72=0,0,E72/C72)</f>
        <v>3.2079499615498164E-2</v>
      </c>
    </row>
    <row r="73" spans="1:6" ht="24" customHeight="1" x14ac:dyDescent="0.25">
      <c r="A73" s="20"/>
      <c r="B73" s="25" t="s">
        <v>67</v>
      </c>
      <c r="C73" s="26">
        <f>SUM(C70:C72)</f>
        <v>494445108</v>
      </c>
      <c r="D73" s="26">
        <f>SUM(D70:D72)</f>
        <v>444215909</v>
      </c>
      <c r="E73" s="26">
        <f>D73-C73</f>
        <v>-50229199</v>
      </c>
      <c r="F73" s="27">
        <f>IF(C73=0,0,E73/C73)</f>
        <v>-0.10158700771289661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1184607830</v>
      </c>
      <c r="D75" s="26">
        <f>D56+D65+D67+D73</f>
        <v>1160105170</v>
      </c>
      <c r="E75" s="26">
        <f>D75-C75</f>
        <v>-24502660</v>
      </c>
      <c r="F75" s="27">
        <f>IF(C75=0,0,E75/C75)</f>
        <v>-2.0684195545119771E-2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FILING&amp;RHARTFORD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1879748000</v>
      </c>
      <c r="D11" s="76">
        <v>1906243000</v>
      </c>
      <c r="E11" s="76">
        <v>2271219000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267538000</v>
      </c>
      <c r="D12" s="185">
        <v>222045000</v>
      </c>
      <c r="E12" s="185">
        <v>210363000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2147286000</v>
      </c>
      <c r="D13" s="76">
        <f>+D11+D12</f>
        <v>2128288000</v>
      </c>
      <c r="E13" s="76">
        <f>+E11+E12</f>
        <v>2481582000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2086710000</v>
      </c>
      <c r="D14" s="185">
        <v>2163057000</v>
      </c>
      <c r="E14" s="185">
        <v>2429396000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60576000</v>
      </c>
      <c r="D15" s="76">
        <f>+D13-D14</f>
        <v>-34769000</v>
      </c>
      <c r="E15" s="76">
        <f>+E13-E14</f>
        <v>52186000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68563000</v>
      </c>
      <c r="D16" s="185">
        <v>381049000</v>
      </c>
      <c r="E16" s="185">
        <v>51361000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129139000</v>
      </c>
      <c r="D17" s="76">
        <f>D15+D16</f>
        <v>346280000</v>
      </c>
      <c r="E17" s="76">
        <f>E15+E16</f>
        <v>103547000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2.7337602878174459E-2</v>
      </c>
      <c r="D20" s="189">
        <f>IF(+D27=0,0,+D24/+D27)</f>
        <v>-1.385585116706126E-2</v>
      </c>
      <c r="E20" s="189">
        <f>IF(+E27=0,0,+E24/+E27)</f>
        <v>2.0602911316993711E-2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3.094209036807111E-2</v>
      </c>
      <c r="D21" s="189">
        <f>IF(+D27=0,0,+D26/+D27)</f>
        <v>0.15185246142706221</v>
      </c>
      <c r="E21" s="189">
        <f>IF(+E27=0,0,+E26/+E27)</f>
        <v>2.027720323749883E-2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5.8279693246245573E-2</v>
      </c>
      <c r="D22" s="189">
        <f>IF(+D27=0,0,+D28/+D27)</f>
        <v>0.13799661026000096</v>
      </c>
      <c r="E22" s="189">
        <f>IF(+E27=0,0,+E28/+E27)</f>
        <v>4.0880114554492544E-2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60576000</v>
      </c>
      <c r="D24" s="76">
        <f>+D15</f>
        <v>-34769000</v>
      </c>
      <c r="E24" s="76">
        <f>+E15</f>
        <v>52186000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2147286000</v>
      </c>
      <c r="D25" s="76">
        <f>+D13</f>
        <v>2128288000</v>
      </c>
      <c r="E25" s="76">
        <f>+E13</f>
        <v>2481582000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68563000</v>
      </c>
      <c r="D26" s="76">
        <f>+D16</f>
        <v>381049000</v>
      </c>
      <c r="E26" s="76">
        <f>+E16</f>
        <v>51361000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2215849000</v>
      </c>
      <c r="D27" s="76">
        <f>SUM(D25:D26)</f>
        <v>2509337000</v>
      </c>
      <c r="E27" s="76">
        <f>SUM(E25:E26)</f>
        <v>2532943000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129139000</v>
      </c>
      <c r="D28" s="76">
        <f>+D17</f>
        <v>346280000</v>
      </c>
      <c r="E28" s="76">
        <f>+E17</f>
        <v>103547000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509479000</v>
      </c>
      <c r="D31" s="76">
        <v>1160932000</v>
      </c>
      <c r="E31" s="76">
        <v>1104267000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911913000</v>
      </c>
      <c r="D32" s="76">
        <v>1609581000</v>
      </c>
      <c r="E32" s="76">
        <v>1575989000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63956000</v>
      </c>
      <c r="D33" s="76">
        <f>+D32-C32</f>
        <v>697668000</v>
      </c>
      <c r="E33" s="76">
        <f>+E32-D32</f>
        <v>-33592000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1.0753999999999999</v>
      </c>
      <c r="D34" s="193">
        <f>IF(C32=0,0,+D33/C32)</f>
        <v>0.76505982478591705</v>
      </c>
      <c r="E34" s="193">
        <f>IF(D32=0,0,+E33/D32)</f>
        <v>-2.0870027665585017E-2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1.6742938241340914</v>
      </c>
      <c r="D38" s="338">
        <f>IF(+D40=0,0,+D39/+D40)</f>
        <v>1.649370452175668</v>
      </c>
      <c r="E38" s="338">
        <f>IF(+E40=0,0,+E39/+E40)</f>
        <v>2.0542709480554908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596941000</v>
      </c>
      <c r="D39" s="341">
        <v>735545000</v>
      </c>
      <c r="E39" s="341">
        <v>813253000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356533000</v>
      </c>
      <c r="D40" s="341">
        <v>445955000</v>
      </c>
      <c r="E40" s="341">
        <v>395884000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37.888895690069532</v>
      </c>
      <c r="D42" s="343">
        <f>IF((D48/365)=0,0,+D45/(D48/365))</f>
        <v>51.992532812098908</v>
      </c>
      <c r="E42" s="343">
        <f>IF((E48/365)=0,0,+E45/(E48/365))</f>
        <v>66.960348123549323</v>
      </c>
    </row>
    <row r="43" spans="1:14" ht="24" customHeight="1" x14ac:dyDescent="0.2">
      <c r="A43" s="339">
        <v>5</v>
      </c>
      <c r="B43" s="344" t="s">
        <v>16</v>
      </c>
      <c r="C43" s="345">
        <v>206896000</v>
      </c>
      <c r="D43" s="345">
        <v>293544000</v>
      </c>
      <c r="E43" s="345">
        <v>423879000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206896000</v>
      </c>
      <c r="D45" s="341">
        <f>+D43+D44</f>
        <v>293544000</v>
      </c>
      <c r="E45" s="341">
        <f>+E43+E44</f>
        <v>423879000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2086710000</v>
      </c>
      <c r="D46" s="341">
        <f>+D14</f>
        <v>2163057000</v>
      </c>
      <c r="E46" s="341">
        <f>+E14</f>
        <v>2429396000</v>
      </c>
    </row>
    <row r="47" spans="1:14" ht="24" customHeight="1" x14ac:dyDescent="0.2">
      <c r="A47" s="339">
        <v>9</v>
      </c>
      <c r="B47" s="340" t="s">
        <v>356</v>
      </c>
      <c r="C47" s="341">
        <v>93592000</v>
      </c>
      <c r="D47" s="341">
        <v>102308000</v>
      </c>
      <c r="E47" s="341">
        <v>118837000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1993118000</v>
      </c>
      <c r="D48" s="341">
        <f>+D46-D47</f>
        <v>2060749000</v>
      </c>
      <c r="E48" s="341">
        <f>+E46-E47</f>
        <v>2310559000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47.179856023254182</v>
      </c>
      <c r="D50" s="350">
        <f>IF((D55/365)=0,0,+D54/(D55/365))</f>
        <v>50.680089054753253</v>
      </c>
      <c r="E50" s="350">
        <f>IF((E55/365)=0,0,+E54/(E55/365))</f>
        <v>37.818935558393974</v>
      </c>
    </row>
    <row r="51" spans="1:5" ht="24" customHeight="1" x14ac:dyDescent="0.2">
      <c r="A51" s="339">
        <v>12</v>
      </c>
      <c r="B51" s="344" t="s">
        <v>359</v>
      </c>
      <c r="C51" s="351">
        <v>272907000</v>
      </c>
      <c r="D51" s="351">
        <v>310228000</v>
      </c>
      <c r="E51" s="351">
        <v>292535000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29931000</v>
      </c>
      <c r="D53" s="341">
        <v>45547000</v>
      </c>
      <c r="E53" s="341">
        <v>57206000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242976000</v>
      </c>
      <c r="D54" s="352">
        <f>+D51+D52-D53</f>
        <v>264681000</v>
      </c>
      <c r="E54" s="352">
        <f>+E51+E52-E53</f>
        <v>235329000</v>
      </c>
    </row>
    <row r="55" spans="1:5" ht="24" customHeight="1" x14ac:dyDescent="0.2">
      <c r="A55" s="339">
        <v>16</v>
      </c>
      <c r="B55" s="340" t="s">
        <v>75</v>
      </c>
      <c r="C55" s="341">
        <f>+C11</f>
        <v>1879748000</v>
      </c>
      <c r="D55" s="341">
        <f>+D11</f>
        <v>1906243000</v>
      </c>
      <c r="E55" s="341">
        <f>+E11</f>
        <v>2271219000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65.291942072672072</v>
      </c>
      <c r="D57" s="355">
        <f>IF((D61/365)=0,0,+D58/(D61/365))</f>
        <v>78.987579273361291</v>
      </c>
      <c r="E57" s="355">
        <f>IF((E61/365)=0,0,+E58/(E61/365))</f>
        <v>62.537965920800985</v>
      </c>
    </row>
    <row r="58" spans="1:5" ht="24" customHeight="1" x14ac:dyDescent="0.2">
      <c r="A58" s="339">
        <v>18</v>
      </c>
      <c r="B58" s="340" t="s">
        <v>54</v>
      </c>
      <c r="C58" s="353">
        <f>+C40</f>
        <v>356533000</v>
      </c>
      <c r="D58" s="353">
        <f>+D40</f>
        <v>445955000</v>
      </c>
      <c r="E58" s="353">
        <f>+E40</f>
        <v>395884000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2086710000</v>
      </c>
      <c r="D59" s="353">
        <f t="shared" si="0"/>
        <v>2163057000</v>
      </c>
      <c r="E59" s="353">
        <f t="shared" si="0"/>
        <v>2429396000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93592000</v>
      </c>
      <c r="D60" s="356">
        <f t="shared" si="0"/>
        <v>102308000</v>
      </c>
      <c r="E60" s="356">
        <f t="shared" si="0"/>
        <v>118837000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1993118000</v>
      </c>
      <c r="D61" s="353">
        <f>+D59-D60</f>
        <v>2060749000</v>
      </c>
      <c r="E61" s="353">
        <f>+E59-E60</f>
        <v>2310559000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37.780741418354744</v>
      </c>
      <c r="D65" s="357">
        <f>IF(D67=0,0,(D66/D67)*100)</f>
        <v>52.234600249363453</v>
      </c>
      <c r="E65" s="357">
        <f>IF(E67=0,0,(E66/E67)*100)</f>
        <v>47.538335591621127</v>
      </c>
    </row>
    <row r="66" spans="1:5" ht="24" customHeight="1" x14ac:dyDescent="0.2">
      <c r="A66" s="339">
        <v>2</v>
      </c>
      <c r="B66" s="340" t="s">
        <v>67</v>
      </c>
      <c r="C66" s="353">
        <f>+C32</f>
        <v>911913000</v>
      </c>
      <c r="D66" s="353">
        <f>+D32</f>
        <v>1609581000</v>
      </c>
      <c r="E66" s="353">
        <f>+E32</f>
        <v>1575989000</v>
      </c>
    </row>
    <row r="67" spans="1:5" ht="24" customHeight="1" x14ac:dyDescent="0.2">
      <c r="A67" s="339">
        <v>3</v>
      </c>
      <c r="B67" s="340" t="s">
        <v>43</v>
      </c>
      <c r="C67" s="353">
        <v>2413698000</v>
      </c>
      <c r="D67" s="353">
        <v>3081446000</v>
      </c>
      <c r="E67" s="353">
        <v>3315196000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29.286518242685304</v>
      </c>
      <c r="D69" s="357">
        <f>IF(D75=0,0,(D72/D75)*100)</f>
        <v>48.672589416303907</v>
      </c>
      <c r="E69" s="357">
        <f>IF(E75=0,0,(E72/E75)*100)</f>
        <v>21.181365153385453</v>
      </c>
    </row>
    <row r="70" spans="1:5" ht="24" customHeight="1" x14ac:dyDescent="0.2">
      <c r="A70" s="339">
        <v>5</v>
      </c>
      <c r="B70" s="340" t="s">
        <v>366</v>
      </c>
      <c r="C70" s="353">
        <f>+C28</f>
        <v>129139000</v>
      </c>
      <c r="D70" s="353">
        <f>+D28</f>
        <v>346280000</v>
      </c>
      <c r="E70" s="353">
        <f>+E28</f>
        <v>103547000</v>
      </c>
    </row>
    <row r="71" spans="1:5" ht="24" customHeight="1" x14ac:dyDescent="0.2">
      <c r="A71" s="339">
        <v>6</v>
      </c>
      <c r="B71" s="340" t="s">
        <v>356</v>
      </c>
      <c r="C71" s="356">
        <f>+C47</f>
        <v>93592000</v>
      </c>
      <c r="D71" s="356">
        <f>+D47</f>
        <v>102308000</v>
      </c>
      <c r="E71" s="356">
        <f>+E47</f>
        <v>118837000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222731000</v>
      </c>
      <c r="D72" s="353">
        <f>+D70+D71</f>
        <v>448588000</v>
      </c>
      <c r="E72" s="353">
        <f>+E70+E71</f>
        <v>222384000</v>
      </c>
    </row>
    <row r="73" spans="1:5" ht="24" customHeight="1" x14ac:dyDescent="0.2">
      <c r="A73" s="339">
        <v>8</v>
      </c>
      <c r="B73" s="340" t="s">
        <v>54</v>
      </c>
      <c r="C73" s="341">
        <f>+C40</f>
        <v>356533000</v>
      </c>
      <c r="D73" s="341">
        <f>+D40</f>
        <v>445955000</v>
      </c>
      <c r="E73" s="341">
        <f>+E40</f>
        <v>395884000</v>
      </c>
    </row>
    <row r="74" spans="1:5" ht="24" customHeight="1" x14ac:dyDescent="0.2">
      <c r="A74" s="339">
        <v>9</v>
      </c>
      <c r="B74" s="340" t="s">
        <v>58</v>
      </c>
      <c r="C74" s="353">
        <v>403991000</v>
      </c>
      <c r="D74" s="353">
        <v>475689000</v>
      </c>
      <c r="E74" s="353">
        <v>654020000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760524000</v>
      </c>
      <c r="D75" s="341">
        <f>+D73+D74</f>
        <v>921644000</v>
      </c>
      <c r="E75" s="341">
        <f>+E73+E74</f>
        <v>1049904000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30.700643815962259</v>
      </c>
      <c r="D77" s="359">
        <f>IF(D80=0,0,(D78/D80)*100)</f>
        <v>22.811866089283402</v>
      </c>
      <c r="E77" s="359">
        <f>IF(E80=0,0,(E78/E80)*100)</f>
        <v>29.328132756414881</v>
      </c>
    </row>
    <row r="78" spans="1:5" ht="24" customHeight="1" x14ac:dyDescent="0.2">
      <c r="A78" s="339">
        <v>12</v>
      </c>
      <c r="B78" s="340" t="s">
        <v>58</v>
      </c>
      <c r="C78" s="341">
        <f>+C74</f>
        <v>403991000</v>
      </c>
      <c r="D78" s="341">
        <f>+D74</f>
        <v>475689000</v>
      </c>
      <c r="E78" s="341">
        <f>+E74</f>
        <v>654020000</v>
      </c>
    </row>
    <row r="79" spans="1:5" ht="24" customHeight="1" x14ac:dyDescent="0.2">
      <c r="A79" s="339">
        <v>13</v>
      </c>
      <c r="B79" s="340" t="s">
        <v>67</v>
      </c>
      <c r="C79" s="341">
        <f>+C32</f>
        <v>911913000</v>
      </c>
      <c r="D79" s="341">
        <f>+D32</f>
        <v>1609581000</v>
      </c>
      <c r="E79" s="341">
        <f>+E32</f>
        <v>1575989000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1315904000</v>
      </c>
      <c r="D80" s="341">
        <f>+D78+D79</f>
        <v>2085270000</v>
      </c>
      <c r="E80" s="341">
        <f>+E78+E79</f>
        <v>2230009000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FILING&amp;R&amp;8HARTFORD HEALTH CARE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148666</v>
      </c>
      <c r="D11" s="376">
        <v>30951</v>
      </c>
      <c r="E11" s="376">
        <v>30834</v>
      </c>
      <c r="F11" s="377">
        <v>439</v>
      </c>
      <c r="G11" s="377">
        <v>532</v>
      </c>
      <c r="H11" s="378">
        <f>IF(F11=0,0,$C11/(F11*365))</f>
        <v>0.92779979405248536</v>
      </c>
      <c r="I11" s="378">
        <f>IF(G11=0,0,$C11/(G11*365))</f>
        <v>0.76560922855082914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23927</v>
      </c>
      <c r="D13" s="376">
        <v>688</v>
      </c>
      <c r="E13" s="376">
        <v>0</v>
      </c>
      <c r="F13" s="377">
        <v>66</v>
      </c>
      <c r="G13" s="377">
        <v>74</v>
      </c>
      <c r="H13" s="378">
        <f>IF(F13=0,0,$C13/(F13*365))</f>
        <v>0.99323370693233703</v>
      </c>
      <c r="I13" s="378">
        <f>IF(G13=0,0,$C13/(G13*365))</f>
        <v>0.885857089966679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9457</v>
      </c>
      <c r="D15" s="376">
        <v>1100</v>
      </c>
      <c r="E15" s="376">
        <v>1084</v>
      </c>
      <c r="F15" s="377">
        <v>26</v>
      </c>
      <c r="G15" s="377">
        <v>29</v>
      </c>
      <c r="H15" s="378">
        <f t="shared" ref="H15:I17" si="0">IF(F15=0,0,$C15/(F15*365))</f>
        <v>0.99652265542676499</v>
      </c>
      <c r="I15" s="378">
        <f t="shared" si="0"/>
        <v>0.89343410486537556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30791</v>
      </c>
      <c r="D16" s="376">
        <v>3180</v>
      </c>
      <c r="E16" s="376">
        <v>3133</v>
      </c>
      <c r="F16" s="377">
        <v>85</v>
      </c>
      <c r="G16" s="377">
        <v>92</v>
      </c>
      <c r="H16" s="378">
        <f t="shared" si="0"/>
        <v>0.99245769540692985</v>
      </c>
      <c r="I16" s="378">
        <f t="shared" si="0"/>
        <v>0.91694460988683746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40248</v>
      </c>
      <c r="D17" s="381">
        <f>SUM(D15:D16)</f>
        <v>4280</v>
      </c>
      <c r="E17" s="381">
        <f>SUM(E15:E16)</f>
        <v>4217</v>
      </c>
      <c r="F17" s="381">
        <f>SUM(F15:F16)</f>
        <v>111</v>
      </c>
      <c r="G17" s="381">
        <f>SUM(G15:G16)</f>
        <v>121</v>
      </c>
      <c r="H17" s="382">
        <f t="shared" si="0"/>
        <v>0.99340984820436873</v>
      </c>
      <c r="I17" s="382">
        <f t="shared" si="0"/>
        <v>0.9113098607494623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11082</v>
      </c>
      <c r="D21" s="376">
        <v>3672</v>
      </c>
      <c r="E21" s="376">
        <v>3883</v>
      </c>
      <c r="F21" s="377">
        <v>31</v>
      </c>
      <c r="G21" s="377">
        <v>43</v>
      </c>
      <c r="H21" s="378">
        <f>IF(F21=0,0,$C21/(F21*365))</f>
        <v>0.97940786566504645</v>
      </c>
      <c r="I21" s="378">
        <f>IF(G21=0,0,$C21/(G21*365))</f>
        <v>0.70608474036317304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9317</v>
      </c>
      <c r="D23" s="376">
        <v>3852</v>
      </c>
      <c r="E23" s="376">
        <v>3850</v>
      </c>
      <c r="F23" s="377">
        <v>26</v>
      </c>
      <c r="G23" s="377">
        <v>48</v>
      </c>
      <c r="H23" s="378">
        <f>IF(F23=0,0,$C23/(F23*365))</f>
        <v>0.98177028451001058</v>
      </c>
      <c r="I23" s="378">
        <f>IF(G23=0,0,$C23/(G23*365))</f>
        <v>0.53179223744292237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223923</v>
      </c>
      <c r="D31" s="384">
        <f>SUM(D10:D29)-D13-D17-D23</f>
        <v>38903</v>
      </c>
      <c r="E31" s="384">
        <f>SUM(E10:E29)-E17-E23</f>
        <v>38934</v>
      </c>
      <c r="F31" s="384">
        <f>SUM(F10:F29)-F17-F23</f>
        <v>647</v>
      </c>
      <c r="G31" s="384">
        <f>SUM(G10:G29)-G17-G23</f>
        <v>770</v>
      </c>
      <c r="H31" s="385">
        <f>IF(F31=0,0,$C31/(F31*365))</f>
        <v>0.94820351040630091</v>
      </c>
      <c r="I31" s="385">
        <f>IF(G31=0,0,$C31/(G31*365))</f>
        <v>0.7967372353673724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233240</v>
      </c>
      <c r="D33" s="384">
        <f>SUM(D10:D29)-D13-D17</f>
        <v>42755</v>
      </c>
      <c r="E33" s="384">
        <f>SUM(E10:E29)-E17</f>
        <v>42784</v>
      </c>
      <c r="F33" s="384">
        <f>SUM(F10:F29)-F17</f>
        <v>673</v>
      </c>
      <c r="G33" s="384">
        <f>SUM(G10:G29)-G17</f>
        <v>818</v>
      </c>
      <c r="H33" s="385">
        <f>IF(F33=0,0,$C33/(F33*365))</f>
        <v>0.94950029514136258</v>
      </c>
      <c r="I33" s="385">
        <f>IF(G33=0,0,$C33/(G33*365))</f>
        <v>0.78119034062363935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233240</v>
      </c>
      <c r="D36" s="384">
        <f t="shared" si="1"/>
        <v>42755</v>
      </c>
      <c r="E36" s="384">
        <f t="shared" si="1"/>
        <v>42784</v>
      </c>
      <c r="F36" s="384">
        <f t="shared" si="1"/>
        <v>673</v>
      </c>
      <c r="G36" s="384">
        <f t="shared" si="1"/>
        <v>818</v>
      </c>
      <c r="H36" s="387">
        <f t="shared" si="1"/>
        <v>0.94950029514136258</v>
      </c>
      <c r="I36" s="387">
        <f t="shared" si="1"/>
        <v>0.78119034062363935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235012</v>
      </c>
      <c r="D37" s="384">
        <v>41809</v>
      </c>
      <c r="E37" s="384">
        <v>41908</v>
      </c>
      <c r="F37" s="386">
        <v>647</v>
      </c>
      <c r="G37" s="386">
        <v>809</v>
      </c>
      <c r="H37" s="385">
        <f>IF(F37=0,0,$C37/(F37*365))</f>
        <v>0.99515995850183148</v>
      </c>
      <c r="I37" s="385">
        <f>IF(G37=0,0,$C37/(G37*365))</f>
        <v>0.79588194456203332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-1772</v>
      </c>
      <c r="D38" s="384">
        <f t="shared" si="2"/>
        <v>946</v>
      </c>
      <c r="E38" s="384">
        <f t="shared" si="2"/>
        <v>876</v>
      </c>
      <c r="F38" s="384">
        <f t="shared" si="2"/>
        <v>26</v>
      </c>
      <c r="G38" s="384">
        <f t="shared" si="2"/>
        <v>9</v>
      </c>
      <c r="H38" s="387">
        <f t="shared" si="2"/>
        <v>-4.5659663360468894E-2</v>
      </c>
      <c r="I38" s="387">
        <f t="shared" si="2"/>
        <v>-1.4691603938393971E-2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-7.5400405085697753E-3</v>
      </c>
      <c r="D40" s="389">
        <f t="shared" si="3"/>
        <v>2.2626707168313043E-2</v>
      </c>
      <c r="E40" s="389">
        <f t="shared" si="3"/>
        <v>2.0902930228118736E-2</v>
      </c>
      <c r="F40" s="389">
        <f t="shared" si="3"/>
        <v>4.0185471406491501E-2</v>
      </c>
      <c r="G40" s="389">
        <f t="shared" si="3"/>
        <v>1.1124845488257108E-2</v>
      </c>
      <c r="H40" s="389">
        <f t="shared" si="3"/>
        <v>-4.5881732851477931E-2</v>
      </c>
      <c r="I40" s="389">
        <f t="shared" si="3"/>
        <v>-1.8459526615443738E-2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867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FILING&amp;RHARTFORD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22135</v>
      </c>
      <c r="D12" s="409">
        <v>24780</v>
      </c>
      <c r="E12" s="409">
        <f>+D12-C12</f>
        <v>2645</v>
      </c>
      <c r="F12" s="410">
        <f>IF(C12=0,0,+E12/C12)</f>
        <v>0.11949401400496951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4249</v>
      </c>
      <c r="D13" s="409">
        <v>4892</v>
      </c>
      <c r="E13" s="409">
        <f>+D13-C13</f>
        <v>643</v>
      </c>
      <c r="F13" s="410">
        <f>IF(C13=0,0,+E13/C13)</f>
        <v>0.15132972464109201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12493</v>
      </c>
      <c r="D14" s="409">
        <v>13691</v>
      </c>
      <c r="E14" s="409">
        <f>+D14-C14</f>
        <v>1198</v>
      </c>
      <c r="F14" s="410">
        <f>IF(C14=0,0,+E14/C14)</f>
        <v>9.5893700472264462E-2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38877</v>
      </c>
      <c r="D16" s="401">
        <f>SUM(D12:D15)</f>
        <v>43363</v>
      </c>
      <c r="E16" s="401">
        <f>+D16-C16</f>
        <v>4486</v>
      </c>
      <c r="F16" s="402">
        <f>IF(C16=0,0,+E16/C16)</f>
        <v>0.1153895619517967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4984</v>
      </c>
      <c r="D19" s="409">
        <v>5251</v>
      </c>
      <c r="E19" s="409">
        <f>+D19-C19</f>
        <v>267</v>
      </c>
      <c r="F19" s="410">
        <f>IF(C19=0,0,+E19/C19)</f>
        <v>5.3571428571428568E-2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4268</v>
      </c>
      <c r="D20" s="409">
        <v>4411</v>
      </c>
      <c r="E20" s="409">
        <f>+D20-C20</f>
        <v>143</v>
      </c>
      <c r="F20" s="410">
        <f>IF(C20=0,0,+E20/C20)</f>
        <v>3.3505154639175257E-2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447</v>
      </c>
      <c r="D21" s="409">
        <v>461</v>
      </c>
      <c r="E21" s="409">
        <f>+D21-C21</f>
        <v>14</v>
      </c>
      <c r="F21" s="410">
        <f>IF(C21=0,0,+E21/C21)</f>
        <v>3.1319910514541388E-2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9699</v>
      </c>
      <c r="D23" s="401">
        <f>SUM(D19:D22)</f>
        <v>10123</v>
      </c>
      <c r="E23" s="401">
        <f>+D23-C23</f>
        <v>424</v>
      </c>
      <c r="F23" s="402">
        <f>IF(C23=0,0,+E23/C23)</f>
        <v>4.3715846994535519E-2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47</v>
      </c>
      <c r="D26" s="409">
        <v>48</v>
      </c>
      <c r="E26" s="409">
        <f>+D26-C26</f>
        <v>1</v>
      </c>
      <c r="F26" s="410">
        <f>IF(C26=0,0,+E26/C26)</f>
        <v>2.1276595744680851E-2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66</v>
      </c>
      <c r="D27" s="409">
        <v>73</v>
      </c>
      <c r="E27" s="409">
        <f>+D27-C27</f>
        <v>7</v>
      </c>
      <c r="F27" s="410">
        <f>IF(C27=0,0,+E27/C27)</f>
        <v>0.10606060606060606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2</v>
      </c>
      <c r="D28" s="409">
        <v>3</v>
      </c>
      <c r="E28" s="409">
        <f>+D28-C28</f>
        <v>1</v>
      </c>
      <c r="F28" s="410">
        <f>IF(C28=0,0,+E28/C28)</f>
        <v>0.5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115</v>
      </c>
      <c r="D30" s="401">
        <f>SUM(D26:D29)</f>
        <v>124</v>
      </c>
      <c r="E30" s="401">
        <f>+D30-C30</f>
        <v>9</v>
      </c>
      <c r="F30" s="402">
        <f>IF(C30=0,0,+E30/C30)</f>
        <v>7.8260869565217397E-2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47</v>
      </c>
      <c r="D33" s="409">
        <v>48</v>
      </c>
      <c r="E33" s="409">
        <f>+D33-C33</f>
        <v>1</v>
      </c>
      <c r="F33" s="410">
        <f>IF(C33=0,0,+E33/C33)</f>
        <v>2.1276595744680851E-2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1139</v>
      </c>
      <c r="D34" s="409">
        <v>1163</v>
      </c>
      <c r="E34" s="409">
        <f>+D34-C34</f>
        <v>24</v>
      </c>
      <c r="F34" s="410">
        <f>IF(C34=0,0,+E34/C34)</f>
        <v>2.1071115013169446E-2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1186</v>
      </c>
      <c r="D37" s="401">
        <f>SUM(D33:D36)</f>
        <v>1211</v>
      </c>
      <c r="E37" s="401">
        <f>+D37-C37</f>
        <v>25</v>
      </c>
      <c r="F37" s="402">
        <f>IF(C37=0,0,+E37/C37)</f>
        <v>2.1079258010118045E-2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1407</v>
      </c>
      <c r="D43" s="409">
        <v>1642</v>
      </c>
      <c r="E43" s="409">
        <f>+D43-C43</f>
        <v>235</v>
      </c>
      <c r="F43" s="410">
        <f>IF(C43=0,0,+E43/C43)</f>
        <v>0.16702203269367449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33200</v>
      </c>
      <c r="D44" s="409">
        <v>37522</v>
      </c>
      <c r="E44" s="409">
        <f>+D44-C44</f>
        <v>4322</v>
      </c>
      <c r="F44" s="410">
        <f>IF(C44=0,0,+E44/C44)</f>
        <v>0.13018072289156626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34607</v>
      </c>
      <c r="D45" s="401">
        <f>SUM(D43:D44)</f>
        <v>39164</v>
      </c>
      <c r="E45" s="401">
        <f>+D45-C45</f>
        <v>4557</v>
      </c>
      <c r="F45" s="402">
        <f>IF(C45=0,0,+E45/C45)</f>
        <v>0.13167856214060739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2104</v>
      </c>
      <c r="D48" s="409">
        <v>1801</v>
      </c>
      <c r="E48" s="409">
        <f>+D48-C48</f>
        <v>-303</v>
      </c>
      <c r="F48" s="410">
        <f>IF(C48=0,0,+E48/C48)</f>
        <v>-0.14401140684410646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1064</v>
      </c>
      <c r="D49" s="409">
        <v>1368</v>
      </c>
      <c r="E49" s="409">
        <f>+D49-C49</f>
        <v>304</v>
      </c>
      <c r="F49" s="410">
        <f>IF(C49=0,0,+E49/C49)</f>
        <v>0.2857142857142857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3168</v>
      </c>
      <c r="D50" s="401">
        <f>SUM(D48:D49)</f>
        <v>3169</v>
      </c>
      <c r="E50" s="401">
        <f>+D50-C50</f>
        <v>1</v>
      </c>
      <c r="F50" s="402">
        <f>IF(C50=0,0,+E50/C50)</f>
        <v>3.1565656565656568E-4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436</v>
      </c>
      <c r="D53" s="409">
        <v>406</v>
      </c>
      <c r="E53" s="409">
        <f>+D53-C53</f>
        <v>-30</v>
      </c>
      <c r="F53" s="410">
        <f>IF(C53=0,0,+E53/C53)</f>
        <v>-6.8807339449541288E-2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760</v>
      </c>
      <c r="D54" s="409">
        <v>709</v>
      </c>
      <c r="E54" s="409">
        <f>+D54-C54</f>
        <v>-51</v>
      </c>
      <c r="F54" s="410">
        <f>IF(C54=0,0,+E54/C54)</f>
        <v>-6.7105263157894737E-2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1196</v>
      </c>
      <c r="D55" s="401">
        <f>SUM(D53:D54)</f>
        <v>1115</v>
      </c>
      <c r="E55" s="401">
        <f>+D55-C55</f>
        <v>-81</v>
      </c>
      <c r="F55" s="402">
        <f>IF(C55=0,0,+E55/C55)</f>
        <v>-6.7725752508361201E-2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219</v>
      </c>
      <c r="D58" s="409">
        <v>116</v>
      </c>
      <c r="E58" s="409">
        <f>+D58-C58</f>
        <v>-103</v>
      </c>
      <c r="F58" s="410">
        <f>IF(C58=0,0,+E58/C58)</f>
        <v>-0.47031963470319632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284</v>
      </c>
      <c r="D59" s="409">
        <v>318</v>
      </c>
      <c r="E59" s="409">
        <f>+D59-C59</f>
        <v>34</v>
      </c>
      <c r="F59" s="410">
        <f>IF(C59=0,0,+E59/C59)</f>
        <v>0.11971830985915492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503</v>
      </c>
      <c r="D60" s="401">
        <f>SUM(D58:D59)</f>
        <v>434</v>
      </c>
      <c r="E60" s="401">
        <f>SUM(E58:E59)</f>
        <v>-69</v>
      </c>
      <c r="F60" s="402">
        <f>IF(C60=0,0,+E60/C60)</f>
        <v>-0.13717693836978131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16191</v>
      </c>
      <c r="D63" s="409">
        <v>16915</v>
      </c>
      <c r="E63" s="409">
        <f>+D63-C63</f>
        <v>724</v>
      </c>
      <c r="F63" s="410">
        <f>IF(C63=0,0,+E63/C63)</f>
        <v>4.4716200358223705E-2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24464</v>
      </c>
      <c r="D64" s="409">
        <v>25946</v>
      </c>
      <c r="E64" s="409">
        <f>+D64-C64</f>
        <v>1482</v>
      </c>
      <c r="F64" s="410">
        <f>IF(C64=0,0,+E64/C64)</f>
        <v>6.0578809679529104E-2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40655</v>
      </c>
      <c r="D65" s="401">
        <f>SUM(D63:D64)</f>
        <v>42861</v>
      </c>
      <c r="E65" s="401">
        <f>+D65-C65</f>
        <v>2206</v>
      </c>
      <c r="F65" s="402">
        <f>IF(C65=0,0,+E65/C65)</f>
        <v>5.4261468454064689E-2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3414</v>
      </c>
      <c r="D68" s="409">
        <v>3568</v>
      </c>
      <c r="E68" s="409">
        <f>+D68-C68</f>
        <v>154</v>
      </c>
      <c r="F68" s="410">
        <f>IF(C68=0,0,+E68/C68)</f>
        <v>4.5108377270064441E-2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11897</v>
      </c>
      <c r="D69" s="409">
        <v>12288</v>
      </c>
      <c r="E69" s="409">
        <f>+D69-C69</f>
        <v>391</v>
      </c>
      <c r="F69" s="412">
        <f>IF(C69=0,0,+E69/C69)</f>
        <v>3.2865428259225012E-2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15311</v>
      </c>
      <c r="D70" s="401">
        <f>SUM(D68:D69)</f>
        <v>15856</v>
      </c>
      <c r="E70" s="401">
        <f>+D70-C70</f>
        <v>545</v>
      </c>
      <c r="F70" s="402">
        <f>IF(C70=0,0,+E70/C70)</f>
        <v>3.5595323623538636E-2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22296</v>
      </c>
      <c r="D73" s="376">
        <v>23512</v>
      </c>
      <c r="E73" s="409">
        <f>+D73-C73</f>
        <v>1216</v>
      </c>
      <c r="F73" s="410">
        <f>IF(C73=0,0,+E73/C73)</f>
        <v>5.45389307499103E-2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78503</v>
      </c>
      <c r="D74" s="376">
        <v>79877</v>
      </c>
      <c r="E74" s="409">
        <f>+D74-C74</f>
        <v>1374</v>
      </c>
      <c r="F74" s="410">
        <f>IF(C74=0,0,+E74/C74)</f>
        <v>1.7502515827420607E-2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100799</v>
      </c>
      <c r="D75" s="401">
        <f>SUM(D73:D74)</f>
        <v>103389</v>
      </c>
      <c r="E75" s="401">
        <f>SUM(E73:E74)</f>
        <v>2590</v>
      </c>
      <c r="F75" s="402">
        <f>IF(C75=0,0,+E75/C75)</f>
        <v>2.5694699352176113E-2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14030</v>
      </c>
      <c r="D80" s="376">
        <v>14858</v>
      </c>
      <c r="E80" s="409">
        <f t="shared" si="0"/>
        <v>828</v>
      </c>
      <c r="F80" s="410">
        <f t="shared" si="1"/>
        <v>5.9016393442622953E-2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12832</v>
      </c>
      <c r="D81" s="376">
        <v>11234</v>
      </c>
      <c r="E81" s="409">
        <f t="shared" si="0"/>
        <v>-1598</v>
      </c>
      <c r="F81" s="410">
        <f t="shared" si="1"/>
        <v>-0.12453241895261845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10983</v>
      </c>
      <c r="D85" s="376">
        <v>14865</v>
      </c>
      <c r="E85" s="409">
        <f t="shared" si="0"/>
        <v>3882</v>
      </c>
      <c r="F85" s="410">
        <f t="shared" si="1"/>
        <v>0.35345534007101886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18341</v>
      </c>
      <c r="D90" s="376">
        <v>18552</v>
      </c>
      <c r="E90" s="409">
        <f t="shared" si="0"/>
        <v>211</v>
      </c>
      <c r="F90" s="410">
        <f t="shared" si="1"/>
        <v>1.150428002835178E-2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19385</v>
      </c>
      <c r="D91" s="376">
        <v>19610</v>
      </c>
      <c r="E91" s="409">
        <f t="shared" si="0"/>
        <v>225</v>
      </c>
      <c r="F91" s="410">
        <f t="shared" si="1"/>
        <v>1.1606912561258705E-2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75571</v>
      </c>
      <c r="D92" s="381">
        <f>SUM(D79:D91)</f>
        <v>79119</v>
      </c>
      <c r="E92" s="401">
        <f t="shared" si="0"/>
        <v>3548</v>
      </c>
      <c r="F92" s="402">
        <f t="shared" si="1"/>
        <v>4.6949226555160047E-2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141717</v>
      </c>
      <c r="D95" s="414">
        <v>148095</v>
      </c>
      <c r="E95" s="415">
        <f t="shared" ref="E95:E100" si="2">+D95-C95</f>
        <v>6378</v>
      </c>
      <c r="F95" s="412">
        <f t="shared" ref="F95:F100" si="3">IF(C95=0,0,+E95/C95)</f>
        <v>4.5005186392599338E-2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11379</v>
      </c>
      <c r="D96" s="414">
        <v>11903</v>
      </c>
      <c r="E96" s="409">
        <f t="shared" si="2"/>
        <v>524</v>
      </c>
      <c r="F96" s="410">
        <f t="shared" si="3"/>
        <v>4.6049740750505316E-2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1375</v>
      </c>
      <c r="D97" s="414">
        <v>1212</v>
      </c>
      <c r="E97" s="409">
        <f t="shared" si="2"/>
        <v>-163</v>
      </c>
      <c r="F97" s="410">
        <f t="shared" si="3"/>
        <v>-0.11854545454545455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15766</v>
      </c>
      <c r="D98" s="414">
        <v>16929</v>
      </c>
      <c r="E98" s="409">
        <f t="shared" si="2"/>
        <v>1163</v>
      </c>
      <c r="F98" s="410">
        <f t="shared" si="3"/>
        <v>7.3766332614486868E-2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51499</v>
      </c>
      <c r="D99" s="414">
        <v>60824</v>
      </c>
      <c r="E99" s="409">
        <f t="shared" si="2"/>
        <v>9325</v>
      </c>
      <c r="F99" s="410">
        <f t="shared" si="3"/>
        <v>0.1810714771160605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221736</v>
      </c>
      <c r="D100" s="381">
        <f>SUM(D95:D99)</f>
        <v>238963</v>
      </c>
      <c r="E100" s="401">
        <f t="shared" si="2"/>
        <v>17227</v>
      </c>
      <c r="F100" s="402">
        <f t="shared" si="3"/>
        <v>7.769148897788361E-2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1562</v>
      </c>
      <c r="D104" s="416">
        <v>1815.4</v>
      </c>
      <c r="E104" s="417">
        <f>+D104-C104</f>
        <v>253.40000000000009</v>
      </c>
      <c r="F104" s="410">
        <f>IF(C104=0,0,+E104/C104)</f>
        <v>0.16222791293213834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230.2</v>
      </c>
      <c r="D105" s="416">
        <v>157.19999999999999</v>
      </c>
      <c r="E105" s="417">
        <f>+D105-C105</f>
        <v>-73</v>
      </c>
      <c r="F105" s="410">
        <f>IF(C105=0,0,+E105/C105)</f>
        <v>-0.31711555169417899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4332.7</v>
      </c>
      <c r="D106" s="416">
        <v>3834.4</v>
      </c>
      <c r="E106" s="417">
        <f>+D106-C106</f>
        <v>-498.29999999999973</v>
      </c>
      <c r="F106" s="410">
        <f>IF(C106=0,0,+E106/C106)</f>
        <v>-0.11500911671705859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6124.9</v>
      </c>
      <c r="D107" s="418">
        <f>SUM(D104:D106)</f>
        <v>5807</v>
      </c>
      <c r="E107" s="418">
        <f>+D107-C107</f>
        <v>-317.89999999999964</v>
      </c>
      <c r="F107" s="402">
        <f>IF(C107=0,0,+E107/C107)</f>
        <v>-5.1902888210419704E-2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FILING&amp;RHARTFORD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9719</v>
      </c>
      <c r="D12" s="409">
        <v>10329</v>
      </c>
      <c r="E12" s="409">
        <f>+D12-C12</f>
        <v>610</v>
      </c>
      <c r="F12" s="410">
        <f>IF(C12=0,0,+E12/C12)</f>
        <v>6.2763658812635043E-2</v>
      </c>
    </row>
    <row r="13" spans="1:6" ht="15.75" customHeight="1" x14ac:dyDescent="0.2">
      <c r="A13" s="374">
        <v>2</v>
      </c>
      <c r="B13" s="408" t="s">
        <v>622</v>
      </c>
      <c r="C13" s="409">
        <v>12590</v>
      </c>
      <c r="D13" s="409">
        <v>13645</v>
      </c>
      <c r="E13" s="409">
        <f>+D13-C13</f>
        <v>1055</v>
      </c>
      <c r="F13" s="410">
        <f>IF(C13=0,0,+E13/C13)</f>
        <v>8.3796664019062744E-2</v>
      </c>
    </row>
    <row r="14" spans="1:6" ht="15.75" customHeight="1" x14ac:dyDescent="0.2">
      <c r="A14" s="374">
        <v>3</v>
      </c>
      <c r="B14" s="408" t="s">
        <v>623</v>
      </c>
      <c r="C14" s="409">
        <v>2155</v>
      </c>
      <c r="D14" s="409">
        <v>1972</v>
      </c>
      <c r="E14" s="409">
        <f>+D14-C14</f>
        <v>-183</v>
      </c>
      <c r="F14" s="410">
        <f>IF(C14=0,0,+E14/C14)</f>
        <v>-8.4918793503480278E-2</v>
      </c>
    </row>
    <row r="15" spans="1:6" ht="15.75" customHeight="1" x14ac:dyDescent="0.25">
      <c r="A15" s="374"/>
      <c r="B15" s="399" t="s">
        <v>624</v>
      </c>
      <c r="C15" s="401">
        <f>SUM(C11:C14)</f>
        <v>24464</v>
      </c>
      <c r="D15" s="401">
        <f>SUM(D11:D14)</f>
        <v>25946</v>
      </c>
      <c r="E15" s="401">
        <f>+D15-C15</f>
        <v>1482</v>
      </c>
      <c r="F15" s="402">
        <f>IF(C15=0,0,+E15/C15)</f>
        <v>6.0578809679529104E-2</v>
      </c>
    </row>
    <row r="16" spans="1:6" ht="15.75" customHeight="1" x14ac:dyDescent="0.25">
      <c r="A16" s="136"/>
      <c r="B16" s="399"/>
      <c r="C16" s="401"/>
      <c r="D16" s="401"/>
      <c r="E16" s="401"/>
      <c r="F16" s="402"/>
    </row>
    <row r="17" spans="1:6" ht="15.75" customHeight="1" x14ac:dyDescent="0.25">
      <c r="A17" s="136" t="s">
        <v>26</v>
      </c>
      <c r="B17" s="406" t="s">
        <v>588</v>
      </c>
      <c r="C17" s="409"/>
      <c r="D17" s="409"/>
      <c r="E17" s="409"/>
      <c r="F17" s="410"/>
    </row>
    <row r="18" spans="1:6" ht="15.75" customHeight="1" x14ac:dyDescent="0.2">
      <c r="A18" s="374">
        <v>1</v>
      </c>
      <c r="B18" s="408" t="s">
        <v>622</v>
      </c>
      <c r="C18" s="409">
        <v>10375</v>
      </c>
      <c r="D18" s="409">
        <v>10591</v>
      </c>
      <c r="E18" s="409">
        <f>+D18-C18</f>
        <v>216</v>
      </c>
      <c r="F18" s="410">
        <f>IF(C18=0,0,+E18/C18)</f>
        <v>2.0819277108433735E-2</v>
      </c>
    </row>
    <row r="19" spans="1:6" ht="15.75" customHeight="1" x14ac:dyDescent="0.2">
      <c r="A19" s="374">
        <v>2</v>
      </c>
      <c r="B19" s="408" t="s">
        <v>623</v>
      </c>
      <c r="C19" s="409">
        <v>1522</v>
      </c>
      <c r="D19" s="409">
        <v>1697</v>
      </c>
      <c r="E19" s="409">
        <f>+D19-C19</f>
        <v>175</v>
      </c>
      <c r="F19" s="410">
        <f>IF(C19=0,0,+E19/C19)</f>
        <v>0.11498028909329829</v>
      </c>
    </row>
    <row r="20" spans="1:6" ht="15.75" customHeight="1" x14ac:dyDescent="0.25">
      <c r="A20" s="374"/>
      <c r="B20" s="399" t="s">
        <v>625</v>
      </c>
      <c r="C20" s="401">
        <f>SUM(C17:C19)</f>
        <v>11897</v>
      </c>
      <c r="D20" s="401">
        <f>SUM(D17:D19)</f>
        <v>12288</v>
      </c>
      <c r="E20" s="401">
        <f>+D20-C20</f>
        <v>391</v>
      </c>
      <c r="F20" s="402">
        <f>IF(C20=0,0,+E20/C20)</f>
        <v>3.2865428259225012E-2</v>
      </c>
    </row>
    <row r="21" spans="1:6" ht="15.75" customHeight="1" x14ac:dyDescent="0.25">
      <c r="A21" s="136"/>
      <c r="B21" s="399"/>
      <c r="C21" s="401"/>
      <c r="D21" s="401"/>
      <c r="E21" s="401"/>
      <c r="F21" s="402"/>
    </row>
    <row r="22" spans="1:6" ht="15.75" customHeight="1" x14ac:dyDescent="0.25">
      <c r="A22" s="136" t="s">
        <v>36</v>
      </c>
      <c r="B22" s="406" t="s">
        <v>626</v>
      </c>
      <c r="C22" s="409"/>
      <c r="D22" s="409"/>
      <c r="E22" s="409"/>
      <c r="F22" s="410"/>
    </row>
    <row r="23" spans="1:6" ht="15.75" customHeight="1" x14ac:dyDescent="0.2">
      <c r="A23" s="374">
        <v>1</v>
      </c>
      <c r="B23" s="408" t="s">
        <v>622</v>
      </c>
      <c r="C23" s="409">
        <v>78503</v>
      </c>
      <c r="D23" s="409">
        <v>79877</v>
      </c>
      <c r="E23" s="409">
        <f>+D23-C23</f>
        <v>1374</v>
      </c>
      <c r="F23" s="410">
        <f>IF(C23=0,0,+E23/C23)</f>
        <v>1.7502515827420607E-2</v>
      </c>
    </row>
    <row r="24" spans="1:6" ht="15.75" customHeight="1" x14ac:dyDescent="0.25">
      <c r="A24" s="374"/>
      <c r="B24" s="399" t="s">
        <v>627</v>
      </c>
      <c r="C24" s="401">
        <f>SUM(C22:C23)</f>
        <v>78503</v>
      </c>
      <c r="D24" s="401">
        <f>SUM(D22:D23)</f>
        <v>79877</v>
      </c>
      <c r="E24" s="401">
        <f>+D24-C24</f>
        <v>1374</v>
      </c>
      <c r="F24" s="402">
        <f>IF(C24=0,0,+E24/C24)</f>
        <v>1.7502515827420607E-2</v>
      </c>
    </row>
    <row r="25" spans="1:6" ht="15.75" customHeight="1" x14ac:dyDescent="0.25">
      <c r="A25" s="136"/>
      <c r="B25" s="399"/>
      <c r="C25" s="401"/>
      <c r="D25" s="401"/>
      <c r="E25" s="401"/>
      <c r="F25" s="402"/>
    </row>
    <row r="26" spans="1:6" ht="15.75" customHeight="1" x14ac:dyDescent="0.25">
      <c r="B26" s="813" t="s">
        <v>628</v>
      </c>
      <c r="C26" s="814"/>
      <c r="D26" s="814"/>
      <c r="E26" s="814"/>
      <c r="F26" s="815"/>
    </row>
    <row r="27" spans="1:6" ht="15.75" customHeight="1" x14ac:dyDescent="0.25">
      <c r="A27" s="392"/>
    </row>
    <row r="28" spans="1:6" ht="15.75" customHeight="1" x14ac:dyDescent="0.25">
      <c r="B28" s="813" t="s">
        <v>629</v>
      </c>
      <c r="C28" s="814"/>
      <c r="D28" s="814"/>
      <c r="E28" s="814"/>
      <c r="F28" s="815"/>
    </row>
    <row r="29" spans="1:6" ht="15.75" customHeight="1" x14ac:dyDescent="0.25">
      <c r="A29" s="392"/>
    </row>
    <row r="30" spans="1:6" ht="15.75" customHeight="1" x14ac:dyDescent="0.25">
      <c r="B30" s="813" t="s">
        <v>630</v>
      </c>
      <c r="C30" s="814"/>
      <c r="D30" s="814"/>
      <c r="E30" s="814"/>
      <c r="F30" s="815"/>
    </row>
    <row r="31" spans="1:6" ht="15.75" customHeight="1" x14ac:dyDescent="0.25">
      <c r="A31" s="392"/>
    </row>
  </sheetData>
  <mergeCells count="7">
    <mergeCell ref="B30:F30"/>
    <mergeCell ref="A1:F1"/>
    <mergeCell ref="A2:F2"/>
    <mergeCell ref="A3:F3"/>
    <mergeCell ref="A4:F4"/>
    <mergeCell ref="B26:F26"/>
    <mergeCell ref="B28:F28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FILING&amp;RHARTFORD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631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632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633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634</v>
      </c>
      <c r="D7" s="426" t="s">
        <v>634</v>
      </c>
      <c r="E7" s="426" t="s">
        <v>635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636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637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638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639</v>
      </c>
      <c r="C15" s="448">
        <v>789518832</v>
      </c>
      <c r="D15" s="448">
        <v>819287674</v>
      </c>
      <c r="E15" s="448">
        <f t="shared" ref="E15:E24" si="0">D15-C15</f>
        <v>29768842</v>
      </c>
      <c r="F15" s="449">
        <f t="shared" ref="F15:F24" si="1">IF(C15=0,0,E15/C15)</f>
        <v>3.7705043620796116E-2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640</v>
      </c>
      <c r="C16" s="448">
        <v>272818286</v>
      </c>
      <c r="D16" s="448">
        <v>320138468</v>
      </c>
      <c r="E16" s="448">
        <f t="shared" si="0"/>
        <v>47320182</v>
      </c>
      <c r="F16" s="449">
        <f t="shared" si="1"/>
        <v>0.17344945125855676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641</v>
      </c>
      <c r="C17" s="453">
        <f>IF(C15=0,0,C16/C15)</f>
        <v>0.34555006789249076</v>
      </c>
      <c r="D17" s="453">
        <f>IF(LN_IA1=0,0,LN_IA2/LN_IA1)</f>
        <v>0.39075220848495273</v>
      </c>
      <c r="E17" s="454">
        <f t="shared" si="0"/>
        <v>4.520214059246197E-2</v>
      </c>
      <c r="F17" s="449">
        <f t="shared" si="1"/>
        <v>0.13081213054927104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17247</v>
      </c>
      <c r="D18" s="456">
        <v>17602</v>
      </c>
      <c r="E18" s="456">
        <f t="shared" si="0"/>
        <v>355</v>
      </c>
      <c r="F18" s="449">
        <f t="shared" si="1"/>
        <v>2.0583289847509713E-2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642</v>
      </c>
      <c r="C19" s="459">
        <v>1.8692200000000001</v>
      </c>
      <c r="D19" s="459">
        <v>1.86389</v>
      </c>
      <c r="E19" s="460">
        <f t="shared" si="0"/>
        <v>-5.3300000000000569E-3</v>
      </c>
      <c r="F19" s="449">
        <f t="shared" si="1"/>
        <v>-2.8514567573640643E-3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643</v>
      </c>
      <c r="C20" s="463">
        <f>C18*C19</f>
        <v>32238.43734</v>
      </c>
      <c r="D20" s="463">
        <f>LN_IA4*LN_IA5</f>
        <v>32808.191780000001</v>
      </c>
      <c r="E20" s="463">
        <f t="shared" si="0"/>
        <v>569.75444000000061</v>
      </c>
      <c r="F20" s="449">
        <f t="shared" si="1"/>
        <v>1.7673140729221232E-2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644</v>
      </c>
      <c r="C21" s="465">
        <f>IF(C20=0,0,C16/C20)</f>
        <v>8462.5158199432753</v>
      </c>
      <c r="D21" s="465">
        <f>IF(LN_IA6=0,0,LN_IA2/LN_IA6)</f>
        <v>9757.8821212316143</v>
      </c>
      <c r="E21" s="465">
        <f t="shared" si="0"/>
        <v>1295.3663012883389</v>
      </c>
      <c r="F21" s="449">
        <f t="shared" si="1"/>
        <v>0.15307106407241219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112217</v>
      </c>
      <c r="D22" s="456">
        <v>112266</v>
      </c>
      <c r="E22" s="456">
        <f t="shared" si="0"/>
        <v>49</v>
      </c>
      <c r="F22" s="449">
        <f t="shared" si="1"/>
        <v>4.3665398290811553E-4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645</v>
      </c>
      <c r="C23" s="465">
        <f>IF(C22=0,0,C16/C22)</f>
        <v>2431.1671671850077</v>
      </c>
      <c r="D23" s="465">
        <f>IF(LN_IA8=0,0,LN_IA2/LN_IA8)</f>
        <v>2851.6066128658722</v>
      </c>
      <c r="E23" s="465">
        <f t="shared" si="0"/>
        <v>420.43944568086454</v>
      </c>
      <c r="F23" s="449">
        <f t="shared" si="1"/>
        <v>0.17293728352200546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646</v>
      </c>
      <c r="C24" s="466">
        <f>IF(C18=0,0,C22/C18)</f>
        <v>6.506464892445063</v>
      </c>
      <c r="D24" s="466">
        <f>IF(LN_IA4=0,0,LN_IA8/LN_IA4)</f>
        <v>6.3780252244063176</v>
      </c>
      <c r="E24" s="466">
        <f t="shared" si="0"/>
        <v>-0.1284396680387454</v>
      </c>
      <c r="F24" s="449">
        <f t="shared" si="1"/>
        <v>-1.9740315234449701E-2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647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648</v>
      </c>
      <c r="C27" s="448">
        <v>306136212</v>
      </c>
      <c r="D27" s="448">
        <v>345608379</v>
      </c>
      <c r="E27" s="448">
        <f t="shared" ref="E27:E32" si="2">D27-C27</f>
        <v>39472167</v>
      </c>
      <c r="F27" s="449">
        <f t="shared" ref="F27:F32" si="3">IF(C27=0,0,E27/C27)</f>
        <v>0.12893661531292483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649</v>
      </c>
      <c r="C28" s="448">
        <v>87993210</v>
      </c>
      <c r="D28" s="448">
        <v>104283367</v>
      </c>
      <c r="E28" s="448">
        <f t="shared" si="2"/>
        <v>16290157</v>
      </c>
      <c r="F28" s="449">
        <f t="shared" si="3"/>
        <v>0.18512970489427535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650</v>
      </c>
      <c r="C29" s="453">
        <f>IF(C27=0,0,C28/C27)</f>
        <v>0.28743156330685898</v>
      </c>
      <c r="D29" s="453">
        <f>IF(LN_IA11=0,0,LN_IA12/LN_IA11)</f>
        <v>0.30173853799997136</v>
      </c>
      <c r="E29" s="454">
        <f t="shared" si="2"/>
        <v>1.4306974693112373E-2</v>
      </c>
      <c r="F29" s="449">
        <f t="shared" si="3"/>
        <v>4.9775238768187728E-2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651</v>
      </c>
      <c r="C30" s="453">
        <f>IF(C15=0,0,C27/C15)</f>
        <v>0.38775036084256442</v>
      </c>
      <c r="D30" s="453">
        <f>IF(LN_IA1=0,0,LN_IA11/LN_IA1)</f>
        <v>0.42184008128993283</v>
      </c>
      <c r="E30" s="454">
        <f t="shared" si="2"/>
        <v>3.408972044736841E-2</v>
      </c>
      <c r="F30" s="449">
        <f t="shared" si="3"/>
        <v>8.7916669821513388E-2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652</v>
      </c>
      <c r="C31" s="463">
        <f>C30*C18</f>
        <v>6687.5304734517085</v>
      </c>
      <c r="D31" s="463">
        <f>LN_IA14*LN_IA4</f>
        <v>7425.2291108653981</v>
      </c>
      <c r="E31" s="463">
        <f t="shared" si="2"/>
        <v>737.69863741368954</v>
      </c>
      <c r="F31" s="449">
        <f t="shared" si="3"/>
        <v>0.11030957396638719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653</v>
      </c>
      <c r="C32" s="465">
        <f>IF(C31=0,0,C28/C31)</f>
        <v>13157.803220384145</v>
      </c>
      <c r="D32" s="465">
        <f>IF(LN_IA15=0,0,LN_IA12/LN_IA15)</f>
        <v>14044.4645468786</v>
      </c>
      <c r="E32" s="465">
        <f t="shared" si="2"/>
        <v>886.66132649445535</v>
      </c>
      <c r="F32" s="449">
        <f t="shared" si="3"/>
        <v>6.7386729505183249E-2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654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655</v>
      </c>
      <c r="C35" s="448">
        <f>C15+C27</f>
        <v>1095655044</v>
      </c>
      <c r="D35" s="448">
        <f>LN_IA1+LN_IA11</f>
        <v>1164896053</v>
      </c>
      <c r="E35" s="448">
        <f>D35-C35</f>
        <v>69241009</v>
      </c>
      <c r="F35" s="449">
        <f>IF(C35=0,0,E35/C35)</f>
        <v>6.3195993464526964E-2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656</v>
      </c>
      <c r="C36" s="448">
        <f>C16+C28</f>
        <v>360811496</v>
      </c>
      <c r="D36" s="448">
        <f>LN_IA2+LN_IA12</f>
        <v>424421835</v>
      </c>
      <c r="E36" s="448">
        <f>D36-C36</f>
        <v>63610339</v>
      </c>
      <c r="F36" s="449">
        <f>IF(C36=0,0,E36/C36)</f>
        <v>0.17629798303322353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657</v>
      </c>
      <c r="C37" s="448">
        <f>C35-C36</f>
        <v>734843548</v>
      </c>
      <c r="D37" s="448">
        <f>LN_IA17-LN_IA18</f>
        <v>740474218</v>
      </c>
      <c r="E37" s="448">
        <f>D37-C37</f>
        <v>5630670</v>
      </c>
      <c r="F37" s="449">
        <f>IF(C37=0,0,E37/C37)</f>
        <v>7.6624065290153438E-3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658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659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639</v>
      </c>
      <c r="C42" s="448">
        <v>467725563</v>
      </c>
      <c r="D42" s="448">
        <v>473124318</v>
      </c>
      <c r="E42" s="448">
        <f t="shared" ref="E42:E53" si="4">D42-C42</f>
        <v>5398755</v>
      </c>
      <c r="F42" s="449">
        <f t="shared" ref="F42:F53" si="5">IF(C42=0,0,E42/C42)</f>
        <v>1.1542569889428943E-2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640</v>
      </c>
      <c r="C43" s="448">
        <v>284495340</v>
      </c>
      <c r="D43" s="448">
        <v>285605851</v>
      </c>
      <c r="E43" s="448">
        <f t="shared" si="4"/>
        <v>1110511</v>
      </c>
      <c r="F43" s="449">
        <f t="shared" si="5"/>
        <v>3.903441792754848E-3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641</v>
      </c>
      <c r="C44" s="453">
        <f>IF(C42=0,0,C43/C42)</f>
        <v>0.60825270736805981</v>
      </c>
      <c r="D44" s="453">
        <f>IF(LN_IB1=0,0,LN_IB2/LN_IB1)</f>
        <v>0.6036592078110008</v>
      </c>
      <c r="E44" s="454">
        <f t="shared" si="4"/>
        <v>-4.5934995570590109E-3</v>
      </c>
      <c r="F44" s="449">
        <f t="shared" si="5"/>
        <v>-7.5519590811774853E-3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14784</v>
      </c>
      <c r="D45" s="456">
        <v>14754</v>
      </c>
      <c r="E45" s="456">
        <f t="shared" si="4"/>
        <v>-30</v>
      </c>
      <c r="F45" s="449">
        <f t="shared" si="5"/>
        <v>-2.029220779220779E-3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642</v>
      </c>
      <c r="C46" s="459">
        <v>1.45099</v>
      </c>
      <c r="D46" s="459">
        <v>1.4782999999999999</v>
      </c>
      <c r="E46" s="460">
        <f t="shared" si="4"/>
        <v>2.7309999999999945E-2</v>
      </c>
      <c r="F46" s="449">
        <f t="shared" si="5"/>
        <v>1.8821632127030474E-2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643</v>
      </c>
      <c r="C47" s="463">
        <f>C45*C46</f>
        <v>21451.436160000001</v>
      </c>
      <c r="D47" s="463">
        <f>LN_IB4*LN_IB5</f>
        <v>21810.838199999998</v>
      </c>
      <c r="E47" s="463">
        <f t="shared" si="4"/>
        <v>359.40203999999721</v>
      </c>
      <c r="F47" s="449">
        <f t="shared" si="5"/>
        <v>1.6754218100798579E-2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644</v>
      </c>
      <c r="C48" s="465">
        <f>IF(C47=0,0,C43/C47)</f>
        <v>13262.298052122585</v>
      </c>
      <c r="D48" s="465">
        <f>IF(LN_IB6=0,0,LN_IB2/LN_IB6)</f>
        <v>13094.675609486665</v>
      </c>
      <c r="E48" s="465">
        <f t="shared" si="4"/>
        <v>-167.62244263592038</v>
      </c>
      <c r="F48" s="449">
        <f t="shared" si="5"/>
        <v>-1.2639019420099143E-2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660</v>
      </c>
      <c r="C49" s="465">
        <f>C21-C48</f>
        <v>-4799.7822321793101</v>
      </c>
      <c r="D49" s="465">
        <f>LN_IA7-LN_IB7</f>
        <v>-3336.7934882550508</v>
      </c>
      <c r="E49" s="465">
        <f t="shared" si="4"/>
        <v>1462.9887439242593</v>
      </c>
      <c r="F49" s="449">
        <f t="shared" si="5"/>
        <v>-0.30480315005041358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661</v>
      </c>
      <c r="C50" s="479">
        <f>C49*C47</f>
        <v>-102962222.13549678</v>
      </c>
      <c r="D50" s="479">
        <f>LN_IB8*LN_IB6</f>
        <v>-72778262.879144505</v>
      </c>
      <c r="E50" s="479">
        <f t="shared" si="4"/>
        <v>30183959.256352276</v>
      </c>
      <c r="F50" s="449">
        <f t="shared" si="5"/>
        <v>-0.29315567040337015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68328</v>
      </c>
      <c r="D51" s="456">
        <v>65670</v>
      </c>
      <c r="E51" s="456">
        <f t="shared" si="4"/>
        <v>-2658</v>
      </c>
      <c r="F51" s="449">
        <f t="shared" si="5"/>
        <v>-3.8900597119775199E-2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645</v>
      </c>
      <c r="C52" s="465">
        <f>IF(C51=0,0,C43/C51)</f>
        <v>4163.6714085001759</v>
      </c>
      <c r="D52" s="465">
        <f>IF(LN_IB10=0,0,LN_IB2/LN_IB10)</f>
        <v>4349.1069133546516</v>
      </c>
      <c r="E52" s="465">
        <f t="shared" si="4"/>
        <v>185.43550485447577</v>
      </c>
      <c r="F52" s="449">
        <f t="shared" si="5"/>
        <v>4.4536536787198759E-2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646</v>
      </c>
      <c r="C53" s="466">
        <f>IF(C45=0,0,C51/C45)</f>
        <v>4.6217532467532472</v>
      </c>
      <c r="D53" s="466">
        <f>IF(LN_IB4=0,0,LN_IB10/LN_IB4)</f>
        <v>4.4509963399755996</v>
      </c>
      <c r="E53" s="466">
        <f t="shared" si="4"/>
        <v>-0.17075690677764754</v>
      </c>
      <c r="F53" s="449">
        <f t="shared" si="5"/>
        <v>-3.6946348638929004E-2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662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648</v>
      </c>
      <c r="C56" s="448">
        <v>379093668</v>
      </c>
      <c r="D56" s="448">
        <v>401080803</v>
      </c>
      <c r="E56" s="448">
        <f t="shared" ref="E56:E63" si="6">D56-C56</f>
        <v>21987135</v>
      </c>
      <c r="F56" s="449">
        <f t="shared" ref="F56:F63" si="7">IF(C56=0,0,E56/C56)</f>
        <v>5.7999214589888638E-2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649</v>
      </c>
      <c r="C57" s="448">
        <v>177880331</v>
      </c>
      <c r="D57" s="448">
        <v>188393707</v>
      </c>
      <c r="E57" s="448">
        <f t="shared" si="6"/>
        <v>10513376</v>
      </c>
      <c r="F57" s="449">
        <f t="shared" si="7"/>
        <v>5.9103645360318112E-2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650</v>
      </c>
      <c r="C58" s="453">
        <f>IF(C56=0,0,C57/C56)</f>
        <v>0.46922527600751168</v>
      </c>
      <c r="D58" s="453">
        <f>IF(LN_IB13=0,0,LN_IB14/LN_IB13)</f>
        <v>0.46971509379370618</v>
      </c>
      <c r="E58" s="454">
        <f t="shared" si="6"/>
        <v>4.8981778619450189E-4</v>
      </c>
      <c r="F58" s="449">
        <f t="shared" si="7"/>
        <v>1.043886191217586E-3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651</v>
      </c>
      <c r="C59" s="453">
        <f>IF(C42=0,0,C56/C42)</f>
        <v>0.81050448807733866</v>
      </c>
      <c r="D59" s="453">
        <f>IF(LN_IB1=0,0,LN_IB13/LN_IB1)</f>
        <v>0.84772815038435623</v>
      </c>
      <c r="E59" s="454">
        <f t="shared" si="6"/>
        <v>3.7223662307017569E-2</v>
      </c>
      <c r="F59" s="449">
        <f t="shared" si="7"/>
        <v>4.5926534466599611E-2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652</v>
      </c>
      <c r="C60" s="463">
        <f>C59*C45</f>
        <v>11982.498351735374</v>
      </c>
      <c r="D60" s="463">
        <f>LN_IB16*LN_IB4</f>
        <v>12507.381130770791</v>
      </c>
      <c r="E60" s="463">
        <f t="shared" si="6"/>
        <v>524.88277903541712</v>
      </c>
      <c r="F60" s="449">
        <f t="shared" si="7"/>
        <v>4.3804118609321617E-2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653</v>
      </c>
      <c r="C61" s="465">
        <f>IF(C60=0,0,C57/C60)</f>
        <v>14845.011931442357</v>
      </c>
      <c r="D61" s="465">
        <f>IF(LN_IB17=0,0,LN_IB14/LN_IB17)</f>
        <v>15062.602237051193</v>
      </c>
      <c r="E61" s="465">
        <f t="shared" si="6"/>
        <v>217.59030560883548</v>
      </c>
      <c r="F61" s="449">
        <f t="shared" si="7"/>
        <v>1.4657469230319046E-2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663</v>
      </c>
      <c r="C62" s="465">
        <f>C32-C61</f>
        <v>-1687.2087110582124</v>
      </c>
      <c r="D62" s="465">
        <f>LN_IA16-LN_IB18</f>
        <v>-1018.1376901725926</v>
      </c>
      <c r="E62" s="465">
        <f t="shared" si="6"/>
        <v>669.07102088561987</v>
      </c>
      <c r="F62" s="449">
        <f t="shared" si="7"/>
        <v>-0.39655498249886373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664</v>
      </c>
      <c r="C63" s="448">
        <f>C62*C60</f>
        <v>-20216975.599288594</v>
      </c>
      <c r="D63" s="448">
        <f>LN_IB19*LN_IB17</f>
        <v>-12734236.134591242</v>
      </c>
      <c r="E63" s="448">
        <f t="shared" si="6"/>
        <v>7482739.4646973517</v>
      </c>
      <c r="F63" s="449">
        <f t="shared" si="7"/>
        <v>-0.37012160537803973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665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655</v>
      </c>
      <c r="C66" s="448">
        <f>C42+C56</f>
        <v>846819231</v>
      </c>
      <c r="D66" s="448">
        <f>LN_IB1+LN_IB13</f>
        <v>874205121</v>
      </c>
      <c r="E66" s="448">
        <f>D66-C66</f>
        <v>27385890</v>
      </c>
      <c r="F66" s="449">
        <f>IF(C66=0,0,E66/C66)</f>
        <v>3.2339711944968805E-2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656</v>
      </c>
      <c r="C67" s="448">
        <f>C43+C57</f>
        <v>462375671</v>
      </c>
      <c r="D67" s="448">
        <f>LN_IB2+LN_IB14</f>
        <v>473999558</v>
      </c>
      <c r="E67" s="448">
        <f>D67-C67</f>
        <v>11623887</v>
      </c>
      <c r="F67" s="449">
        <f>IF(C67=0,0,E67/C67)</f>
        <v>2.5139486631856112E-2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657</v>
      </c>
      <c r="C68" s="448">
        <f>C66-C67</f>
        <v>384443560</v>
      </c>
      <c r="D68" s="448">
        <f>LN_IB21-LN_IB22</f>
        <v>400205563</v>
      </c>
      <c r="E68" s="448">
        <f>D68-C68</f>
        <v>15762003</v>
      </c>
      <c r="F68" s="449">
        <f>IF(C68=0,0,E68/C68)</f>
        <v>4.0999524091390682E-2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666</v>
      </c>
      <c r="C70" s="441">
        <f>C50+C63</f>
        <v>-123179197.73478538</v>
      </c>
      <c r="D70" s="441">
        <f>LN_IB9+LN_IB20</f>
        <v>-85512499.013735741</v>
      </c>
      <c r="E70" s="448">
        <f>D70-C70</f>
        <v>37666698.721049637</v>
      </c>
      <c r="F70" s="449">
        <f>IF(C70=0,0,E70/C70)</f>
        <v>-0.30578782305555391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667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668</v>
      </c>
      <c r="C73" s="488">
        <v>774051584</v>
      </c>
      <c r="D73" s="488">
        <v>755770258</v>
      </c>
      <c r="E73" s="488">
        <f>D73-C73</f>
        <v>-18281326</v>
      </c>
      <c r="F73" s="489">
        <f>IF(C73=0,0,E73/C73)</f>
        <v>-2.361771021193337E-2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669</v>
      </c>
      <c r="C74" s="488">
        <v>437029600</v>
      </c>
      <c r="D74" s="488">
        <v>414620694</v>
      </c>
      <c r="E74" s="488">
        <f>D74-C74</f>
        <v>-22408906</v>
      </c>
      <c r="F74" s="489">
        <f>IF(C74=0,0,E74/C74)</f>
        <v>-5.1275487976100473E-2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670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671</v>
      </c>
      <c r="C76" s="441">
        <f>C73-C74</f>
        <v>337021984</v>
      </c>
      <c r="D76" s="441">
        <f>LN_IB32-LN_IB33</f>
        <v>341149564</v>
      </c>
      <c r="E76" s="488">
        <f>D76-C76</f>
        <v>4127580</v>
      </c>
      <c r="F76" s="489">
        <f>IF(E76=0,0,E76/C76)</f>
        <v>1.2247212929587406E-2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672</v>
      </c>
      <c r="C77" s="453">
        <f>IF(C73=0,0,C76/C73)</f>
        <v>0.43539990223700648</v>
      </c>
      <c r="D77" s="453">
        <f>IF(LN_IB32=0,0,LN_IB34/LN_IB32)</f>
        <v>0.45139321161272794</v>
      </c>
      <c r="E77" s="493">
        <f>D77-C77</f>
        <v>1.5993309375721465E-2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673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674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639</v>
      </c>
      <c r="C83" s="448">
        <v>10885059</v>
      </c>
      <c r="D83" s="448">
        <v>22883195</v>
      </c>
      <c r="E83" s="448">
        <f t="shared" ref="E83:E95" si="8">D83-C83</f>
        <v>11998136</v>
      </c>
      <c r="F83" s="449">
        <f t="shared" ref="F83:F95" si="9">IF(C83=0,0,E83/C83)</f>
        <v>1.1022573235478099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640</v>
      </c>
      <c r="C84" s="448">
        <v>254829</v>
      </c>
      <c r="D84" s="448">
        <v>425335</v>
      </c>
      <c r="E84" s="448">
        <f t="shared" si="8"/>
        <v>170506</v>
      </c>
      <c r="F84" s="449">
        <f t="shared" si="9"/>
        <v>0.66909967075960741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641</v>
      </c>
      <c r="C85" s="453">
        <f>IF(C83=0,0,C84/C83)</f>
        <v>2.3410897451267836E-2</v>
      </c>
      <c r="D85" s="453">
        <f>IF(LN_IC1=0,0,LN_IC2/LN_IC1)</f>
        <v>1.8587220884146643E-2</v>
      </c>
      <c r="E85" s="454">
        <f t="shared" si="8"/>
        <v>-4.8236765671211927E-3</v>
      </c>
      <c r="F85" s="449">
        <f t="shared" si="9"/>
        <v>-0.20604406888553359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357</v>
      </c>
      <c r="D86" s="456">
        <v>549</v>
      </c>
      <c r="E86" s="456">
        <f t="shared" si="8"/>
        <v>192</v>
      </c>
      <c r="F86" s="449">
        <f t="shared" si="9"/>
        <v>0.53781512605042014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642</v>
      </c>
      <c r="C87" s="459">
        <v>1.3452500000000001</v>
      </c>
      <c r="D87" s="459">
        <v>1.4432499999999999</v>
      </c>
      <c r="E87" s="460">
        <f t="shared" si="8"/>
        <v>9.7999999999999865E-2</v>
      </c>
      <c r="F87" s="449">
        <f t="shared" si="9"/>
        <v>7.284891284147918E-2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643</v>
      </c>
      <c r="C88" s="463">
        <f>C86*C87</f>
        <v>480.25425000000001</v>
      </c>
      <c r="D88" s="463">
        <f>LN_IC4*LN_IC5</f>
        <v>792.34424999999999</v>
      </c>
      <c r="E88" s="463">
        <f t="shared" si="8"/>
        <v>312.08999999999997</v>
      </c>
      <c r="F88" s="449">
        <f t="shared" si="9"/>
        <v>0.64984328613437559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644</v>
      </c>
      <c r="C89" s="465">
        <f>IF(C88=0,0,C84/C88)</f>
        <v>530.61269109018815</v>
      </c>
      <c r="D89" s="465">
        <f>IF(LN_IC6=0,0,LN_IC2/LN_IC6)</f>
        <v>536.80581388708254</v>
      </c>
      <c r="E89" s="465">
        <f t="shared" si="8"/>
        <v>6.1931227968943858</v>
      </c>
      <c r="F89" s="449">
        <f t="shared" si="9"/>
        <v>1.1671644687144773E-2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675</v>
      </c>
      <c r="C90" s="465">
        <f>C48-C89</f>
        <v>12731.685361032398</v>
      </c>
      <c r="D90" s="465">
        <f>LN_IB7-LN_IC7</f>
        <v>12557.869795599583</v>
      </c>
      <c r="E90" s="465">
        <f t="shared" si="8"/>
        <v>-173.81556543281476</v>
      </c>
      <c r="F90" s="449">
        <f t="shared" si="9"/>
        <v>-1.3652203970167878E-2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676</v>
      </c>
      <c r="C91" s="465">
        <f>C21-C89</f>
        <v>7931.9031288530869</v>
      </c>
      <c r="D91" s="465">
        <f>LN_IA7-LN_IC7</f>
        <v>9221.0763073445323</v>
      </c>
      <c r="E91" s="465">
        <f t="shared" si="8"/>
        <v>1289.1731784914455</v>
      </c>
      <c r="F91" s="449">
        <f t="shared" si="9"/>
        <v>0.16253012140326697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661</v>
      </c>
      <c r="C92" s="441">
        <f>C91*C88</f>
        <v>3809330.1882199929</v>
      </c>
      <c r="D92" s="441">
        <f>LN_IC9*LN_IC6</f>
        <v>7306266.7909356728</v>
      </c>
      <c r="E92" s="441">
        <f t="shared" si="8"/>
        <v>3496936.6027156799</v>
      </c>
      <c r="F92" s="449">
        <f t="shared" si="9"/>
        <v>0.91799251572616059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1576</v>
      </c>
      <c r="D93" s="456">
        <v>2813</v>
      </c>
      <c r="E93" s="456">
        <f t="shared" si="8"/>
        <v>1237</v>
      </c>
      <c r="F93" s="449">
        <f t="shared" si="9"/>
        <v>0.78489847715736039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645</v>
      </c>
      <c r="C94" s="499">
        <f>IF(C93=0,0,C84/C93)</f>
        <v>161.69352791878174</v>
      </c>
      <c r="D94" s="499">
        <f>IF(LN_IC11=0,0,LN_IC2/LN_IC11)</f>
        <v>151.20334162815499</v>
      </c>
      <c r="E94" s="499">
        <f t="shared" si="8"/>
        <v>-10.490186290626752</v>
      </c>
      <c r="F94" s="449">
        <f t="shared" si="9"/>
        <v>-6.4876970807984019E-2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646</v>
      </c>
      <c r="C95" s="466">
        <f>IF(C86=0,0,C93/C86)</f>
        <v>4.4145658263305325</v>
      </c>
      <c r="D95" s="466">
        <f>IF(LN_IC4=0,0,LN_IC11/LN_IC4)</f>
        <v>5.1238615664845177</v>
      </c>
      <c r="E95" s="466">
        <f t="shared" si="8"/>
        <v>0.70929574015398522</v>
      </c>
      <c r="F95" s="449">
        <f t="shared" si="9"/>
        <v>0.16067168733183548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677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648</v>
      </c>
      <c r="C98" s="448">
        <v>37249513</v>
      </c>
      <c r="D98" s="448">
        <v>33229870</v>
      </c>
      <c r="E98" s="448">
        <f t="shared" ref="E98:E106" si="10">D98-C98</f>
        <v>-4019643</v>
      </c>
      <c r="F98" s="449">
        <f t="shared" ref="F98:F106" si="11">IF(C98=0,0,E98/C98)</f>
        <v>-0.10791129000800628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649</v>
      </c>
      <c r="C99" s="448">
        <v>3868350</v>
      </c>
      <c r="D99" s="448">
        <v>1297480</v>
      </c>
      <c r="E99" s="448">
        <f t="shared" si="10"/>
        <v>-2570870</v>
      </c>
      <c r="F99" s="449">
        <f t="shared" si="11"/>
        <v>-0.66459084622642728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650</v>
      </c>
      <c r="C100" s="453">
        <f>IF(C98=0,0,C99/C98)</f>
        <v>0.10384967986024408</v>
      </c>
      <c r="D100" s="453">
        <f>IF(LN_IC14=0,0,LN_IC15/LN_IC14)</f>
        <v>3.9045593618031005E-2</v>
      </c>
      <c r="E100" s="454">
        <f t="shared" si="10"/>
        <v>-6.480408624221308E-2</v>
      </c>
      <c r="F100" s="449">
        <f t="shared" si="11"/>
        <v>-0.62401816095555918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651</v>
      </c>
      <c r="C101" s="453">
        <f>IF(C83=0,0,C98/C83)</f>
        <v>3.4220772712394116</v>
      </c>
      <c r="D101" s="453">
        <f>IF(LN_IC1=0,0,LN_IC14/LN_IC1)</f>
        <v>1.4521516772461189</v>
      </c>
      <c r="E101" s="454">
        <f t="shared" si="10"/>
        <v>-1.9699255939932927</v>
      </c>
      <c r="F101" s="449">
        <f t="shared" si="11"/>
        <v>-0.57565199083883423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652</v>
      </c>
      <c r="C102" s="463">
        <f>C101*C86</f>
        <v>1221.6815858324699</v>
      </c>
      <c r="D102" s="463">
        <f>LN_IC17*LN_IC4</f>
        <v>797.23127080811935</v>
      </c>
      <c r="E102" s="463">
        <f t="shared" si="10"/>
        <v>-424.45031502435052</v>
      </c>
      <c r="F102" s="449">
        <f t="shared" si="11"/>
        <v>-0.34743121280257694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653</v>
      </c>
      <c r="C103" s="465">
        <f>IF(C102=0,0,C99/C102)</f>
        <v>3166.4142644534136</v>
      </c>
      <c r="D103" s="465">
        <f>IF(LN_IC18=0,0,LN_IC15/LN_IC18)</f>
        <v>1627.4825731369015</v>
      </c>
      <c r="E103" s="465">
        <f t="shared" si="10"/>
        <v>-1538.9316913165121</v>
      </c>
      <c r="F103" s="449">
        <f t="shared" si="11"/>
        <v>-0.4860171673027005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678</v>
      </c>
      <c r="C104" s="465">
        <f>C61-C103</f>
        <v>11678.597666988944</v>
      </c>
      <c r="D104" s="465">
        <f>LN_IB18-LN_IC19</f>
        <v>13435.119663914291</v>
      </c>
      <c r="E104" s="465">
        <f t="shared" si="10"/>
        <v>1756.5219969253467</v>
      </c>
      <c r="F104" s="449">
        <f t="shared" si="11"/>
        <v>0.15040521533594584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679</v>
      </c>
      <c r="C105" s="465">
        <f>C32-C103</f>
        <v>9991.3889559307318</v>
      </c>
      <c r="D105" s="465">
        <f>LN_IA16-LN_IC19</f>
        <v>12416.981973741698</v>
      </c>
      <c r="E105" s="465">
        <f t="shared" si="10"/>
        <v>2425.5930178109666</v>
      </c>
      <c r="F105" s="449">
        <f t="shared" si="11"/>
        <v>0.24276835067772759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664</v>
      </c>
      <c r="C106" s="448">
        <f>C105*C102</f>
        <v>12206295.904350482</v>
      </c>
      <c r="D106" s="448">
        <f>LN_IC21*LN_IC18</f>
        <v>9899206.3185276035</v>
      </c>
      <c r="E106" s="448">
        <f t="shared" si="10"/>
        <v>-2307089.5858228784</v>
      </c>
      <c r="F106" s="449">
        <f t="shared" si="11"/>
        <v>-0.18900816463089362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680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655</v>
      </c>
      <c r="C109" s="448">
        <f>C83+C98</f>
        <v>48134572</v>
      </c>
      <c r="D109" s="448">
        <f>LN_IC1+LN_IC14</f>
        <v>56113065</v>
      </c>
      <c r="E109" s="448">
        <f>D109-C109</f>
        <v>7978493</v>
      </c>
      <c r="F109" s="449">
        <f>IF(C109=0,0,E109/C109)</f>
        <v>0.16575389929716214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656</v>
      </c>
      <c r="C110" s="448">
        <f>C84+C99</f>
        <v>4123179</v>
      </c>
      <c r="D110" s="448">
        <f>LN_IC2+LN_IC15</f>
        <v>1722815</v>
      </c>
      <c r="E110" s="448">
        <f>D110-C110</f>
        <v>-2400364</v>
      </c>
      <c r="F110" s="449">
        <f>IF(C110=0,0,E110/C110)</f>
        <v>-0.58216342293167478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657</v>
      </c>
      <c r="C111" s="448">
        <f>C109-C110</f>
        <v>44011393</v>
      </c>
      <c r="D111" s="448">
        <f>LN_IC23-LN_IC24</f>
        <v>54390250</v>
      </c>
      <c r="E111" s="448">
        <f>D111-C111</f>
        <v>10378857</v>
      </c>
      <c r="F111" s="449">
        <f>IF(C111=0,0,E111/C111)</f>
        <v>0.23582205180372273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666</v>
      </c>
      <c r="C113" s="448">
        <f>C92+C106</f>
        <v>16015626.092570474</v>
      </c>
      <c r="D113" s="448">
        <f>LN_IC10+LN_IC22</f>
        <v>17205473.109463274</v>
      </c>
      <c r="E113" s="448">
        <f>D113-C113</f>
        <v>1189847.0168928001</v>
      </c>
      <c r="F113" s="449">
        <f>IF(C113=0,0,E113/C113)</f>
        <v>7.4292881840239827E-2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681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682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639</v>
      </c>
      <c r="C118" s="448">
        <v>284428877</v>
      </c>
      <c r="D118" s="448">
        <v>302959364</v>
      </c>
      <c r="E118" s="448">
        <f t="shared" ref="E118:E130" si="12">D118-C118</f>
        <v>18530487</v>
      </c>
      <c r="F118" s="449">
        <f t="shared" ref="F118:F130" si="13">IF(C118=0,0,E118/C118)</f>
        <v>6.5149808962611064E-2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640</v>
      </c>
      <c r="C119" s="448">
        <v>74878980</v>
      </c>
      <c r="D119" s="448">
        <v>81842654</v>
      </c>
      <c r="E119" s="448">
        <f t="shared" si="12"/>
        <v>6963674</v>
      </c>
      <c r="F119" s="449">
        <f t="shared" si="13"/>
        <v>9.2999049933639583E-2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641</v>
      </c>
      <c r="C120" s="453">
        <f>IF(C118=0,0,C119/C118)</f>
        <v>0.2632608221421906</v>
      </c>
      <c r="D120" s="453">
        <f>IF(LN_ID1=0,0,LN_1D2/LN_ID1)</f>
        <v>0.27014399858589616</v>
      </c>
      <c r="E120" s="454">
        <f t="shared" si="12"/>
        <v>6.8831764437055631E-3</v>
      </c>
      <c r="F120" s="449">
        <f t="shared" si="13"/>
        <v>2.6145844215239401E-2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9578</v>
      </c>
      <c r="D121" s="456">
        <v>10142</v>
      </c>
      <c r="E121" s="456">
        <f t="shared" si="12"/>
        <v>564</v>
      </c>
      <c r="F121" s="449">
        <f t="shared" si="13"/>
        <v>5.8884944664856963E-2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642</v>
      </c>
      <c r="C122" s="459">
        <v>1.23159</v>
      </c>
      <c r="D122" s="459">
        <v>1.2605200000000001</v>
      </c>
      <c r="E122" s="460">
        <f t="shared" si="12"/>
        <v>2.8930000000000122E-2</v>
      </c>
      <c r="F122" s="449">
        <f t="shared" si="13"/>
        <v>2.3489960132836513E-2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643</v>
      </c>
      <c r="C123" s="463">
        <f>C121*C122</f>
        <v>11796.169019999999</v>
      </c>
      <c r="D123" s="463">
        <f>LN_ID4*LN_ID5</f>
        <v>12784.193840000002</v>
      </c>
      <c r="E123" s="463">
        <f t="shared" si="12"/>
        <v>988.02482000000236</v>
      </c>
      <c r="F123" s="449">
        <f t="shared" si="13"/>
        <v>8.3758109800295355E-2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644</v>
      </c>
      <c r="C124" s="465">
        <f>IF(C123=0,0,C119/C123)</f>
        <v>6347.7371232173145</v>
      </c>
      <c r="D124" s="465">
        <f>IF(LN_ID6=0,0,LN_1D2/LN_ID6)</f>
        <v>6401.8627239463067</v>
      </c>
      <c r="E124" s="465">
        <f t="shared" si="12"/>
        <v>54.12560072899214</v>
      </c>
      <c r="F124" s="449">
        <f t="shared" si="13"/>
        <v>8.5267552323526098E-3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683</v>
      </c>
      <c r="C125" s="465">
        <f>C48-C124</f>
        <v>6914.5609289052709</v>
      </c>
      <c r="D125" s="465">
        <f>LN_IB7-LN_ID7</f>
        <v>6692.8128855403584</v>
      </c>
      <c r="E125" s="465">
        <f t="shared" si="12"/>
        <v>-221.74804336491252</v>
      </c>
      <c r="F125" s="449">
        <f t="shared" si="13"/>
        <v>-3.2069721511589919E-2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684</v>
      </c>
      <c r="C126" s="465">
        <f>C21-C124</f>
        <v>2114.7786967259608</v>
      </c>
      <c r="D126" s="465">
        <f>LN_IA7-LN_ID7</f>
        <v>3356.0193972853076</v>
      </c>
      <c r="E126" s="465">
        <f t="shared" si="12"/>
        <v>1241.2407005593468</v>
      </c>
      <c r="F126" s="449">
        <f t="shared" si="13"/>
        <v>0.58693644989000493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661</v>
      </c>
      <c r="C127" s="479">
        <f>C126*C123</f>
        <v>24946286.946474753</v>
      </c>
      <c r="D127" s="479">
        <f>LN_ID9*LN_ID6</f>
        <v>42904002.50569535</v>
      </c>
      <c r="E127" s="479">
        <f t="shared" si="12"/>
        <v>17957715.559220597</v>
      </c>
      <c r="F127" s="449">
        <f t="shared" si="13"/>
        <v>0.71985524730598294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53180</v>
      </c>
      <c r="D128" s="456">
        <v>53701</v>
      </c>
      <c r="E128" s="456">
        <f t="shared" si="12"/>
        <v>521</v>
      </c>
      <c r="F128" s="449">
        <f t="shared" si="13"/>
        <v>9.7969161338849198E-3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645</v>
      </c>
      <c r="C129" s="465">
        <f>IF(C128=0,0,C119/C128)</f>
        <v>1408.0289582549831</v>
      </c>
      <c r="D129" s="465">
        <f>IF(LN_ID11=0,0,LN_1D2/LN_ID11)</f>
        <v>1524.0433883912776</v>
      </c>
      <c r="E129" s="465">
        <f t="shared" si="12"/>
        <v>116.01443013629455</v>
      </c>
      <c r="F129" s="449">
        <f t="shared" si="13"/>
        <v>8.2394917701177878E-2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646</v>
      </c>
      <c r="C130" s="466">
        <f>IF(C121=0,0,C128/C121)</f>
        <v>5.5523073710586761</v>
      </c>
      <c r="D130" s="466">
        <f>IF(LN_ID4=0,0,LN_ID11/LN_ID4)</f>
        <v>5.2949122461053051</v>
      </c>
      <c r="E130" s="466">
        <f t="shared" si="12"/>
        <v>-0.25739512495337102</v>
      </c>
      <c r="F130" s="449">
        <f t="shared" si="13"/>
        <v>-4.6358226904915152E-2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685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648</v>
      </c>
      <c r="C133" s="448">
        <v>173414462</v>
      </c>
      <c r="D133" s="448">
        <v>199352307</v>
      </c>
      <c r="E133" s="448">
        <f t="shared" ref="E133:E141" si="14">D133-C133</f>
        <v>25937845</v>
      </c>
      <c r="F133" s="449">
        <f t="shared" ref="F133:F141" si="15">IF(C133=0,0,E133/C133)</f>
        <v>0.14957140656469586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649</v>
      </c>
      <c r="C134" s="448">
        <v>37297983</v>
      </c>
      <c r="D134" s="448">
        <v>49332349</v>
      </c>
      <c r="E134" s="448">
        <f t="shared" si="14"/>
        <v>12034366</v>
      </c>
      <c r="F134" s="449">
        <f t="shared" si="15"/>
        <v>0.32265460574637506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650</v>
      </c>
      <c r="C135" s="453">
        <f>IF(C133=0,0,C134/C133)</f>
        <v>0.21508000295846144</v>
      </c>
      <c r="D135" s="453">
        <f>IF(LN_ID14=0,0,LN_ID15/LN_ID14)</f>
        <v>0.24746314573625677</v>
      </c>
      <c r="E135" s="454">
        <f t="shared" si="14"/>
        <v>3.2383142777795332E-2</v>
      </c>
      <c r="F135" s="449">
        <f t="shared" si="15"/>
        <v>0.15056324312981115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651</v>
      </c>
      <c r="C136" s="453">
        <f>IF(C118=0,0,C133/C118)</f>
        <v>0.60969358607002477</v>
      </c>
      <c r="D136" s="453">
        <f>IF(LN_ID1=0,0,LN_ID14/LN_ID1)</f>
        <v>0.65801665400908349</v>
      </c>
      <c r="E136" s="454">
        <f t="shared" si="14"/>
        <v>4.8323067939058717E-2</v>
      </c>
      <c r="F136" s="449">
        <f t="shared" si="15"/>
        <v>7.9257956854262693E-2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652</v>
      </c>
      <c r="C137" s="463">
        <f>C136*C121</f>
        <v>5839.6451673786969</v>
      </c>
      <c r="D137" s="463">
        <f>LN_ID17*LN_ID4</f>
        <v>6673.6049049601252</v>
      </c>
      <c r="E137" s="463">
        <f t="shared" si="14"/>
        <v>833.95973758142827</v>
      </c>
      <c r="F137" s="449">
        <f t="shared" si="15"/>
        <v>0.14281000192273269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653</v>
      </c>
      <c r="C138" s="465">
        <f>IF(C137=0,0,C134/C137)</f>
        <v>6387.0289942192394</v>
      </c>
      <c r="D138" s="465">
        <f>IF(LN_ID18=0,0,LN_ID15/LN_ID18)</f>
        <v>7392.1590658347131</v>
      </c>
      <c r="E138" s="465">
        <f t="shared" si="14"/>
        <v>1005.1300716154738</v>
      </c>
      <c r="F138" s="449">
        <f t="shared" si="15"/>
        <v>0.15737051961486243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686</v>
      </c>
      <c r="C139" s="465">
        <f>C61-C138</f>
        <v>8457.9829372231179</v>
      </c>
      <c r="D139" s="465">
        <f>LN_IB18-LN_ID19</f>
        <v>7670.4431712164796</v>
      </c>
      <c r="E139" s="465">
        <f t="shared" si="14"/>
        <v>-787.53976600663827</v>
      </c>
      <c r="F139" s="449">
        <f t="shared" si="15"/>
        <v>-9.3112006946800413E-2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687</v>
      </c>
      <c r="C140" s="465">
        <f>C32-C138</f>
        <v>6770.7742261649055</v>
      </c>
      <c r="D140" s="465">
        <f>LN_IA16-LN_ID19</f>
        <v>6652.3054810438871</v>
      </c>
      <c r="E140" s="465">
        <f t="shared" si="14"/>
        <v>-118.4687451210184</v>
      </c>
      <c r="F140" s="449">
        <f t="shared" si="15"/>
        <v>-1.7497075100098462E-2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664</v>
      </c>
      <c r="C141" s="441">
        <f>C140*C137</f>
        <v>39538918.989236124</v>
      </c>
      <c r="D141" s="441">
        <f>LN_ID21*LN_ID18</f>
        <v>44394858.487587608</v>
      </c>
      <c r="E141" s="441">
        <f t="shared" si="14"/>
        <v>4855939.4983514845</v>
      </c>
      <c r="F141" s="449">
        <f t="shared" si="15"/>
        <v>0.122814169493947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688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655</v>
      </c>
      <c r="C144" s="448">
        <f>C118+C133</f>
        <v>457843339</v>
      </c>
      <c r="D144" s="448">
        <f>LN_ID1+LN_ID14</f>
        <v>502311671</v>
      </c>
      <c r="E144" s="448">
        <f>D144-C144</f>
        <v>44468332</v>
      </c>
      <c r="F144" s="449">
        <f>IF(C144=0,0,E144/C144)</f>
        <v>9.7125650221592502E-2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656</v>
      </c>
      <c r="C145" s="448">
        <f>C119+C134</f>
        <v>112176963</v>
      </c>
      <c r="D145" s="448">
        <f>LN_1D2+LN_ID15</f>
        <v>131175003</v>
      </c>
      <c r="E145" s="448">
        <f>D145-C145</f>
        <v>18998040</v>
      </c>
      <c r="F145" s="449">
        <f>IF(C145=0,0,E145/C145)</f>
        <v>0.16935776733410049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657</v>
      </c>
      <c r="C146" s="448">
        <f>C144-C145</f>
        <v>345666376</v>
      </c>
      <c r="D146" s="448">
        <f>LN_ID23-LN_ID24</f>
        <v>371136668</v>
      </c>
      <c r="E146" s="448">
        <f>D146-C146</f>
        <v>25470292</v>
      </c>
      <c r="F146" s="449">
        <f>IF(C146=0,0,E146/C146)</f>
        <v>7.3684609694290887E-2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666</v>
      </c>
      <c r="C148" s="448">
        <f>C127+C141</f>
        <v>64485205.935710877</v>
      </c>
      <c r="D148" s="448">
        <f>LN_ID10+LN_ID22</f>
        <v>87298860.993282959</v>
      </c>
      <c r="E148" s="448">
        <f>D148-C148</f>
        <v>22813655.057572082</v>
      </c>
      <c r="F148" s="503">
        <f>IF(C148=0,0,E148/C148)</f>
        <v>0.3537812235618254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689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690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639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640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641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642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643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644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691</v>
      </c>
      <c r="C160" s="465">
        <f>C48-C159</f>
        <v>13262.298052122585</v>
      </c>
      <c r="D160" s="465">
        <f>LN_IB7-LN_IE7</f>
        <v>13094.675609486665</v>
      </c>
      <c r="E160" s="465">
        <f t="shared" si="16"/>
        <v>-167.62244263592038</v>
      </c>
      <c r="F160" s="449">
        <f t="shared" si="17"/>
        <v>-1.2639019420099143E-2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692</v>
      </c>
      <c r="C161" s="465">
        <f>C21-C159</f>
        <v>8462.5158199432753</v>
      </c>
      <c r="D161" s="465">
        <f>LN_IA7-LN_IE7</f>
        <v>9757.8821212316143</v>
      </c>
      <c r="E161" s="465">
        <f t="shared" si="16"/>
        <v>1295.3663012883389</v>
      </c>
      <c r="F161" s="449">
        <f t="shared" si="17"/>
        <v>0.15307106407241219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661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645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646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693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648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649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650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651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652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653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694</v>
      </c>
      <c r="C174" s="465">
        <f>C61-C173</f>
        <v>14845.011931442357</v>
      </c>
      <c r="D174" s="465">
        <f>LN_IB18-LN_IE19</f>
        <v>15062.602237051193</v>
      </c>
      <c r="E174" s="465">
        <f t="shared" si="18"/>
        <v>217.59030560883548</v>
      </c>
      <c r="F174" s="449">
        <f t="shared" si="19"/>
        <v>1.4657469230319046E-2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695</v>
      </c>
      <c r="C175" s="465">
        <f>C32-C173</f>
        <v>13157.803220384145</v>
      </c>
      <c r="D175" s="465">
        <f>LN_IA16-LN_IE19</f>
        <v>14044.4645468786</v>
      </c>
      <c r="E175" s="465">
        <f t="shared" si="18"/>
        <v>886.66132649445535</v>
      </c>
      <c r="F175" s="449">
        <f t="shared" si="19"/>
        <v>6.7386729505183249E-2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664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696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655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656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657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697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698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699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639</v>
      </c>
      <c r="C188" s="448">
        <f>C118+C153</f>
        <v>284428877</v>
      </c>
      <c r="D188" s="448">
        <f>LN_ID1+LN_IE1</f>
        <v>302959364</v>
      </c>
      <c r="E188" s="448">
        <f t="shared" ref="E188:E200" si="20">D188-C188</f>
        <v>18530487</v>
      </c>
      <c r="F188" s="449">
        <f t="shared" ref="F188:F200" si="21">IF(C188=0,0,E188/C188)</f>
        <v>6.5149808962611064E-2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640</v>
      </c>
      <c r="C189" s="448">
        <f>C119+C154</f>
        <v>74878980</v>
      </c>
      <c r="D189" s="448">
        <f>LN_1D2+LN_IE2</f>
        <v>81842654</v>
      </c>
      <c r="E189" s="448">
        <f t="shared" si="20"/>
        <v>6963674</v>
      </c>
      <c r="F189" s="449">
        <f t="shared" si="21"/>
        <v>9.2999049933639583E-2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641</v>
      </c>
      <c r="C190" s="453">
        <f>IF(C188=0,0,C189/C188)</f>
        <v>0.2632608221421906</v>
      </c>
      <c r="D190" s="453">
        <f>IF(LN_IF1=0,0,LN_IF2/LN_IF1)</f>
        <v>0.27014399858589616</v>
      </c>
      <c r="E190" s="454">
        <f t="shared" si="20"/>
        <v>6.8831764437055631E-3</v>
      </c>
      <c r="F190" s="449">
        <f t="shared" si="21"/>
        <v>2.6145844215239401E-2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9578</v>
      </c>
      <c r="D191" s="456">
        <f>LN_ID4+LN_IE4</f>
        <v>10142</v>
      </c>
      <c r="E191" s="456">
        <f t="shared" si="20"/>
        <v>564</v>
      </c>
      <c r="F191" s="449">
        <f t="shared" si="21"/>
        <v>5.8884944664856963E-2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642</v>
      </c>
      <c r="C192" s="459">
        <f>IF((C121+C156)=0,0,(C123+C158)/(C121+C156))</f>
        <v>1.23159</v>
      </c>
      <c r="D192" s="459">
        <f>IF((LN_ID4+LN_IE4)=0,0,(LN_ID6+LN_IE6)/(LN_ID4+LN_IE4))</f>
        <v>1.2605200000000001</v>
      </c>
      <c r="E192" s="460">
        <f t="shared" si="20"/>
        <v>2.8930000000000122E-2</v>
      </c>
      <c r="F192" s="449">
        <f t="shared" si="21"/>
        <v>2.3489960132836513E-2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643</v>
      </c>
      <c r="C193" s="463">
        <f>C123+C158</f>
        <v>11796.169019999999</v>
      </c>
      <c r="D193" s="463">
        <f>LN_IF4*LN_IF5</f>
        <v>12784.193840000002</v>
      </c>
      <c r="E193" s="463">
        <f t="shared" si="20"/>
        <v>988.02482000000236</v>
      </c>
      <c r="F193" s="449">
        <f t="shared" si="21"/>
        <v>8.3758109800295355E-2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644</v>
      </c>
      <c r="C194" s="465">
        <f>IF(C193=0,0,C189/C193)</f>
        <v>6347.7371232173145</v>
      </c>
      <c r="D194" s="465">
        <f>IF(LN_IF6=0,0,LN_IF2/LN_IF6)</f>
        <v>6401.8627239463067</v>
      </c>
      <c r="E194" s="465">
        <f t="shared" si="20"/>
        <v>54.12560072899214</v>
      </c>
      <c r="F194" s="449">
        <f t="shared" si="21"/>
        <v>8.5267552323526098E-3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700</v>
      </c>
      <c r="C195" s="465">
        <f>C48-C194</f>
        <v>6914.5609289052709</v>
      </c>
      <c r="D195" s="465">
        <f>LN_IB7-LN_IF7</f>
        <v>6692.8128855403584</v>
      </c>
      <c r="E195" s="465">
        <f t="shared" si="20"/>
        <v>-221.74804336491252</v>
      </c>
      <c r="F195" s="449">
        <f t="shared" si="21"/>
        <v>-3.2069721511589919E-2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701</v>
      </c>
      <c r="C196" s="465">
        <f>C21-C194</f>
        <v>2114.7786967259608</v>
      </c>
      <c r="D196" s="465">
        <f>LN_IA7-LN_IF7</f>
        <v>3356.0193972853076</v>
      </c>
      <c r="E196" s="465">
        <f t="shared" si="20"/>
        <v>1241.2407005593468</v>
      </c>
      <c r="F196" s="449">
        <f t="shared" si="21"/>
        <v>0.58693644989000493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661</v>
      </c>
      <c r="C197" s="479">
        <f>C127+C162</f>
        <v>24946286.946474753</v>
      </c>
      <c r="D197" s="479">
        <f>LN_IF9*LN_IF6</f>
        <v>42904002.50569535</v>
      </c>
      <c r="E197" s="479">
        <f t="shared" si="20"/>
        <v>17957715.559220597</v>
      </c>
      <c r="F197" s="449">
        <f t="shared" si="21"/>
        <v>0.71985524730598294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53180</v>
      </c>
      <c r="D198" s="456">
        <f>LN_ID11+LN_IE11</f>
        <v>53701</v>
      </c>
      <c r="E198" s="456">
        <f t="shared" si="20"/>
        <v>521</v>
      </c>
      <c r="F198" s="449">
        <f t="shared" si="21"/>
        <v>9.7969161338849198E-3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645</v>
      </c>
      <c r="C199" s="519">
        <f>IF(C198=0,0,C189/C198)</f>
        <v>1408.0289582549831</v>
      </c>
      <c r="D199" s="519">
        <f>IF(LN_IF11=0,0,LN_IF2/LN_IF11)</f>
        <v>1524.0433883912776</v>
      </c>
      <c r="E199" s="519">
        <f t="shared" si="20"/>
        <v>116.01443013629455</v>
      </c>
      <c r="F199" s="449">
        <f t="shared" si="21"/>
        <v>8.2394917701177878E-2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646</v>
      </c>
      <c r="C200" s="466">
        <f>IF(C191=0,0,C198/C191)</f>
        <v>5.5523073710586761</v>
      </c>
      <c r="D200" s="466">
        <f>IF(LN_IF4=0,0,LN_IF11/LN_IF4)</f>
        <v>5.2949122461053051</v>
      </c>
      <c r="E200" s="466">
        <f t="shared" si="20"/>
        <v>-0.25739512495337102</v>
      </c>
      <c r="F200" s="449">
        <f t="shared" si="21"/>
        <v>-4.6358226904915152E-2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702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648</v>
      </c>
      <c r="C203" s="448">
        <f>C133+C168</f>
        <v>173414462</v>
      </c>
      <c r="D203" s="448">
        <f>LN_ID14+LN_IE14</f>
        <v>199352307</v>
      </c>
      <c r="E203" s="448">
        <f t="shared" ref="E203:E211" si="22">D203-C203</f>
        <v>25937845</v>
      </c>
      <c r="F203" s="449">
        <f t="shared" ref="F203:F211" si="23">IF(C203=0,0,E203/C203)</f>
        <v>0.14957140656469586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649</v>
      </c>
      <c r="C204" s="448">
        <f>C134+C169</f>
        <v>37297983</v>
      </c>
      <c r="D204" s="448">
        <f>LN_ID15+LN_IE15</f>
        <v>49332349</v>
      </c>
      <c r="E204" s="448">
        <f t="shared" si="22"/>
        <v>12034366</v>
      </c>
      <c r="F204" s="449">
        <f t="shared" si="23"/>
        <v>0.32265460574637506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650</v>
      </c>
      <c r="C205" s="453">
        <f>IF(C203=0,0,C204/C203)</f>
        <v>0.21508000295846144</v>
      </c>
      <c r="D205" s="453">
        <f>IF(LN_IF14=0,0,LN_IF15/LN_IF14)</f>
        <v>0.24746314573625677</v>
      </c>
      <c r="E205" s="454">
        <f t="shared" si="22"/>
        <v>3.2383142777795332E-2</v>
      </c>
      <c r="F205" s="449">
        <f t="shared" si="23"/>
        <v>0.15056324312981115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651</v>
      </c>
      <c r="C206" s="453">
        <f>IF(C188=0,0,C203/C188)</f>
        <v>0.60969358607002477</v>
      </c>
      <c r="D206" s="453">
        <f>IF(LN_IF1=0,0,LN_IF14/LN_IF1)</f>
        <v>0.65801665400908349</v>
      </c>
      <c r="E206" s="454">
        <f t="shared" si="22"/>
        <v>4.8323067939058717E-2</v>
      </c>
      <c r="F206" s="449">
        <f t="shared" si="23"/>
        <v>7.9257956854262693E-2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652</v>
      </c>
      <c r="C207" s="463">
        <f>C137+C172</f>
        <v>5839.6451673786969</v>
      </c>
      <c r="D207" s="463">
        <f>LN_ID18+LN_IE18</f>
        <v>6673.6049049601252</v>
      </c>
      <c r="E207" s="463">
        <f t="shared" si="22"/>
        <v>833.95973758142827</v>
      </c>
      <c r="F207" s="449">
        <f t="shared" si="23"/>
        <v>0.14281000192273269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653</v>
      </c>
      <c r="C208" s="465">
        <f>IF(C207=0,0,C204/C207)</f>
        <v>6387.0289942192394</v>
      </c>
      <c r="D208" s="465">
        <f>IF(LN_IF18=0,0,LN_IF15/LN_IF18)</f>
        <v>7392.1590658347131</v>
      </c>
      <c r="E208" s="465">
        <f t="shared" si="22"/>
        <v>1005.1300716154738</v>
      </c>
      <c r="F208" s="449">
        <f t="shared" si="23"/>
        <v>0.15737051961486243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703</v>
      </c>
      <c r="C209" s="465">
        <f>C61-C208</f>
        <v>8457.9829372231179</v>
      </c>
      <c r="D209" s="465">
        <f>LN_IB18-LN_IF19</f>
        <v>7670.4431712164796</v>
      </c>
      <c r="E209" s="465">
        <f t="shared" si="22"/>
        <v>-787.53976600663827</v>
      </c>
      <c r="F209" s="449">
        <f t="shared" si="23"/>
        <v>-9.3112006946800413E-2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704</v>
      </c>
      <c r="C210" s="465">
        <f>C32-C208</f>
        <v>6770.7742261649055</v>
      </c>
      <c r="D210" s="465">
        <f>LN_IA16-LN_IF19</f>
        <v>6652.3054810438871</v>
      </c>
      <c r="E210" s="465">
        <f t="shared" si="22"/>
        <v>-118.4687451210184</v>
      </c>
      <c r="F210" s="449">
        <f t="shared" si="23"/>
        <v>-1.7497075100098462E-2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664</v>
      </c>
      <c r="C211" s="479">
        <f>C141+C176</f>
        <v>39538918.989236124</v>
      </c>
      <c r="D211" s="441">
        <f>LN_IF21*LN_IF18</f>
        <v>44394858.487587608</v>
      </c>
      <c r="E211" s="441">
        <f t="shared" si="22"/>
        <v>4855939.4983514845</v>
      </c>
      <c r="F211" s="449">
        <f t="shared" si="23"/>
        <v>0.122814169493947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705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655</v>
      </c>
      <c r="C214" s="448">
        <f>C188+C203</f>
        <v>457843339</v>
      </c>
      <c r="D214" s="448">
        <f>LN_IF1+LN_IF14</f>
        <v>502311671</v>
      </c>
      <c r="E214" s="448">
        <f>D214-C214</f>
        <v>44468332</v>
      </c>
      <c r="F214" s="449">
        <f>IF(C214=0,0,E214/C214)</f>
        <v>9.7125650221592502E-2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656</v>
      </c>
      <c r="C215" s="448">
        <f>C189+C204</f>
        <v>112176963</v>
      </c>
      <c r="D215" s="448">
        <f>LN_IF2+LN_IF15</f>
        <v>131175003</v>
      </c>
      <c r="E215" s="448">
        <f>D215-C215</f>
        <v>18998040</v>
      </c>
      <c r="F215" s="449">
        <f>IF(C215=0,0,E215/C215)</f>
        <v>0.16935776733410049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657</v>
      </c>
      <c r="C216" s="448">
        <f>C214-C215</f>
        <v>345666376</v>
      </c>
      <c r="D216" s="448">
        <f>LN_IF23-LN_IF24</f>
        <v>371136668</v>
      </c>
      <c r="E216" s="448">
        <f>D216-C216</f>
        <v>25470292</v>
      </c>
      <c r="F216" s="449">
        <f>IF(C216=0,0,E216/C216)</f>
        <v>7.3684609694290887E-2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706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707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639</v>
      </c>
      <c r="C221" s="448">
        <v>7342494</v>
      </c>
      <c r="D221" s="448">
        <v>8277519</v>
      </c>
      <c r="E221" s="448">
        <f t="shared" ref="E221:E230" si="24">D221-C221</f>
        <v>935025</v>
      </c>
      <c r="F221" s="449">
        <f t="shared" ref="F221:F230" si="25">IF(C221=0,0,E221/C221)</f>
        <v>0.12734433286564484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640</v>
      </c>
      <c r="C222" s="448">
        <v>2502106</v>
      </c>
      <c r="D222" s="448">
        <v>3946504</v>
      </c>
      <c r="E222" s="448">
        <f t="shared" si="24"/>
        <v>1444398</v>
      </c>
      <c r="F222" s="449">
        <f t="shared" si="25"/>
        <v>0.57727290530457143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641</v>
      </c>
      <c r="C223" s="453">
        <f>IF(C221=0,0,C222/C221)</f>
        <v>0.34077058830419199</v>
      </c>
      <c r="D223" s="453">
        <f>IF(LN_IG1=0,0,LN_IG2/LN_IG1)</f>
        <v>0.47677377726345299</v>
      </c>
      <c r="E223" s="454">
        <f t="shared" si="24"/>
        <v>0.136003188959261</v>
      </c>
      <c r="F223" s="449">
        <f t="shared" si="25"/>
        <v>0.3991048336538261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200</v>
      </c>
      <c r="D224" s="456">
        <v>257</v>
      </c>
      <c r="E224" s="456">
        <f t="shared" si="24"/>
        <v>57</v>
      </c>
      <c r="F224" s="449">
        <f t="shared" si="25"/>
        <v>0.28499999999999998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642</v>
      </c>
      <c r="C225" s="459">
        <v>1.1076299999999999</v>
      </c>
      <c r="D225" s="459">
        <v>1.29735</v>
      </c>
      <c r="E225" s="460">
        <f t="shared" si="24"/>
        <v>0.18972000000000011</v>
      </c>
      <c r="F225" s="449">
        <f t="shared" si="25"/>
        <v>0.17128463476070541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643</v>
      </c>
      <c r="C226" s="463">
        <f>C224*C225</f>
        <v>221.52599999999998</v>
      </c>
      <c r="D226" s="463">
        <f>LN_IG3*LN_IG4</f>
        <v>333.41895</v>
      </c>
      <c r="E226" s="463">
        <f t="shared" si="24"/>
        <v>111.89295000000001</v>
      </c>
      <c r="F226" s="449">
        <f t="shared" si="25"/>
        <v>0.50510075566750645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644</v>
      </c>
      <c r="C227" s="465">
        <f>IF(C226=0,0,C222/C226)</f>
        <v>11294.86380831144</v>
      </c>
      <c r="D227" s="465">
        <f>IF(LN_IG5=0,0,LN_IG2/LN_IG5)</f>
        <v>11836.4718022176</v>
      </c>
      <c r="E227" s="465">
        <f t="shared" si="24"/>
        <v>541.60799390616012</v>
      </c>
      <c r="F227" s="449">
        <f t="shared" si="25"/>
        <v>4.7951706465695708E-2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1287</v>
      </c>
      <c r="D228" s="456">
        <v>1603</v>
      </c>
      <c r="E228" s="456">
        <f t="shared" si="24"/>
        <v>316</v>
      </c>
      <c r="F228" s="449">
        <f t="shared" si="25"/>
        <v>0.24553224553224554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645</v>
      </c>
      <c r="C229" s="465">
        <f>IF(C228=0,0,C222/C228)</f>
        <v>1944.1383061383062</v>
      </c>
      <c r="D229" s="465">
        <f>IF(LN_IG6=0,0,LN_IG2/LN_IG6)</f>
        <v>2461.9488459139116</v>
      </c>
      <c r="E229" s="465">
        <f t="shared" si="24"/>
        <v>517.81053977560532</v>
      </c>
      <c r="F229" s="449">
        <f t="shared" si="25"/>
        <v>0.26634449727197967</v>
      </c>
      <c r="Q229" s="421"/>
      <c r="U229" s="462"/>
    </row>
    <row r="230" spans="1:21" ht="15.75" customHeight="1" x14ac:dyDescent="0.2">
      <c r="A230" s="451">
        <v>10</v>
      </c>
      <c r="B230" s="447" t="s">
        <v>646</v>
      </c>
      <c r="C230" s="466">
        <f>IF(C224=0,0,C228/C224)</f>
        <v>6.4349999999999996</v>
      </c>
      <c r="D230" s="466">
        <f>IF(LN_IG3=0,0,LN_IG6/LN_IG3)</f>
        <v>6.2373540856031129</v>
      </c>
      <c r="E230" s="466">
        <f t="shared" si="24"/>
        <v>-0.19764591439688672</v>
      </c>
      <c r="F230" s="449">
        <f t="shared" si="25"/>
        <v>-3.0714205811482011E-2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708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648</v>
      </c>
      <c r="C233" s="448">
        <v>4276924</v>
      </c>
      <c r="D233" s="448">
        <v>4395218</v>
      </c>
      <c r="E233" s="448">
        <f>D233-C233</f>
        <v>118294</v>
      </c>
      <c r="F233" s="449">
        <f>IF(C233=0,0,E233/C233)</f>
        <v>2.765866309525257E-2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649</v>
      </c>
      <c r="C234" s="448">
        <v>1697294</v>
      </c>
      <c r="D234" s="448">
        <v>1272845</v>
      </c>
      <c r="E234" s="448">
        <f>D234-C234</f>
        <v>-424449</v>
      </c>
      <c r="F234" s="449">
        <f>IF(C234=0,0,E234/C234)</f>
        <v>-0.25007394122644633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709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655</v>
      </c>
      <c r="C237" s="448">
        <f>C221+C233</f>
        <v>11619418</v>
      </c>
      <c r="D237" s="448">
        <f>LN_IG1+LN_IG9</f>
        <v>12672737</v>
      </c>
      <c r="E237" s="448">
        <f>D237-C237</f>
        <v>1053319</v>
      </c>
      <c r="F237" s="449">
        <f>IF(C237=0,0,E237/C237)</f>
        <v>9.0651614392390389E-2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656</v>
      </c>
      <c r="C238" s="448">
        <f>C222+C234</f>
        <v>4199400</v>
      </c>
      <c r="D238" s="448">
        <f>LN_IG2+LN_IG10</f>
        <v>5219349</v>
      </c>
      <c r="E238" s="448">
        <f>D238-C238</f>
        <v>1019949</v>
      </c>
      <c r="F238" s="449">
        <f>IF(C238=0,0,E238/C238)</f>
        <v>0.24287969709958565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657</v>
      </c>
      <c r="C239" s="448">
        <f>C237-C238</f>
        <v>7420018</v>
      </c>
      <c r="D239" s="448">
        <f>LN_IG13-LN_IG14</f>
        <v>7453388</v>
      </c>
      <c r="E239" s="448">
        <f>D239-C239</f>
        <v>33370</v>
      </c>
      <c r="F239" s="449">
        <f>IF(C239=0,0,E239/C239)</f>
        <v>4.4972936723334097E-3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710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711</v>
      </c>
      <c r="C243" s="448">
        <v>159284016</v>
      </c>
      <c r="D243" s="448">
        <v>74980429</v>
      </c>
      <c r="E243" s="441">
        <f>D243-C243</f>
        <v>-84303587</v>
      </c>
      <c r="F243" s="503">
        <f>IF(C243=0,0,E243/C243)</f>
        <v>-0.52926583041452191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712</v>
      </c>
      <c r="C244" s="448">
        <v>998381093</v>
      </c>
      <c r="D244" s="448">
        <v>1022794910</v>
      </c>
      <c r="E244" s="441">
        <f>D244-C244</f>
        <v>24413817</v>
      </c>
      <c r="F244" s="503">
        <f>IF(C244=0,0,E244/C244)</f>
        <v>2.4453404788185428E-2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713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714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715</v>
      </c>
      <c r="C248" s="441">
        <v>26543780</v>
      </c>
      <c r="D248" s="441">
        <v>30609202</v>
      </c>
      <c r="E248" s="441">
        <f>D248-C248</f>
        <v>4065422</v>
      </c>
      <c r="F248" s="449">
        <f>IF(C248=0,0,E248/C248)</f>
        <v>0.15315912051712302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716</v>
      </c>
      <c r="C249" s="441">
        <v>17467613</v>
      </c>
      <c r="D249" s="441">
        <v>24640388</v>
      </c>
      <c r="E249" s="441">
        <f>D249-C249</f>
        <v>7172775</v>
      </c>
      <c r="F249" s="449">
        <f>IF(C249=0,0,E249/C249)</f>
        <v>0.41063280941706232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717</v>
      </c>
      <c r="C250" s="441">
        <f>C248+C249</f>
        <v>44011393</v>
      </c>
      <c r="D250" s="441">
        <f>LN_IH4+LN_IH5</f>
        <v>55249590</v>
      </c>
      <c r="E250" s="441">
        <f>D250-C250</f>
        <v>11238197</v>
      </c>
      <c r="F250" s="449">
        <f>IF(C250=0,0,E250/C250)</f>
        <v>0.25534745060216568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718</v>
      </c>
      <c r="C251" s="441">
        <f>C250*C313</f>
        <v>16908866.918703694</v>
      </c>
      <c r="D251" s="441">
        <f>LN_IH6*LN_III10</f>
        <v>22147020.320423562</v>
      </c>
      <c r="E251" s="441">
        <f>D251-C251</f>
        <v>5238153.4017198682</v>
      </c>
      <c r="F251" s="449">
        <f>IF(C251=0,0,E251/C251)</f>
        <v>0.30978736936687934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719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655</v>
      </c>
      <c r="C254" s="441">
        <f>C188+C203</f>
        <v>457843339</v>
      </c>
      <c r="D254" s="441">
        <f>LN_IF23</f>
        <v>502311671</v>
      </c>
      <c r="E254" s="441">
        <f>D254-C254</f>
        <v>44468332</v>
      </c>
      <c r="F254" s="449">
        <f>IF(C254=0,0,E254/C254)</f>
        <v>9.7125650221592502E-2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656</v>
      </c>
      <c r="C255" s="441">
        <f>C189+C204</f>
        <v>112176963</v>
      </c>
      <c r="D255" s="441">
        <f>LN_IF24</f>
        <v>131175003</v>
      </c>
      <c r="E255" s="441">
        <f>D255-C255</f>
        <v>18998040</v>
      </c>
      <c r="F255" s="449">
        <f>IF(C255=0,0,E255/C255)</f>
        <v>0.16935776733410049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720</v>
      </c>
      <c r="C256" s="441">
        <f>C254*C313</f>
        <v>175900183.13589713</v>
      </c>
      <c r="D256" s="441">
        <f>LN_IH8*LN_III10</f>
        <v>201353653.209425</v>
      </c>
      <c r="E256" s="441">
        <f>D256-C256</f>
        <v>25453470.073527873</v>
      </c>
      <c r="F256" s="449">
        <f>IF(C256=0,0,E256/C256)</f>
        <v>0.14470405669710421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721</v>
      </c>
      <c r="C257" s="441">
        <f>C256-C255</f>
        <v>63723220.13589713</v>
      </c>
      <c r="D257" s="441">
        <f>LN_IH10-LN_IH9</f>
        <v>70178650.209425002</v>
      </c>
      <c r="E257" s="441">
        <f>D257-C257</f>
        <v>6455430.0735278726</v>
      </c>
      <c r="F257" s="449">
        <f>IF(C257=0,0,E257/C257)</f>
        <v>0.10130420370723454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722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723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1549015766</v>
      </c>
      <c r="D261" s="448">
        <f>LN_IA1+LN_IB1+LN_IF1+LN_IG1</f>
        <v>1603648875</v>
      </c>
      <c r="E261" s="448">
        <f t="shared" ref="E261:E274" si="26">D261-C261</f>
        <v>54633109</v>
      </c>
      <c r="F261" s="503">
        <f t="shared" ref="F261:F274" si="27">IF(C261=0,0,E261/C261)</f>
        <v>3.5269562905146053E-2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634694712</v>
      </c>
      <c r="D262" s="448">
        <f>+LN_IA2+LN_IB2+LN_IF2+LN_IG2</f>
        <v>691533477</v>
      </c>
      <c r="E262" s="448">
        <f t="shared" si="26"/>
        <v>56838765</v>
      </c>
      <c r="F262" s="503">
        <f t="shared" si="27"/>
        <v>8.9552920365279495E-2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724</v>
      </c>
      <c r="C263" s="453">
        <f>IF(C261=0,0,C262/C261)</f>
        <v>0.4097406404319322</v>
      </c>
      <c r="D263" s="453">
        <f>IF(LN_IIA1=0,0,LN_IIA2/LN_IIA1)</f>
        <v>0.43122499431180034</v>
      </c>
      <c r="E263" s="454">
        <f t="shared" si="26"/>
        <v>2.1484353879868134E-2</v>
      </c>
      <c r="F263" s="458">
        <f t="shared" si="27"/>
        <v>5.2434032067749464E-2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41809</v>
      </c>
      <c r="D264" s="456">
        <f>LN_IA4+LN_IB4+LN_IF4+LN_IG3</f>
        <v>42755</v>
      </c>
      <c r="E264" s="456">
        <f t="shared" si="26"/>
        <v>946</v>
      </c>
      <c r="F264" s="503">
        <f t="shared" si="27"/>
        <v>2.2626707168313043E-2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725</v>
      </c>
      <c r="C265" s="525">
        <f>IF(C264=0,0,C266/C264)</f>
        <v>1.571613014422732</v>
      </c>
      <c r="D265" s="525">
        <f>IF(LN_IIA4=0,0,LN_IIA6/LN_IIA4)</f>
        <v>1.5842975738510117</v>
      </c>
      <c r="E265" s="525">
        <f t="shared" si="26"/>
        <v>1.2684559428279618E-2</v>
      </c>
      <c r="F265" s="503">
        <f t="shared" si="27"/>
        <v>8.0710450421783847E-3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726</v>
      </c>
      <c r="C266" s="463">
        <f>C20+C47+C193+C226</f>
        <v>65707.568520000001</v>
      </c>
      <c r="D266" s="463">
        <f>LN_IA6+LN_IB6+LN_IF6+LN_IG5</f>
        <v>67736.642770000006</v>
      </c>
      <c r="E266" s="463">
        <f t="shared" si="26"/>
        <v>2029.0742500000051</v>
      </c>
      <c r="F266" s="503">
        <f t="shared" si="27"/>
        <v>3.0880373383203149E-2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862921266</v>
      </c>
      <c r="D267" s="448">
        <f>LN_IA11+LN_IB13+LN_IF14+LN_IG9</f>
        <v>950436707</v>
      </c>
      <c r="E267" s="448">
        <f t="shared" si="26"/>
        <v>87515441</v>
      </c>
      <c r="F267" s="503">
        <f t="shared" si="27"/>
        <v>0.1014176431248132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651</v>
      </c>
      <c r="C268" s="453">
        <f>IF(C261=0,0,C267/C261)</f>
        <v>0.55707713565001893</v>
      </c>
      <c r="D268" s="453">
        <f>IF(LN_IIA1=0,0,LN_IIA7/LN_IIA1)</f>
        <v>0.59267132713200699</v>
      </c>
      <c r="E268" s="454">
        <f t="shared" si="26"/>
        <v>3.5594191481988058E-2</v>
      </c>
      <c r="F268" s="458">
        <f t="shared" si="27"/>
        <v>6.389454745877407E-2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304868818</v>
      </c>
      <c r="D269" s="448">
        <f>LN_IA12+LN_IB14+LN_IF15+LN_IG10</f>
        <v>343282268</v>
      </c>
      <c r="E269" s="448">
        <f t="shared" si="26"/>
        <v>38413450</v>
      </c>
      <c r="F269" s="503">
        <f t="shared" si="27"/>
        <v>0.12599993089486772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650</v>
      </c>
      <c r="C270" s="453">
        <f>IF(C267=0,0,C269/C267)</f>
        <v>0.3532985337274096</v>
      </c>
      <c r="D270" s="453">
        <f>IF(LN_IIA7=0,0,LN_IIA9/LN_IIA7)</f>
        <v>0.36118372267370774</v>
      </c>
      <c r="E270" s="454">
        <f t="shared" si="26"/>
        <v>7.8851889462981384E-3</v>
      </c>
      <c r="F270" s="458">
        <f t="shared" si="27"/>
        <v>2.231877065298556E-2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727</v>
      </c>
      <c r="C271" s="441">
        <f>C261+C267</f>
        <v>2411937032</v>
      </c>
      <c r="D271" s="441">
        <f>LN_IIA1+LN_IIA7</f>
        <v>2554085582</v>
      </c>
      <c r="E271" s="441">
        <f t="shared" si="26"/>
        <v>142148550</v>
      </c>
      <c r="F271" s="503">
        <f t="shared" si="27"/>
        <v>5.8935431611217948E-2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728</v>
      </c>
      <c r="C272" s="441">
        <f>C262+C269</f>
        <v>939563530</v>
      </c>
      <c r="D272" s="441">
        <f>LN_IIA2+LN_IIA9</f>
        <v>1034815745</v>
      </c>
      <c r="E272" s="441">
        <f t="shared" si="26"/>
        <v>95252215</v>
      </c>
      <c r="F272" s="503">
        <f t="shared" si="27"/>
        <v>0.10137921700728422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729</v>
      </c>
      <c r="C273" s="453">
        <f>IF(C271=0,0,C272/C271)</f>
        <v>0.38954728814827533</v>
      </c>
      <c r="D273" s="453">
        <f>IF(LN_IIA11=0,0,LN_IIA12/LN_IIA11)</f>
        <v>0.40516095165052302</v>
      </c>
      <c r="E273" s="454">
        <f t="shared" si="26"/>
        <v>1.5613663502247688E-2</v>
      </c>
      <c r="F273" s="458">
        <f t="shared" si="27"/>
        <v>4.008156128224561E-2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235012</v>
      </c>
      <c r="D274" s="508">
        <f>LN_IA8+LN_IB10+LN_IF11+LN_IG6</f>
        <v>233240</v>
      </c>
      <c r="E274" s="528">
        <f t="shared" si="26"/>
        <v>-1772</v>
      </c>
      <c r="F274" s="458">
        <f t="shared" si="27"/>
        <v>-7.5400405085697753E-3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730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731</v>
      </c>
      <c r="C277" s="448">
        <f>C15+C188+C221</f>
        <v>1081290203</v>
      </c>
      <c r="D277" s="448">
        <f>LN_IA1+LN_IF1+LN_IG1</f>
        <v>1130524557</v>
      </c>
      <c r="E277" s="448">
        <f t="shared" ref="E277:E291" si="28">D277-C277</f>
        <v>49234354</v>
      </c>
      <c r="F277" s="503">
        <f t="shared" ref="F277:F291" si="29">IF(C277=0,0,E277/C277)</f>
        <v>4.5532969653661055E-2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732</v>
      </c>
      <c r="C278" s="448">
        <f>C16+C189+C222</f>
        <v>350199372</v>
      </c>
      <c r="D278" s="448">
        <f>LN_IA2+LN_IF2+LN_IG2</f>
        <v>405927626</v>
      </c>
      <c r="E278" s="448">
        <f t="shared" si="28"/>
        <v>55728254</v>
      </c>
      <c r="F278" s="503">
        <f t="shared" si="29"/>
        <v>0.15913293528122033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733</v>
      </c>
      <c r="C279" s="453">
        <f>IF(C277=0,0,C278/C277)</f>
        <v>0.32387177006541323</v>
      </c>
      <c r="D279" s="453">
        <f>IF(D277=0,0,LN_IIB2/D277)</f>
        <v>0.35906130785622553</v>
      </c>
      <c r="E279" s="454">
        <f t="shared" si="28"/>
        <v>3.5189537790812297E-2</v>
      </c>
      <c r="F279" s="458">
        <f t="shared" si="29"/>
        <v>0.10865268616559255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734</v>
      </c>
      <c r="C280" s="456">
        <f>C18+C191+C224</f>
        <v>27025</v>
      </c>
      <c r="D280" s="456">
        <f>LN_IA4+LN_IF4+LN_IG3</f>
        <v>28001</v>
      </c>
      <c r="E280" s="456">
        <f t="shared" si="28"/>
        <v>976</v>
      </c>
      <c r="F280" s="503">
        <f t="shared" si="29"/>
        <v>3.6114708603145237E-2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735</v>
      </c>
      <c r="C281" s="525">
        <f>IF(C280=0,0,C282/C280)</f>
        <v>1.6375997172987973</v>
      </c>
      <c r="D281" s="525">
        <f>IF(LN_IIB4=0,0,LN_IIB6/LN_IIB4)</f>
        <v>1.6401487293310952</v>
      </c>
      <c r="E281" s="525">
        <f t="shared" si="28"/>
        <v>2.5490120322979593E-3</v>
      </c>
      <c r="F281" s="503">
        <f t="shared" si="29"/>
        <v>1.5565537813492826E-3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736</v>
      </c>
      <c r="C282" s="463">
        <f>C20+C193+C226</f>
        <v>44256.132359999996</v>
      </c>
      <c r="D282" s="463">
        <f>LN_IA6+LN_IF6+LN_IG5</f>
        <v>45925.80457</v>
      </c>
      <c r="E282" s="463">
        <f t="shared" si="28"/>
        <v>1669.6722100000043</v>
      </c>
      <c r="F282" s="503">
        <f t="shared" si="29"/>
        <v>3.7727476870733141E-2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737</v>
      </c>
      <c r="C283" s="448">
        <f>C27+C203+C233</f>
        <v>483827598</v>
      </c>
      <c r="D283" s="448">
        <f>LN_IA11+LN_IF14+LN_IG9</f>
        <v>549355904</v>
      </c>
      <c r="E283" s="448">
        <f t="shared" si="28"/>
        <v>65528306</v>
      </c>
      <c r="F283" s="503">
        <f t="shared" si="29"/>
        <v>0.13543730508733814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738</v>
      </c>
      <c r="C284" s="453">
        <f>IF(C277=0,0,C283/C277)</f>
        <v>0.44745397364892242</v>
      </c>
      <c r="D284" s="453">
        <f>IF(D277=0,0,LN_IIB7/D277)</f>
        <v>0.48593009377681301</v>
      </c>
      <c r="E284" s="454">
        <f t="shared" si="28"/>
        <v>3.847612012789059E-2</v>
      </c>
      <c r="F284" s="458">
        <f t="shared" si="29"/>
        <v>8.5989000866666568E-2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739</v>
      </c>
      <c r="C285" s="448">
        <f>C28+C204+C234</f>
        <v>126988487</v>
      </c>
      <c r="D285" s="448">
        <f>LN_IA12+LN_IF15+LN_IG10</f>
        <v>154888561</v>
      </c>
      <c r="E285" s="448">
        <f t="shared" si="28"/>
        <v>27900074</v>
      </c>
      <c r="F285" s="503">
        <f t="shared" si="29"/>
        <v>0.21970553913285068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740</v>
      </c>
      <c r="C286" s="453">
        <f>IF(C283=0,0,C285/C283)</f>
        <v>0.26246639820657769</v>
      </c>
      <c r="D286" s="453">
        <f>IF(LN_IIB7=0,0,LN_IIB9/LN_IIB7)</f>
        <v>0.28194574750579182</v>
      </c>
      <c r="E286" s="454">
        <f t="shared" si="28"/>
        <v>1.9479349299214133E-2</v>
      </c>
      <c r="F286" s="458">
        <f t="shared" si="29"/>
        <v>7.4216545174223214E-2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741</v>
      </c>
      <c r="C287" s="441">
        <f>C277+C283</f>
        <v>1565117801</v>
      </c>
      <c r="D287" s="441">
        <f>D277+LN_IIB7</f>
        <v>1679880461</v>
      </c>
      <c r="E287" s="441">
        <f t="shared" si="28"/>
        <v>114762660</v>
      </c>
      <c r="F287" s="503">
        <f t="shared" si="29"/>
        <v>7.3325253809441535E-2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742</v>
      </c>
      <c r="C288" s="441">
        <f>C278+C285</f>
        <v>477187859</v>
      </c>
      <c r="D288" s="441">
        <f>LN_IIB2+LN_IIB9</f>
        <v>560816187</v>
      </c>
      <c r="E288" s="441">
        <f t="shared" si="28"/>
        <v>83628328</v>
      </c>
      <c r="F288" s="503">
        <f t="shared" si="29"/>
        <v>0.17525242191880661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743</v>
      </c>
      <c r="C289" s="453">
        <f>IF(C287=0,0,C288/C287)</f>
        <v>0.30488942026926702</v>
      </c>
      <c r="D289" s="453">
        <f>IF(LN_IIB11=0,0,LN_IIB12/LN_IIB11)</f>
        <v>0.33384291324286081</v>
      </c>
      <c r="E289" s="454">
        <f t="shared" si="28"/>
        <v>2.8953492973593786E-2</v>
      </c>
      <c r="F289" s="458">
        <f t="shared" si="29"/>
        <v>9.4963914943401895E-2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166684</v>
      </c>
      <c r="D290" s="508">
        <f>LN_IA8+LN_IF11+LN_IG6</f>
        <v>167570</v>
      </c>
      <c r="E290" s="528">
        <f t="shared" si="28"/>
        <v>886</v>
      </c>
      <c r="F290" s="458">
        <f t="shared" si="29"/>
        <v>5.3154471934918771E-3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744</v>
      </c>
      <c r="C291" s="448">
        <f>C287-C288</f>
        <v>1087929942</v>
      </c>
      <c r="D291" s="516">
        <f>LN_IIB11-LN_IIB12</f>
        <v>1119064274</v>
      </c>
      <c r="E291" s="441">
        <f t="shared" si="28"/>
        <v>31134332</v>
      </c>
      <c r="F291" s="503">
        <f t="shared" si="29"/>
        <v>2.8617956725011252E-2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646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637</v>
      </c>
      <c r="C294" s="466">
        <f>IF(C18=0,0,C22/C18)</f>
        <v>6.506464892445063</v>
      </c>
      <c r="D294" s="466">
        <f>IF(LN_IA4=0,0,LN_IA8/LN_IA4)</f>
        <v>6.3780252244063176</v>
      </c>
      <c r="E294" s="466">
        <f t="shared" ref="E294:E300" si="30">D294-C294</f>
        <v>-0.1284396680387454</v>
      </c>
      <c r="F294" s="503">
        <f t="shared" ref="F294:F300" si="31">IF(C294=0,0,E294/C294)</f>
        <v>-1.9740315234449701E-2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658</v>
      </c>
      <c r="C295" s="466">
        <f>IF(C45=0,0,C51/C45)</f>
        <v>4.6217532467532472</v>
      </c>
      <c r="D295" s="466">
        <f>IF(LN_IB4=0,0,(LN_IB10)/(LN_IB4))</f>
        <v>4.4509963399755996</v>
      </c>
      <c r="E295" s="466">
        <f t="shared" si="30"/>
        <v>-0.17075690677764754</v>
      </c>
      <c r="F295" s="503">
        <f t="shared" si="31"/>
        <v>-3.6946348638929004E-2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673</v>
      </c>
      <c r="C296" s="466">
        <f>IF(C86=0,0,C93/C86)</f>
        <v>4.4145658263305325</v>
      </c>
      <c r="D296" s="466">
        <f>IF(LN_IC4=0,0,LN_IC11/LN_IC4)</f>
        <v>5.1238615664845177</v>
      </c>
      <c r="E296" s="466">
        <f t="shared" si="30"/>
        <v>0.70929574015398522</v>
      </c>
      <c r="F296" s="503">
        <f t="shared" si="31"/>
        <v>0.16067168733183548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5.5523073710586761</v>
      </c>
      <c r="D297" s="466">
        <f>IF(LN_ID4=0,0,LN_ID11/LN_ID4)</f>
        <v>5.2949122461053051</v>
      </c>
      <c r="E297" s="466">
        <f t="shared" si="30"/>
        <v>-0.25739512495337102</v>
      </c>
      <c r="F297" s="503">
        <f t="shared" si="31"/>
        <v>-4.6358226904915152E-2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745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6.4349999999999996</v>
      </c>
      <c r="D299" s="466">
        <f>IF(LN_IG3=0,0,LN_IG6/LN_IG3)</f>
        <v>6.2373540856031129</v>
      </c>
      <c r="E299" s="466">
        <f t="shared" si="30"/>
        <v>-0.19764591439688672</v>
      </c>
      <c r="F299" s="503">
        <f t="shared" si="31"/>
        <v>-3.0714205811482011E-2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746</v>
      </c>
      <c r="C300" s="466">
        <f>IF(C264=0,0,C274/C264)</f>
        <v>5.6210863689636206</v>
      </c>
      <c r="D300" s="466">
        <f>IF(LN_IIA4=0,0,LN_IIA14/LN_IIA4)</f>
        <v>5.4552683896620282</v>
      </c>
      <c r="E300" s="466">
        <f t="shared" si="30"/>
        <v>-0.16581797930159237</v>
      </c>
      <c r="F300" s="503">
        <f t="shared" si="31"/>
        <v>-2.9499276192791326E-2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747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741</v>
      </c>
      <c r="C304" s="441">
        <f>C35+C66+C214+C221+C233</f>
        <v>2411937032</v>
      </c>
      <c r="D304" s="441">
        <f>LN_IIA11</f>
        <v>2554085582</v>
      </c>
      <c r="E304" s="441">
        <f t="shared" ref="E304:E316" si="32">D304-C304</f>
        <v>142148550</v>
      </c>
      <c r="F304" s="449">
        <f>IF(C304=0,0,E304/C304)</f>
        <v>5.8935431611217948E-2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744</v>
      </c>
      <c r="C305" s="441">
        <f>C291</f>
        <v>1087929942</v>
      </c>
      <c r="D305" s="441">
        <f>LN_IIB14</f>
        <v>1119064274</v>
      </c>
      <c r="E305" s="441">
        <f t="shared" si="32"/>
        <v>31134332</v>
      </c>
      <c r="F305" s="449">
        <f>IF(C305=0,0,E305/C305)</f>
        <v>2.8617956725011252E-2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748</v>
      </c>
      <c r="C306" s="441">
        <f>C250</f>
        <v>44011393</v>
      </c>
      <c r="D306" s="441">
        <f>LN_IH6</f>
        <v>55249590</v>
      </c>
      <c r="E306" s="441">
        <f t="shared" si="32"/>
        <v>11238197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749</v>
      </c>
      <c r="C307" s="441">
        <f>C73-C74</f>
        <v>337021984</v>
      </c>
      <c r="D307" s="441">
        <f>LN_IB32-LN_IB33</f>
        <v>341149564</v>
      </c>
      <c r="E307" s="441">
        <f t="shared" si="32"/>
        <v>4127580</v>
      </c>
      <c r="F307" s="449">
        <f t="shared" ref="F307:F316" si="33">IF(C307=0,0,E307/C307)</f>
        <v>1.2247212929587406E-2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750</v>
      </c>
      <c r="C308" s="441">
        <v>16324509</v>
      </c>
      <c r="D308" s="441">
        <v>14806678</v>
      </c>
      <c r="E308" s="441">
        <f t="shared" si="32"/>
        <v>-1517831</v>
      </c>
      <c r="F308" s="449">
        <f t="shared" si="33"/>
        <v>-9.2978661716563729E-2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751</v>
      </c>
      <c r="C309" s="441">
        <f>C305+C307+C308+C306</f>
        <v>1485287828</v>
      </c>
      <c r="D309" s="441">
        <f>LN_III2+LN_III3+LN_III4+LN_III5</f>
        <v>1530270106</v>
      </c>
      <c r="E309" s="441">
        <f t="shared" si="32"/>
        <v>44982278</v>
      </c>
      <c r="F309" s="449">
        <f t="shared" si="33"/>
        <v>3.0285226305645049E-2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752</v>
      </c>
      <c r="C310" s="441">
        <f>C304-C309</f>
        <v>926649204</v>
      </c>
      <c r="D310" s="441">
        <f>LN_III1-LN_III6</f>
        <v>1023815476</v>
      </c>
      <c r="E310" s="441">
        <f t="shared" si="32"/>
        <v>97166272</v>
      </c>
      <c r="F310" s="449">
        <f t="shared" si="33"/>
        <v>0.10485766520984353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753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754</v>
      </c>
      <c r="C312" s="441">
        <f>C310+C311</f>
        <v>926649204</v>
      </c>
      <c r="D312" s="441">
        <f>LN_III7+LN_III8</f>
        <v>1023815476</v>
      </c>
      <c r="E312" s="441">
        <f t="shared" si="32"/>
        <v>97166272</v>
      </c>
      <c r="F312" s="449">
        <f t="shared" si="33"/>
        <v>0.10485766520984353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755</v>
      </c>
      <c r="C313" s="532">
        <f>IF(C304=0,0,C312/C304)</f>
        <v>0.38419295019141281</v>
      </c>
      <c r="D313" s="532">
        <f>IF(LN_III1=0,0,LN_III9/LN_III1)</f>
        <v>0.40085402118682806</v>
      </c>
      <c r="E313" s="532">
        <f t="shared" si="32"/>
        <v>1.666107099541525E-2</v>
      </c>
      <c r="F313" s="449">
        <f t="shared" si="33"/>
        <v>4.3366415201305394E-2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718</v>
      </c>
      <c r="C314" s="441">
        <f>C306*C313</f>
        <v>16908866.918703694</v>
      </c>
      <c r="D314" s="441">
        <f>D313*LN_III5</f>
        <v>22147020.320423562</v>
      </c>
      <c r="E314" s="441">
        <f t="shared" si="32"/>
        <v>5238153.4017198682</v>
      </c>
      <c r="F314" s="449">
        <f t="shared" si="33"/>
        <v>0.30978736936687934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721</v>
      </c>
      <c r="C315" s="441">
        <f>(C214*C313)-C215</f>
        <v>63723220.13589713</v>
      </c>
      <c r="D315" s="441">
        <f>D313*LN_IH8-LN_IH9</f>
        <v>70178650.209425002</v>
      </c>
      <c r="E315" s="441">
        <f t="shared" si="32"/>
        <v>6455430.0735278726</v>
      </c>
      <c r="F315" s="449">
        <f t="shared" si="33"/>
        <v>0.10130420370723454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756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757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758</v>
      </c>
      <c r="C318" s="441">
        <f>C314+C315+C316</f>
        <v>80632087.05460082</v>
      </c>
      <c r="D318" s="441">
        <f>D314+D315+D316</f>
        <v>92325670.529848561</v>
      </c>
      <c r="E318" s="441">
        <f>D318-C318</f>
        <v>11693583.475247741</v>
      </c>
      <c r="F318" s="449">
        <f>IF(C318=0,0,E318/C318)</f>
        <v>0.14502394645111089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759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39538918.989236124</v>
      </c>
      <c r="D322" s="441">
        <f>LN_ID22</f>
        <v>44394858.487587608</v>
      </c>
      <c r="E322" s="441">
        <f>LN_IV2-C322</f>
        <v>4855939.4983514845</v>
      </c>
      <c r="F322" s="449">
        <f>IF(C322=0,0,E322/C322)</f>
        <v>0.122814169493947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745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760</v>
      </c>
      <c r="C324" s="441">
        <f>C92+C106</f>
        <v>16015626.092570474</v>
      </c>
      <c r="D324" s="441">
        <f>LN_IC10+LN_IC22</f>
        <v>17205473.109463274</v>
      </c>
      <c r="E324" s="441">
        <f>LN_IV1-C324</f>
        <v>1189847.0168928001</v>
      </c>
      <c r="F324" s="449">
        <f>IF(C324=0,0,E324/C324)</f>
        <v>7.4292881840239827E-2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761</v>
      </c>
      <c r="C325" s="516">
        <f>C324+C322+C323</f>
        <v>55554545.0818066</v>
      </c>
      <c r="D325" s="516">
        <f>LN_IV1+LN_IV2+LN_IV3</f>
        <v>61600331.597050883</v>
      </c>
      <c r="E325" s="441">
        <f>LN_IV4-C325</f>
        <v>6045786.5152442828</v>
      </c>
      <c r="F325" s="449">
        <f>IF(C325=0,0,E325/C325)</f>
        <v>0.10882613666157444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762</v>
      </c>
      <c r="B327" s="530" t="s">
        <v>763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764</v>
      </c>
      <c r="C329" s="518">
        <v>30498596</v>
      </c>
      <c r="D329" s="518">
        <v>25898380</v>
      </c>
      <c r="E329" s="518">
        <f t="shared" ref="E329:E335" si="34">D329-C329</f>
        <v>-4600216</v>
      </c>
      <c r="F329" s="542">
        <f t="shared" ref="F329:F335" si="35">IF(C329=0,0,E329/C329)</f>
        <v>-0.15083369739380789</v>
      </c>
    </row>
    <row r="330" spans="1:22" s="420" customFormat="1" ht="15.75" customHeight="1" x14ac:dyDescent="0.2">
      <c r="A330" s="451">
        <v>2</v>
      </c>
      <c r="B330" s="447" t="s">
        <v>765</v>
      </c>
      <c r="C330" s="516">
        <v>-35778755</v>
      </c>
      <c r="D330" s="516">
        <v>-58660006</v>
      </c>
      <c r="E330" s="518">
        <f t="shared" si="34"/>
        <v>-22881251</v>
      </c>
      <c r="F330" s="543">
        <f t="shared" si="35"/>
        <v>0.63952060377729747</v>
      </c>
    </row>
    <row r="331" spans="1:22" s="420" customFormat="1" ht="15.75" customHeight="1" x14ac:dyDescent="0.2">
      <c r="A331" s="427">
        <v>3</v>
      </c>
      <c r="B331" s="447" t="s">
        <v>766</v>
      </c>
      <c r="C331" s="516">
        <v>903784775</v>
      </c>
      <c r="D331" s="516">
        <v>976155739</v>
      </c>
      <c r="E331" s="518">
        <f t="shared" si="34"/>
        <v>72370964</v>
      </c>
      <c r="F331" s="542">
        <f t="shared" si="35"/>
        <v>8.0075440527309166E-2</v>
      </c>
    </row>
    <row r="332" spans="1:22" s="420" customFormat="1" ht="27" customHeight="1" x14ac:dyDescent="0.2">
      <c r="A332" s="451">
        <v>4</v>
      </c>
      <c r="B332" s="447" t="s">
        <v>767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768</v>
      </c>
      <c r="C333" s="516">
        <v>2411937032</v>
      </c>
      <c r="D333" s="516">
        <v>2554085582</v>
      </c>
      <c r="E333" s="518">
        <f t="shared" si="34"/>
        <v>142148550</v>
      </c>
      <c r="F333" s="542">
        <f t="shared" si="35"/>
        <v>5.8935431611217948E-2</v>
      </c>
    </row>
    <row r="334" spans="1:22" s="420" customFormat="1" ht="15.75" customHeight="1" x14ac:dyDescent="0.2">
      <c r="A334" s="427">
        <v>6</v>
      </c>
      <c r="B334" s="447" t="s">
        <v>769</v>
      </c>
      <c r="C334" s="516">
        <v>1632896</v>
      </c>
      <c r="D334" s="516">
        <v>2292312</v>
      </c>
      <c r="E334" s="516">
        <f t="shared" si="34"/>
        <v>659416</v>
      </c>
      <c r="F334" s="543">
        <f t="shared" si="35"/>
        <v>0.40383220976718665</v>
      </c>
    </row>
    <row r="335" spans="1:22" s="420" customFormat="1" ht="15.75" customHeight="1" x14ac:dyDescent="0.2">
      <c r="A335" s="451">
        <v>7</v>
      </c>
      <c r="B335" s="447" t="s">
        <v>770</v>
      </c>
      <c r="C335" s="516">
        <v>45644289</v>
      </c>
      <c r="D335" s="516">
        <v>57541902</v>
      </c>
      <c r="E335" s="516">
        <f t="shared" si="34"/>
        <v>11897613</v>
      </c>
      <c r="F335" s="542">
        <f t="shared" si="35"/>
        <v>0.26065940034688678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FILING&amp;RHARTFORD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631</v>
      </c>
      <c r="B3" s="820"/>
      <c r="C3" s="820"/>
      <c r="D3" s="820"/>
      <c r="E3" s="820"/>
    </row>
    <row r="4" spans="1:5" s="428" customFormat="1" ht="15.75" customHeight="1" x14ac:dyDescent="0.25">
      <c r="A4" s="820" t="s">
        <v>771</v>
      </c>
      <c r="B4" s="820"/>
      <c r="C4" s="820"/>
      <c r="D4" s="820"/>
      <c r="E4" s="820"/>
    </row>
    <row r="5" spans="1:5" s="428" customFormat="1" ht="15.75" customHeight="1" x14ac:dyDescent="0.25">
      <c r="A5" s="820" t="s">
        <v>772</v>
      </c>
      <c r="B5" s="820"/>
      <c r="C5" s="820"/>
      <c r="D5" s="820"/>
      <c r="E5" s="820"/>
    </row>
    <row r="6" spans="1:5" s="428" customFormat="1" ht="15.75" customHeight="1" x14ac:dyDescent="0.25">
      <c r="A6" s="820" t="s">
        <v>773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774</v>
      </c>
      <c r="D9" s="573" t="s">
        <v>775</v>
      </c>
      <c r="E9" s="573" t="s">
        <v>776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777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778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658</v>
      </c>
      <c r="C14" s="589">
        <v>467725563</v>
      </c>
      <c r="D14" s="589">
        <v>473124318</v>
      </c>
      <c r="E14" s="590">
        <f t="shared" ref="E14:E22" si="0">D14-C14</f>
        <v>5398755</v>
      </c>
    </row>
    <row r="15" spans="1:5" s="421" customFormat="1" x14ac:dyDescent="0.2">
      <c r="A15" s="588">
        <v>2</v>
      </c>
      <c r="B15" s="587" t="s">
        <v>637</v>
      </c>
      <c r="C15" s="589">
        <v>789518832</v>
      </c>
      <c r="D15" s="591">
        <v>819287674</v>
      </c>
      <c r="E15" s="590">
        <f t="shared" si="0"/>
        <v>29768842</v>
      </c>
    </row>
    <row r="16" spans="1:5" s="421" customFormat="1" x14ac:dyDescent="0.2">
      <c r="A16" s="588">
        <v>3</v>
      </c>
      <c r="B16" s="587" t="s">
        <v>779</v>
      </c>
      <c r="C16" s="589">
        <v>284428877</v>
      </c>
      <c r="D16" s="591">
        <v>302959364</v>
      </c>
      <c r="E16" s="590">
        <f t="shared" si="0"/>
        <v>18530487</v>
      </c>
    </row>
    <row r="17" spans="1:5" s="421" customFormat="1" x14ac:dyDescent="0.2">
      <c r="A17" s="588">
        <v>4</v>
      </c>
      <c r="B17" s="587" t="s">
        <v>115</v>
      </c>
      <c r="C17" s="589">
        <v>284428877</v>
      </c>
      <c r="D17" s="591">
        <v>302959364</v>
      </c>
      <c r="E17" s="590">
        <f t="shared" si="0"/>
        <v>18530487</v>
      </c>
    </row>
    <row r="18" spans="1:5" s="421" customFormat="1" x14ac:dyDescent="0.2">
      <c r="A18" s="588">
        <v>5</v>
      </c>
      <c r="B18" s="587" t="s">
        <v>745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7342494</v>
      </c>
      <c r="D19" s="591">
        <v>8277519</v>
      </c>
      <c r="E19" s="590">
        <f t="shared" si="0"/>
        <v>935025</v>
      </c>
    </row>
    <row r="20" spans="1:5" s="421" customFormat="1" x14ac:dyDescent="0.2">
      <c r="A20" s="588">
        <v>7</v>
      </c>
      <c r="B20" s="587" t="s">
        <v>760</v>
      </c>
      <c r="C20" s="589">
        <v>10885059</v>
      </c>
      <c r="D20" s="591">
        <v>22883195</v>
      </c>
      <c r="E20" s="590">
        <f t="shared" si="0"/>
        <v>11998136</v>
      </c>
    </row>
    <row r="21" spans="1:5" s="421" customFormat="1" x14ac:dyDescent="0.2">
      <c r="A21" s="588"/>
      <c r="B21" s="592" t="s">
        <v>780</v>
      </c>
      <c r="C21" s="593">
        <f>SUM(C15+C16+C19)</f>
        <v>1081290203</v>
      </c>
      <c r="D21" s="593">
        <f>SUM(D15+D16+D19)</f>
        <v>1130524557</v>
      </c>
      <c r="E21" s="593">
        <f t="shared" si="0"/>
        <v>49234354</v>
      </c>
    </row>
    <row r="22" spans="1:5" s="421" customFormat="1" x14ac:dyDescent="0.2">
      <c r="A22" s="588"/>
      <c r="B22" s="592" t="s">
        <v>465</v>
      </c>
      <c r="C22" s="593">
        <f>SUM(C14+C21)</f>
        <v>1549015766</v>
      </c>
      <c r="D22" s="593">
        <f>SUM(D14+D21)</f>
        <v>1603648875</v>
      </c>
      <c r="E22" s="593">
        <f t="shared" si="0"/>
        <v>54633109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781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658</v>
      </c>
      <c r="C25" s="589">
        <v>379093668</v>
      </c>
      <c r="D25" s="589">
        <v>401080803</v>
      </c>
      <c r="E25" s="590">
        <f t="shared" ref="E25:E33" si="1">D25-C25</f>
        <v>21987135</v>
      </c>
    </row>
    <row r="26" spans="1:5" s="421" customFormat="1" x14ac:dyDescent="0.2">
      <c r="A26" s="588">
        <v>2</v>
      </c>
      <c r="B26" s="587" t="s">
        <v>637</v>
      </c>
      <c r="C26" s="589">
        <v>306136212</v>
      </c>
      <c r="D26" s="591">
        <v>345608379</v>
      </c>
      <c r="E26" s="590">
        <f t="shared" si="1"/>
        <v>39472167</v>
      </c>
    </row>
    <row r="27" spans="1:5" s="421" customFormat="1" x14ac:dyDescent="0.2">
      <c r="A27" s="588">
        <v>3</v>
      </c>
      <c r="B27" s="587" t="s">
        <v>779</v>
      </c>
      <c r="C27" s="589">
        <v>173414462</v>
      </c>
      <c r="D27" s="591">
        <v>199352307</v>
      </c>
      <c r="E27" s="590">
        <f t="shared" si="1"/>
        <v>25937845</v>
      </c>
    </row>
    <row r="28" spans="1:5" s="421" customFormat="1" x14ac:dyDescent="0.2">
      <c r="A28" s="588">
        <v>4</v>
      </c>
      <c r="B28" s="587" t="s">
        <v>115</v>
      </c>
      <c r="C28" s="589">
        <v>173414462</v>
      </c>
      <c r="D28" s="591">
        <v>199352307</v>
      </c>
      <c r="E28" s="590">
        <f t="shared" si="1"/>
        <v>25937845</v>
      </c>
    </row>
    <row r="29" spans="1:5" s="421" customFormat="1" x14ac:dyDescent="0.2">
      <c r="A29" s="588">
        <v>5</v>
      </c>
      <c r="B29" s="587" t="s">
        <v>745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4276924</v>
      </c>
      <c r="D30" s="591">
        <v>4395218</v>
      </c>
      <c r="E30" s="590">
        <f t="shared" si="1"/>
        <v>118294</v>
      </c>
    </row>
    <row r="31" spans="1:5" s="421" customFormat="1" x14ac:dyDescent="0.2">
      <c r="A31" s="588">
        <v>7</v>
      </c>
      <c r="B31" s="587" t="s">
        <v>760</v>
      </c>
      <c r="C31" s="590">
        <v>37249513</v>
      </c>
      <c r="D31" s="594">
        <v>33229870</v>
      </c>
      <c r="E31" s="590">
        <f t="shared" si="1"/>
        <v>-4019643</v>
      </c>
    </row>
    <row r="32" spans="1:5" s="421" customFormat="1" x14ac:dyDescent="0.2">
      <c r="A32" s="588"/>
      <c r="B32" s="592" t="s">
        <v>782</v>
      </c>
      <c r="C32" s="593">
        <f>SUM(C26+C27+C30)</f>
        <v>483827598</v>
      </c>
      <c r="D32" s="593">
        <f>SUM(D26+D27+D30)</f>
        <v>549355904</v>
      </c>
      <c r="E32" s="593">
        <f t="shared" si="1"/>
        <v>65528306</v>
      </c>
    </row>
    <row r="33" spans="1:5" s="421" customFormat="1" x14ac:dyDescent="0.2">
      <c r="A33" s="588"/>
      <c r="B33" s="592" t="s">
        <v>467</v>
      </c>
      <c r="C33" s="593">
        <f>SUM(C25+C32)</f>
        <v>862921266</v>
      </c>
      <c r="D33" s="593">
        <f>SUM(D25+D32)</f>
        <v>950436707</v>
      </c>
      <c r="E33" s="593">
        <f t="shared" si="1"/>
        <v>87515441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655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783</v>
      </c>
      <c r="C36" s="590">
        <f t="shared" ref="C36:D42" si="2">C14+C25</f>
        <v>846819231</v>
      </c>
      <c r="D36" s="590">
        <f t="shared" si="2"/>
        <v>874205121</v>
      </c>
      <c r="E36" s="590">
        <f t="shared" ref="E36:E44" si="3">D36-C36</f>
        <v>27385890</v>
      </c>
    </row>
    <row r="37" spans="1:5" s="421" customFormat="1" x14ac:dyDescent="0.2">
      <c r="A37" s="588">
        <v>2</v>
      </c>
      <c r="B37" s="587" t="s">
        <v>784</v>
      </c>
      <c r="C37" s="590">
        <f t="shared" si="2"/>
        <v>1095655044</v>
      </c>
      <c r="D37" s="590">
        <f t="shared" si="2"/>
        <v>1164896053</v>
      </c>
      <c r="E37" s="590">
        <f t="shared" si="3"/>
        <v>69241009</v>
      </c>
    </row>
    <row r="38" spans="1:5" s="421" customFormat="1" x14ac:dyDescent="0.2">
      <c r="A38" s="588">
        <v>3</v>
      </c>
      <c r="B38" s="587" t="s">
        <v>785</v>
      </c>
      <c r="C38" s="590">
        <f t="shared" si="2"/>
        <v>457843339</v>
      </c>
      <c r="D38" s="590">
        <f t="shared" si="2"/>
        <v>502311671</v>
      </c>
      <c r="E38" s="590">
        <f t="shared" si="3"/>
        <v>44468332</v>
      </c>
    </row>
    <row r="39" spans="1:5" s="421" customFormat="1" x14ac:dyDescent="0.2">
      <c r="A39" s="588">
        <v>4</v>
      </c>
      <c r="B39" s="587" t="s">
        <v>786</v>
      </c>
      <c r="C39" s="590">
        <f t="shared" si="2"/>
        <v>457843339</v>
      </c>
      <c r="D39" s="590">
        <f t="shared" si="2"/>
        <v>502311671</v>
      </c>
      <c r="E39" s="590">
        <f t="shared" si="3"/>
        <v>44468332</v>
      </c>
    </row>
    <row r="40" spans="1:5" s="421" customFormat="1" x14ac:dyDescent="0.2">
      <c r="A40" s="588">
        <v>5</v>
      </c>
      <c r="B40" s="587" t="s">
        <v>787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788</v>
      </c>
      <c r="C41" s="590">
        <f t="shared" si="2"/>
        <v>11619418</v>
      </c>
      <c r="D41" s="590">
        <f t="shared" si="2"/>
        <v>12672737</v>
      </c>
      <c r="E41" s="590">
        <f t="shared" si="3"/>
        <v>1053319</v>
      </c>
    </row>
    <row r="42" spans="1:5" s="421" customFormat="1" x14ac:dyDescent="0.2">
      <c r="A42" s="588">
        <v>7</v>
      </c>
      <c r="B42" s="587" t="s">
        <v>789</v>
      </c>
      <c r="C42" s="590">
        <f t="shared" si="2"/>
        <v>48134572</v>
      </c>
      <c r="D42" s="590">
        <f t="shared" si="2"/>
        <v>56113065</v>
      </c>
      <c r="E42" s="590">
        <f t="shared" si="3"/>
        <v>7978493</v>
      </c>
    </row>
    <row r="43" spans="1:5" s="421" customFormat="1" x14ac:dyDescent="0.2">
      <c r="A43" s="588"/>
      <c r="B43" s="592" t="s">
        <v>790</v>
      </c>
      <c r="C43" s="593">
        <f>SUM(C37+C38+C41)</f>
        <v>1565117801</v>
      </c>
      <c r="D43" s="593">
        <f>SUM(D37+D38+D41)</f>
        <v>1679880461</v>
      </c>
      <c r="E43" s="593">
        <f t="shared" si="3"/>
        <v>114762660</v>
      </c>
    </row>
    <row r="44" spans="1:5" s="421" customFormat="1" x14ac:dyDescent="0.2">
      <c r="A44" s="588"/>
      <c r="B44" s="592" t="s">
        <v>727</v>
      </c>
      <c r="C44" s="593">
        <f>SUM(C36+C43)</f>
        <v>2411937032</v>
      </c>
      <c r="D44" s="593">
        <f>SUM(D36+D43)</f>
        <v>2554085582</v>
      </c>
      <c r="E44" s="593">
        <f t="shared" si="3"/>
        <v>142148550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791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658</v>
      </c>
      <c r="C47" s="589">
        <v>284495340</v>
      </c>
      <c r="D47" s="589">
        <v>285605851</v>
      </c>
      <c r="E47" s="590">
        <f t="shared" ref="E47:E55" si="4">D47-C47</f>
        <v>1110511</v>
      </c>
    </row>
    <row r="48" spans="1:5" s="421" customFormat="1" x14ac:dyDescent="0.2">
      <c r="A48" s="588">
        <v>2</v>
      </c>
      <c r="B48" s="587" t="s">
        <v>637</v>
      </c>
      <c r="C48" s="589">
        <v>272818286</v>
      </c>
      <c r="D48" s="591">
        <v>320138468</v>
      </c>
      <c r="E48" s="590">
        <f t="shared" si="4"/>
        <v>47320182</v>
      </c>
    </row>
    <row r="49" spans="1:5" s="421" customFormat="1" x14ac:dyDescent="0.2">
      <c r="A49" s="588">
        <v>3</v>
      </c>
      <c r="B49" s="587" t="s">
        <v>779</v>
      </c>
      <c r="C49" s="589">
        <v>74878980</v>
      </c>
      <c r="D49" s="591">
        <v>81842654</v>
      </c>
      <c r="E49" s="590">
        <f t="shared" si="4"/>
        <v>6963674</v>
      </c>
    </row>
    <row r="50" spans="1:5" s="421" customFormat="1" x14ac:dyDescent="0.2">
      <c r="A50" s="588">
        <v>4</v>
      </c>
      <c r="B50" s="587" t="s">
        <v>115</v>
      </c>
      <c r="C50" s="589">
        <v>74878980</v>
      </c>
      <c r="D50" s="591">
        <v>81842654</v>
      </c>
      <c r="E50" s="590">
        <f t="shared" si="4"/>
        <v>6963674</v>
      </c>
    </row>
    <row r="51" spans="1:5" s="421" customFormat="1" x14ac:dyDescent="0.2">
      <c r="A51" s="588">
        <v>5</v>
      </c>
      <c r="B51" s="587" t="s">
        <v>745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2502106</v>
      </c>
      <c r="D52" s="591">
        <v>3946504</v>
      </c>
      <c r="E52" s="590">
        <f t="shared" si="4"/>
        <v>1444398</v>
      </c>
    </row>
    <row r="53" spans="1:5" s="421" customFormat="1" x14ac:dyDescent="0.2">
      <c r="A53" s="588">
        <v>7</v>
      </c>
      <c r="B53" s="587" t="s">
        <v>760</v>
      </c>
      <c r="C53" s="589">
        <v>254829</v>
      </c>
      <c r="D53" s="591">
        <v>425335</v>
      </c>
      <c r="E53" s="590">
        <f t="shared" si="4"/>
        <v>170506</v>
      </c>
    </row>
    <row r="54" spans="1:5" s="421" customFormat="1" x14ac:dyDescent="0.2">
      <c r="A54" s="588"/>
      <c r="B54" s="592" t="s">
        <v>792</v>
      </c>
      <c r="C54" s="593">
        <f>SUM(C48+C49+C52)</f>
        <v>350199372</v>
      </c>
      <c r="D54" s="593">
        <f>SUM(D48+D49+D52)</f>
        <v>405927626</v>
      </c>
      <c r="E54" s="593">
        <f t="shared" si="4"/>
        <v>55728254</v>
      </c>
    </row>
    <row r="55" spans="1:5" s="421" customFormat="1" x14ac:dyDescent="0.2">
      <c r="A55" s="588"/>
      <c r="B55" s="592" t="s">
        <v>466</v>
      </c>
      <c r="C55" s="593">
        <f>SUM(C47+C54)</f>
        <v>634694712</v>
      </c>
      <c r="D55" s="593">
        <f>SUM(D47+D54)</f>
        <v>691533477</v>
      </c>
      <c r="E55" s="593">
        <f t="shared" si="4"/>
        <v>56838765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793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658</v>
      </c>
      <c r="C58" s="589">
        <v>177880331</v>
      </c>
      <c r="D58" s="589">
        <v>188393707</v>
      </c>
      <c r="E58" s="590">
        <f t="shared" ref="E58:E66" si="5">D58-C58</f>
        <v>10513376</v>
      </c>
    </row>
    <row r="59" spans="1:5" s="421" customFormat="1" x14ac:dyDescent="0.2">
      <c r="A59" s="588">
        <v>2</v>
      </c>
      <c r="B59" s="587" t="s">
        <v>637</v>
      </c>
      <c r="C59" s="589">
        <v>87993210</v>
      </c>
      <c r="D59" s="591">
        <v>104283367</v>
      </c>
      <c r="E59" s="590">
        <f t="shared" si="5"/>
        <v>16290157</v>
      </c>
    </row>
    <row r="60" spans="1:5" s="421" customFormat="1" x14ac:dyDescent="0.2">
      <c r="A60" s="588">
        <v>3</v>
      </c>
      <c r="B60" s="587" t="s">
        <v>779</v>
      </c>
      <c r="C60" s="589">
        <f>C61+C62</f>
        <v>37297983</v>
      </c>
      <c r="D60" s="591">
        <f>D61+D62</f>
        <v>49332349</v>
      </c>
      <c r="E60" s="590">
        <f t="shared" si="5"/>
        <v>12034366</v>
      </c>
    </row>
    <row r="61" spans="1:5" s="421" customFormat="1" x14ac:dyDescent="0.2">
      <c r="A61" s="588">
        <v>4</v>
      </c>
      <c r="B61" s="587" t="s">
        <v>115</v>
      </c>
      <c r="C61" s="589">
        <v>37297983</v>
      </c>
      <c r="D61" s="591">
        <v>49332349</v>
      </c>
      <c r="E61" s="590">
        <f t="shared" si="5"/>
        <v>12034366</v>
      </c>
    </row>
    <row r="62" spans="1:5" s="421" customFormat="1" x14ac:dyDescent="0.2">
      <c r="A62" s="588">
        <v>5</v>
      </c>
      <c r="B62" s="587" t="s">
        <v>745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1697294</v>
      </c>
      <c r="D63" s="591">
        <v>1272845</v>
      </c>
      <c r="E63" s="590">
        <f t="shared" si="5"/>
        <v>-424449</v>
      </c>
    </row>
    <row r="64" spans="1:5" s="421" customFormat="1" x14ac:dyDescent="0.2">
      <c r="A64" s="588">
        <v>7</v>
      </c>
      <c r="B64" s="587" t="s">
        <v>760</v>
      </c>
      <c r="C64" s="589">
        <v>3868350</v>
      </c>
      <c r="D64" s="591">
        <v>1297480</v>
      </c>
      <c r="E64" s="590">
        <f t="shared" si="5"/>
        <v>-2570870</v>
      </c>
    </row>
    <row r="65" spans="1:5" s="421" customFormat="1" x14ac:dyDescent="0.2">
      <c r="A65" s="588"/>
      <c r="B65" s="592" t="s">
        <v>794</v>
      </c>
      <c r="C65" s="593">
        <f>SUM(C59+C60+C63)</f>
        <v>126988487</v>
      </c>
      <c r="D65" s="593">
        <f>SUM(D59+D60+D63)</f>
        <v>154888561</v>
      </c>
      <c r="E65" s="593">
        <f t="shared" si="5"/>
        <v>27900074</v>
      </c>
    </row>
    <row r="66" spans="1:5" s="421" customFormat="1" x14ac:dyDescent="0.2">
      <c r="A66" s="588"/>
      <c r="B66" s="592" t="s">
        <v>468</v>
      </c>
      <c r="C66" s="593">
        <f>SUM(C58+C65)</f>
        <v>304868818</v>
      </c>
      <c r="D66" s="593">
        <f>SUM(D58+D65)</f>
        <v>343282268</v>
      </c>
      <c r="E66" s="593">
        <f t="shared" si="5"/>
        <v>38413450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656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783</v>
      </c>
      <c r="C69" s="590">
        <f t="shared" ref="C69:D75" si="6">C47+C58</f>
        <v>462375671</v>
      </c>
      <c r="D69" s="590">
        <f t="shared" si="6"/>
        <v>473999558</v>
      </c>
      <c r="E69" s="590">
        <f t="shared" ref="E69:E77" si="7">D69-C69</f>
        <v>11623887</v>
      </c>
    </row>
    <row r="70" spans="1:5" s="421" customFormat="1" x14ac:dyDescent="0.2">
      <c r="A70" s="588">
        <v>2</v>
      </c>
      <c r="B70" s="587" t="s">
        <v>784</v>
      </c>
      <c r="C70" s="590">
        <f t="shared" si="6"/>
        <v>360811496</v>
      </c>
      <c r="D70" s="590">
        <f t="shared" si="6"/>
        <v>424421835</v>
      </c>
      <c r="E70" s="590">
        <f t="shared" si="7"/>
        <v>63610339</v>
      </c>
    </row>
    <row r="71" spans="1:5" s="421" customFormat="1" x14ac:dyDescent="0.2">
      <c r="A71" s="588">
        <v>3</v>
      </c>
      <c r="B71" s="587" t="s">
        <v>785</v>
      </c>
      <c r="C71" s="590">
        <f t="shared" si="6"/>
        <v>112176963</v>
      </c>
      <c r="D71" s="590">
        <f t="shared" si="6"/>
        <v>131175003</v>
      </c>
      <c r="E71" s="590">
        <f t="shared" si="7"/>
        <v>18998040</v>
      </c>
    </row>
    <row r="72" spans="1:5" s="421" customFormat="1" x14ac:dyDescent="0.2">
      <c r="A72" s="588">
        <v>4</v>
      </c>
      <c r="B72" s="587" t="s">
        <v>786</v>
      </c>
      <c r="C72" s="590">
        <f t="shared" si="6"/>
        <v>112176963</v>
      </c>
      <c r="D72" s="590">
        <f t="shared" si="6"/>
        <v>131175003</v>
      </c>
      <c r="E72" s="590">
        <f t="shared" si="7"/>
        <v>18998040</v>
      </c>
    </row>
    <row r="73" spans="1:5" s="421" customFormat="1" x14ac:dyDescent="0.2">
      <c r="A73" s="588">
        <v>5</v>
      </c>
      <c r="B73" s="587" t="s">
        <v>787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788</v>
      </c>
      <c r="C74" s="590">
        <f t="shared" si="6"/>
        <v>4199400</v>
      </c>
      <c r="D74" s="590">
        <f t="shared" si="6"/>
        <v>5219349</v>
      </c>
      <c r="E74" s="590">
        <f t="shared" si="7"/>
        <v>1019949</v>
      </c>
    </row>
    <row r="75" spans="1:5" s="421" customFormat="1" x14ac:dyDescent="0.2">
      <c r="A75" s="588">
        <v>7</v>
      </c>
      <c r="B75" s="587" t="s">
        <v>789</v>
      </c>
      <c r="C75" s="590">
        <f t="shared" si="6"/>
        <v>4123179</v>
      </c>
      <c r="D75" s="590">
        <f t="shared" si="6"/>
        <v>1722815</v>
      </c>
      <c r="E75" s="590">
        <f t="shared" si="7"/>
        <v>-2400364</v>
      </c>
    </row>
    <row r="76" spans="1:5" s="421" customFormat="1" x14ac:dyDescent="0.2">
      <c r="A76" s="588"/>
      <c r="B76" s="592" t="s">
        <v>795</v>
      </c>
      <c r="C76" s="593">
        <f>SUM(C70+C71+C74)</f>
        <v>477187859</v>
      </c>
      <c r="D76" s="593">
        <f>SUM(D70+D71+D74)</f>
        <v>560816187</v>
      </c>
      <c r="E76" s="593">
        <f t="shared" si="7"/>
        <v>83628328</v>
      </c>
    </row>
    <row r="77" spans="1:5" s="421" customFormat="1" x14ac:dyDescent="0.2">
      <c r="A77" s="588"/>
      <c r="B77" s="592" t="s">
        <v>728</v>
      </c>
      <c r="C77" s="593">
        <f>SUM(C69+C76)</f>
        <v>939563530</v>
      </c>
      <c r="D77" s="593">
        <f>SUM(D69+D76)</f>
        <v>1034815745</v>
      </c>
      <c r="E77" s="593">
        <f t="shared" si="7"/>
        <v>95252215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796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797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658</v>
      </c>
      <c r="C83" s="599">
        <f t="shared" ref="C83:D89" si="8">IF(C$44=0,0,C14/C$44)</f>
        <v>0.19392113342700235</v>
      </c>
      <c r="D83" s="599">
        <f t="shared" si="8"/>
        <v>0.18524215528812299</v>
      </c>
      <c r="E83" s="599">
        <f t="shared" ref="E83:E91" si="9">D83-C83</f>
        <v>-8.6789781388793563E-3</v>
      </c>
    </row>
    <row r="84" spans="1:5" s="421" customFormat="1" x14ac:dyDescent="0.2">
      <c r="A84" s="588">
        <v>2</v>
      </c>
      <c r="B84" s="587" t="s">
        <v>637</v>
      </c>
      <c r="C84" s="599">
        <f t="shared" si="8"/>
        <v>0.32733807787068298</v>
      </c>
      <c r="D84" s="599">
        <f t="shared" si="8"/>
        <v>0.32077534119214962</v>
      </c>
      <c r="E84" s="599">
        <f t="shared" si="9"/>
        <v>-6.5627366785333541E-3</v>
      </c>
    </row>
    <row r="85" spans="1:5" s="421" customFormat="1" x14ac:dyDescent="0.2">
      <c r="A85" s="588">
        <v>3</v>
      </c>
      <c r="B85" s="587" t="s">
        <v>779</v>
      </c>
      <c r="C85" s="599">
        <f t="shared" si="8"/>
        <v>0.11792549856251802</v>
      </c>
      <c r="D85" s="599">
        <f t="shared" si="8"/>
        <v>0.11861754599576296</v>
      </c>
      <c r="E85" s="599">
        <f t="shared" si="9"/>
        <v>6.9204743324494111E-4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0.11792549856251802</v>
      </c>
      <c r="D86" s="599">
        <f t="shared" si="8"/>
        <v>0.11861754599576296</v>
      </c>
      <c r="E86" s="599">
        <f t="shared" si="9"/>
        <v>6.9204743324494111E-4</v>
      </c>
    </row>
    <row r="87" spans="1:5" s="421" customFormat="1" x14ac:dyDescent="0.2">
      <c r="A87" s="588">
        <v>5</v>
      </c>
      <c r="B87" s="587" t="s">
        <v>745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3.0442312144075907E-3</v>
      </c>
      <c r="D88" s="599">
        <f t="shared" si="8"/>
        <v>3.2408933586000723E-3</v>
      </c>
      <c r="E88" s="599">
        <f t="shared" si="9"/>
        <v>1.9666214419248153E-4</v>
      </c>
    </row>
    <row r="89" spans="1:5" s="421" customFormat="1" x14ac:dyDescent="0.2">
      <c r="A89" s="588">
        <v>7</v>
      </c>
      <c r="B89" s="587" t="s">
        <v>760</v>
      </c>
      <c r="C89" s="599">
        <f t="shared" si="8"/>
        <v>4.512994682524531E-3</v>
      </c>
      <c r="D89" s="599">
        <f t="shared" si="8"/>
        <v>8.9594472328061552E-3</v>
      </c>
      <c r="E89" s="599">
        <f t="shared" si="9"/>
        <v>4.4464525502816241E-3</v>
      </c>
    </row>
    <row r="90" spans="1:5" s="421" customFormat="1" x14ac:dyDescent="0.2">
      <c r="A90" s="588"/>
      <c r="B90" s="592" t="s">
        <v>798</v>
      </c>
      <c r="C90" s="600">
        <f>SUM(C84+C85+C88)</f>
        <v>0.44830780764760864</v>
      </c>
      <c r="D90" s="600">
        <f>SUM(D84+D85+D88)</f>
        <v>0.44263378054651265</v>
      </c>
      <c r="E90" s="601">
        <f t="shared" si="9"/>
        <v>-5.6740271010959908E-3</v>
      </c>
    </row>
    <row r="91" spans="1:5" s="421" customFormat="1" x14ac:dyDescent="0.2">
      <c r="A91" s="588"/>
      <c r="B91" s="592" t="s">
        <v>799</v>
      </c>
      <c r="C91" s="600">
        <f>SUM(C83+C90)</f>
        <v>0.64222894107461093</v>
      </c>
      <c r="D91" s="600">
        <f>SUM(D83+D90)</f>
        <v>0.62787593583463563</v>
      </c>
      <c r="E91" s="601">
        <f t="shared" si="9"/>
        <v>-1.4353005239975292E-2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800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658</v>
      </c>
      <c r="C95" s="599">
        <f t="shared" ref="C95:D101" si="10">IF(C$44=0,0,C25/C$44)</f>
        <v>0.15717394897562981</v>
      </c>
      <c r="D95" s="599">
        <f t="shared" si="10"/>
        <v>0.15703498967561222</v>
      </c>
      <c r="E95" s="599">
        <f t="shared" ref="E95:E103" si="11">D95-C95</f>
        <v>-1.3895930001758816E-4</v>
      </c>
    </row>
    <row r="96" spans="1:5" s="421" customFormat="1" x14ac:dyDescent="0.2">
      <c r="A96" s="588">
        <v>2</v>
      </c>
      <c r="B96" s="587" t="s">
        <v>637</v>
      </c>
      <c r="C96" s="599">
        <f t="shared" si="10"/>
        <v>0.12692545781186879</v>
      </c>
      <c r="D96" s="599">
        <f t="shared" si="10"/>
        <v>0.13531589600430233</v>
      </c>
      <c r="E96" s="599">
        <f t="shared" si="11"/>
        <v>8.3904381924335414E-3</v>
      </c>
    </row>
    <row r="97" spans="1:5" s="421" customFormat="1" x14ac:dyDescent="0.2">
      <c r="A97" s="588">
        <v>3</v>
      </c>
      <c r="B97" s="587" t="s">
        <v>779</v>
      </c>
      <c r="C97" s="599">
        <f t="shared" si="10"/>
        <v>7.1898420107677177E-2</v>
      </c>
      <c r="D97" s="599">
        <f t="shared" si="10"/>
        <v>7.8052320722900512E-2</v>
      </c>
      <c r="E97" s="599">
        <f t="shared" si="11"/>
        <v>6.1539006152233344E-3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7.1898420107677177E-2</v>
      </c>
      <c r="D98" s="599">
        <f t="shared" si="10"/>
        <v>7.8052320722900512E-2</v>
      </c>
      <c r="E98" s="599">
        <f t="shared" si="11"/>
        <v>6.1539006152233344E-3</v>
      </c>
    </row>
    <row r="99" spans="1:5" s="421" customFormat="1" x14ac:dyDescent="0.2">
      <c r="A99" s="588">
        <v>5</v>
      </c>
      <c r="B99" s="587" t="s">
        <v>745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1.7732320302132995E-3</v>
      </c>
      <c r="D100" s="599">
        <f t="shared" si="10"/>
        <v>1.7208577625493209E-3</v>
      </c>
      <c r="E100" s="599">
        <f t="shared" si="11"/>
        <v>-5.2374267663978652E-5</v>
      </c>
    </row>
    <row r="101" spans="1:5" s="421" customFormat="1" x14ac:dyDescent="0.2">
      <c r="A101" s="588">
        <v>7</v>
      </c>
      <c r="B101" s="587" t="s">
        <v>760</v>
      </c>
      <c r="C101" s="599">
        <f t="shared" si="10"/>
        <v>1.5443816528291522E-2</v>
      </c>
      <c r="D101" s="599">
        <f t="shared" si="10"/>
        <v>1.3010476326317558E-2</v>
      </c>
      <c r="E101" s="599">
        <f t="shared" si="11"/>
        <v>-2.4333402019739644E-3</v>
      </c>
    </row>
    <row r="102" spans="1:5" s="421" customFormat="1" x14ac:dyDescent="0.2">
      <c r="A102" s="588"/>
      <c r="B102" s="592" t="s">
        <v>801</v>
      </c>
      <c r="C102" s="600">
        <f>SUM(C96+C97+C100)</f>
        <v>0.20059710994975927</v>
      </c>
      <c r="D102" s="600">
        <f>SUM(D96+D97+D100)</f>
        <v>0.21508907448975217</v>
      </c>
      <c r="E102" s="601">
        <f t="shared" si="11"/>
        <v>1.4491964539992908E-2</v>
      </c>
    </row>
    <row r="103" spans="1:5" s="421" customFormat="1" x14ac:dyDescent="0.2">
      <c r="A103" s="588"/>
      <c r="B103" s="592" t="s">
        <v>802</v>
      </c>
      <c r="C103" s="600">
        <f>SUM(C95+C102)</f>
        <v>0.35777105892538907</v>
      </c>
      <c r="D103" s="600">
        <f>SUM(D95+D102)</f>
        <v>0.37212406416536437</v>
      </c>
      <c r="E103" s="601">
        <f t="shared" si="11"/>
        <v>1.4353005239975292E-2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803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804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658</v>
      </c>
      <c r="C109" s="599">
        <f t="shared" ref="C109:D115" si="12">IF(C$77=0,0,C47/C$77)</f>
        <v>0.302795213858503</v>
      </c>
      <c r="D109" s="599">
        <f t="shared" si="12"/>
        <v>0.27599681622548178</v>
      </c>
      <c r="E109" s="599">
        <f t="shared" ref="E109:E117" si="13">D109-C109</f>
        <v>-2.679839763302122E-2</v>
      </c>
    </row>
    <row r="110" spans="1:5" s="421" customFormat="1" x14ac:dyDescent="0.2">
      <c r="A110" s="588">
        <v>2</v>
      </c>
      <c r="B110" s="587" t="s">
        <v>637</v>
      </c>
      <c r="C110" s="599">
        <f t="shared" si="12"/>
        <v>0.2903670452172617</v>
      </c>
      <c r="D110" s="599">
        <f t="shared" si="12"/>
        <v>0.30936760437482519</v>
      </c>
      <c r="E110" s="599">
        <f t="shared" si="13"/>
        <v>1.900055915756349E-2</v>
      </c>
    </row>
    <row r="111" spans="1:5" s="421" customFormat="1" x14ac:dyDescent="0.2">
      <c r="A111" s="588">
        <v>3</v>
      </c>
      <c r="B111" s="587" t="s">
        <v>779</v>
      </c>
      <c r="C111" s="599">
        <f t="shared" si="12"/>
        <v>7.969549435363886E-2</v>
      </c>
      <c r="D111" s="599">
        <f t="shared" si="12"/>
        <v>7.9089107790875371E-2</v>
      </c>
      <c r="E111" s="599">
        <f t="shared" si="13"/>
        <v>-6.0638656276348901E-4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7.969549435363886E-2</v>
      </c>
      <c r="D112" s="599">
        <f t="shared" si="12"/>
        <v>7.9089107790875371E-2</v>
      </c>
      <c r="E112" s="599">
        <f t="shared" si="13"/>
        <v>-6.0638656276348901E-4</v>
      </c>
    </row>
    <row r="113" spans="1:5" s="421" customFormat="1" x14ac:dyDescent="0.2">
      <c r="A113" s="588">
        <v>5</v>
      </c>
      <c r="B113" s="587" t="s">
        <v>745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2.6630514277198479E-3</v>
      </c>
      <c r="D114" s="599">
        <f t="shared" si="12"/>
        <v>3.813726278391715E-3</v>
      </c>
      <c r="E114" s="599">
        <f t="shared" si="13"/>
        <v>1.1506748506718671E-3</v>
      </c>
    </row>
    <row r="115" spans="1:5" s="421" customFormat="1" x14ac:dyDescent="0.2">
      <c r="A115" s="588">
        <v>7</v>
      </c>
      <c r="B115" s="587" t="s">
        <v>760</v>
      </c>
      <c r="C115" s="599">
        <f t="shared" si="12"/>
        <v>2.7122061666229211E-4</v>
      </c>
      <c r="D115" s="599">
        <f t="shared" si="12"/>
        <v>4.1102486317503797E-4</v>
      </c>
      <c r="E115" s="599">
        <f t="shared" si="13"/>
        <v>1.3980424651274586E-4</v>
      </c>
    </row>
    <row r="116" spans="1:5" s="421" customFormat="1" x14ac:dyDescent="0.2">
      <c r="A116" s="588"/>
      <c r="B116" s="592" t="s">
        <v>798</v>
      </c>
      <c r="C116" s="600">
        <f>SUM(C110+C111+C114)</f>
        <v>0.3727255909986204</v>
      </c>
      <c r="D116" s="600">
        <f>SUM(D110+D111+D114)</f>
        <v>0.39227043844409226</v>
      </c>
      <c r="E116" s="601">
        <f t="shared" si="13"/>
        <v>1.9544847445471858E-2</v>
      </c>
    </row>
    <row r="117" spans="1:5" s="421" customFormat="1" x14ac:dyDescent="0.2">
      <c r="A117" s="588"/>
      <c r="B117" s="592" t="s">
        <v>799</v>
      </c>
      <c r="C117" s="600">
        <f>SUM(C109+C116)</f>
        <v>0.6755208048571234</v>
      </c>
      <c r="D117" s="600">
        <f>SUM(D109+D116)</f>
        <v>0.66826725466957404</v>
      </c>
      <c r="E117" s="601">
        <f t="shared" si="13"/>
        <v>-7.2535501875493624E-3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805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658</v>
      </c>
      <c r="C121" s="599">
        <f t="shared" ref="C121:D127" si="14">IF(C$77=0,0,C58/C$77)</f>
        <v>0.18932230266536634</v>
      </c>
      <c r="D121" s="599">
        <f t="shared" si="14"/>
        <v>0.18205531555765031</v>
      </c>
      <c r="E121" s="599">
        <f t="shared" ref="E121:E129" si="15">D121-C121</f>
        <v>-7.2669871077160331E-3</v>
      </c>
    </row>
    <row r="122" spans="1:5" s="421" customFormat="1" x14ac:dyDescent="0.2">
      <c r="A122" s="588">
        <v>2</v>
      </c>
      <c r="B122" s="587" t="s">
        <v>637</v>
      </c>
      <c r="C122" s="599">
        <f t="shared" si="14"/>
        <v>9.3653283881718993E-2</v>
      </c>
      <c r="D122" s="599">
        <f t="shared" si="14"/>
        <v>0.10077481668004577</v>
      </c>
      <c r="E122" s="599">
        <f t="shared" si="15"/>
        <v>7.1215327983267795E-3</v>
      </c>
    </row>
    <row r="123" spans="1:5" s="421" customFormat="1" x14ac:dyDescent="0.2">
      <c r="A123" s="588">
        <v>3</v>
      </c>
      <c r="B123" s="587" t="s">
        <v>779</v>
      </c>
      <c r="C123" s="599">
        <f t="shared" si="14"/>
        <v>3.9697137882735829E-2</v>
      </c>
      <c r="D123" s="599">
        <f t="shared" si="14"/>
        <v>4.7672592186930825E-2</v>
      </c>
      <c r="E123" s="599">
        <f t="shared" si="15"/>
        <v>7.9754543041949955E-3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3.9697137882735829E-2</v>
      </c>
      <c r="D124" s="599">
        <f t="shared" si="14"/>
        <v>4.7672592186930825E-2</v>
      </c>
      <c r="E124" s="599">
        <f t="shared" si="15"/>
        <v>7.9754543041949955E-3</v>
      </c>
    </row>
    <row r="125" spans="1:5" s="421" customFormat="1" x14ac:dyDescent="0.2">
      <c r="A125" s="588">
        <v>5</v>
      </c>
      <c r="B125" s="587" t="s">
        <v>745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1.8064707130554547E-3</v>
      </c>
      <c r="D126" s="599">
        <f t="shared" si="14"/>
        <v>1.230020905799032E-3</v>
      </c>
      <c r="E126" s="599">
        <f t="shared" si="15"/>
        <v>-5.7644980725642266E-4</v>
      </c>
    </row>
    <row r="127" spans="1:5" s="421" customFormat="1" x14ac:dyDescent="0.2">
      <c r="A127" s="588">
        <v>7</v>
      </c>
      <c r="B127" s="587" t="s">
        <v>760</v>
      </c>
      <c r="C127" s="599">
        <f t="shared" si="14"/>
        <v>4.1171776856856078E-3</v>
      </c>
      <c r="D127" s="599">
        <f t="shared" si="14"/>
        <v>1.2538270762395484E-3</v>
      </c>
      <c r="E127" s="599">
        <f t="shared" si="15"/>
        <v>-2.8633506094460593E-3</v>
      </c>
    </row>
    <row r="128" spans="1:5" s="421" customFormat="1" x14ac:dyDescent="0.2">
      <c r="A128" s="588"/>
      <c r="B128" s="592" t="s">
        <v>801</v>
      </c>
      <c r="C128" s="600">
        <f>SUM(C122+C123+C126)</f>
        <v>0.13515689247751028</v>
      </c>
      <c r="D128" s="600">
        <f>SUM(D122+D123+D126)</f>
        <v>0.14967742977277565</v>
      </c>
      <c r="E128" s="601">
        <f t="shared" si="15"/>
        <v>1.4520537295265368E-2</v>
      </c>
    </row>
    <row r="129" spans="1:5" s="421" customFormat="1" x14ac:dyDescent="0.2">
      <c r="A129" s="588"/>
      <c r="B129" s="592" t="s">
        <v>802</v>
      </c>
      <c r="C129" s="600">
        <f>SUM(C121+C128)</f>
        <v>0.3244791951428766</v>
      </c>
      <c r="D129" s="600">
        <f>SUM(D121+D128)</f>
        <v>0.33173274533042596</v>
      </c>
      <c r="E129" s="601">
        <f t="shared" si="15"/>
        <v>7.2535501875493624E-3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806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807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808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658</v>
      </c>
      <c r="C137" s="606">
        <v>14784</v>
      </c>
      <c r="D137" s="606">
        <v>14754</v>
      </c>
      <c r="E137" s="607">
        <f t="shared" ref="E137:E145" si="16">D137-C137</f>
        <v>-30</v>
      </c>
    </row>
    <row r="138" spans="1:5" s="421" customFormat="1" x14ac:dyDescent="0.2">
      <c r="A138" s="588">
        <v>2</v>
      </c>
      <c r="B138" s="587" t="s">
        <v>637</v>
      </c>
      <c r="C138" s="606">
        <v>17247</v>
      </c>
      <c r="D138" s="606">
        <v>17602</v>
      </c>
      <c r="E138" s="607">
        <f t="shared" si="16"/>
        <v>355</v>
      </c>
    </row>
    <row r="139" spans="1:5" s="421" customFormat="1" x14ac:dyDescent="0.2">
      <c r="A139" s="588">
        <v>3</v>
      </c>
      <c r="B139" s="587" t="s">
        <v>779</v>
      </c>
      <c r="C139" s="606">
        <f>C140+C141</f>
        <v>9578</v>
      </c>
      <c r="D139" s="606">
        <f>D140+D141</f>
        <v>10142</v>
      </c>
      <c r="E139" s="607">
        <f t="shared" si="16"/>
        <v>564</v>
      </c>
    </row>
    <row r="140" spans="1:5" s="421" customFormat="1" x14ac:dyDescent="0.2">
      <c r="A140" s="588">
        <v>4</v>
      </c>
      <c r="B140" s="587" t="s">
        <v>115</v>
      </c>
      <c r="C140" s="606">
        <v>9578</v>
      </c>
      <c r="D140" s="606">
        <v>10142</v>
      </c>
      <c r="E140" s="607">
        <f t="shared" si="16"/>
        <v>564</v>
      </c>
    </row>
    <row r="141" spans="1:5" s="421" customFormat="1" x14ac:dyDescent="0.2">
      <c r="A141" s="588">
        <v>5</v>
      </c>
      <c r="B141" s="587" t="s">
        <v>745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200</v>
      </c>
      <c r="D142" s="606">
        <v>257</v>
      </c>
      <c r="E142" s="607">
        <f t="shared" si="16"/>
        <v>57</v>
      </c>
    </row>
    <row r="143" spans="1:5" s="421" customFormat="1" x14ac:dyDescent="0.2">
      <c r="A143" s="588">
        <v>7</v>
      </c>
      <c r="B143" s="587" t="s">
        <v>760</v>
      </c>
      <c r="C143" s="606">
        <v>357</v>
      </c>
      <c r="D143" s="606">
        <v>549</v>
      </c>
      <c r="E143" s="607">
        <f t="shared" si="16"/>
        <v>192</v>
      </c>
    </row>
    <row r="144" spans="1:5" s="421" customFormat="1" x14ac:dyDescent="0.2">
      <c r="A144" s="588"/>
      <c r="B144" s="592" t="s">
        <v>809</v>
      </c>
      <c r="C144" s="608">
        <f>SUM(C138+C139+C142)</f>
        <v>27025</v>
      </c>
      <c r="D144" s="608">
        <f>SUM(D138+D139+D142)</f>
        <v>28001</v>
      </c>
      <c r="E144" s="609">
        <f t="shared" si="16"/>
        <v>976</v>
      </c>
    </row>
    <row r="145" spans="1:5" s="421" customFormat="1" x14ac:dyDescent="0.2">
      <c r="A145" s="588"/>
      <c r="B145" s="592" t="s">
        <v>138</v>
      </c>
      <c r="C145" s="608">
        <f>SUM(C137+C144)</f>
        <v>41809</v>
      </c>
      <c r="D145" s="608">
        <f>SUM(D137+D144)</f>
        <v>42755</v>
      </c>
      <c r="E145" s="609">
        <f t="shared" si="16"/>
        <v>946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658</v>
      </c>
      <c r="C149" s="610">
        <v>68328</v>
      </c>
      <c r="D149" s="610">
        <v>65670</v>
      </c>
      <c r="E149" s="607">
        <f t="shared" ref="E149:E157" si="17">D149-C149</f>
        <v>-2658</v>
      </c>
    </row>
    <row r="150" spans="1:5" s="421" customFormat="1" x14ac:dyDescent="0.2">
      <c r="A150" s="588">
        <v>2</v>
      </c>
      <c r="B150" s="587" t="s">
        <v>637</v>
      </c>
      <c r="C150" s="610">
        <v>112217</v>
      </c>
      <c r="D150" s="610">
        <v>112266</v>
      </c>
      <c r="E150" s="607">
        <f t="shared" si="17"/>
        <v>49</v>
      </c>
    </row>
    <row r="151" spans="1:5" s="421" customFormat="1" x14ac:dyDescent="0.2">
      <c r="A151" s="588">
        <v>3</v>
      </c>
      <c r="B151" s="587" t="s">
        <v>779</v>
      </c>
      <c r="C151" s="610">
        <f>C152+C153</f>
        <v>53180</v>
      </c>
      <c r="D151" s="610">
        <f>D152+D153</f>
        <v>53701</v>
      </c>
      <c r="E151" s="607">
        <f t="shared" si="17"/>
        <v>521</v>
      </c>
    </row>
    <row r="152" spans="1:5" s="421" customFormat="1" x14ac:dyDescent="0.2">
      <c r="A152" s="588">
        <v>4</v>
      </c>
      <c r="B152" s="587" t="s">
        <v>115</v>
      </c>
      <c r="C152" s="610">
        <v>53180</v>
      </c>
      <c r="D152" s="610">
        <v>53701</v>
      </c>
      <c r="E152" s="607">
        <f t="shared" si="17"/>
        <v>521</v>
      </c>
    </row>
    <row r="153" spans="1:5" s="421" customFormat="1" x14ac:dyDescent="0.2">
      <c r="A153" s="588">
        <v>5</v>
      </c>
      <c r="B153" s="587" t="s">
        <v>745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1287</v>
      </c>
      <c r="D154" s="610">
        <v>1603</v>
      </c>
      <c r="E154" s="607">
        <f t="shared" si="17"/>
        <v>316</v>
      </c>
    </row>
    <row r="155" spans="1:5" s="421" customFormat="1" x14ac:dyDescent="0.2">
      <c r="A155" s="588">
        <v>7</v>
      </c>
      <c r="B155" s="587" t="s">
        <v>760</v>
      </c>
      <c r="C155" s="610">
        <v>1576</v>
      </c>
      <c r="D155" s="610">
        <v>2813</v>
      </c>
      <c r="E155" s="607">
        <f t="shared" si="17"/>
        <v>1237</v>
      </c>
    </row>
    <row r="156" spans="1:5" s="421" customFormat="1" x14ac:dyDescent="0.2">
      <c r="A156" s="588"/>
      <c r="B156" s="592" t="s">
        <v>810</v>
      </c>
      <c r="C156" s="608">
        <f>SUM(C150+C151+C154)</f>
        <v>166684</v>
      </c>
      <c r="D156" s="608">
        <f>SUM(D150+D151+D154)</f>
        <v>167570</v>
      </c>
      <c r="E156" s="609">
        <f t="shared" si="17"/>
        <v>886</v>
      </c>
    </row>
    <row r="157" spans="1:5" s="421" customFormat="1" x14ac:dyDescent="0.2">
      <c r="A157" s="588"/>
      <c r="B157" s="592" t="s">
        <v>140</v>
      </c>
      <c r="C157" s="608">
        <f>SUM(C149+C156)</f>
        <v>235012</v>
      </c>
      <c r="D157" s="608">
        <f>SUM(D149+D156)</f>
        <v>233240</v>
      </c>
      <c r="E157" s="609">
        <f t="shared" si="17"/>
        <v>-1772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811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658</v>
      </c>
      <c r="C161" s="612">
        <f t="shared" ref="C161:D169" si="18">IF(C137=0,0,C149/C137)</f>
        <v>4.6217532467532472</v>
      </c>
      <c r="D161" s="612">
        <f t="shared" si="18"/>
        <v>4.4509963399755996</v>
      </c>
      <c r="E161" s="613">
        <f t="shared" ref="E161:E169" si="19">D161-C161</f>
        <v>-0.17075690677764754</v>
      </c>
    </row>
    <row r="162" spans="1:5" s="421" customFormat="1" x14ac:dyDescent="0.2">
      <c r="A162" s="588">
        <v>2</v>
      </c>
      <c r="B162" s="587" t="s">
        <v>637</v>
      </c>
      <c r="C162" s="612">
        <f t="shared" si="18"/>
        <v>6.506464892445063</v>
      </c>
      <c r="D162" s="612">
        <f t="shared" si="18"/>
        <v>6.3780252244063176</v>
      </c>
      <c r="E162" s="613">
        <f t="shared" si="19"/>
        <v>-0.1284396680387454</v>
      </c>
    </row>
    <row r="163" spans="1:5" s="421" customFormat="1" x14ac:dyDescent="0.2">
      <c r="A163" s="588">
        <v>3</v>
      </c>
      <c r="B163" s="587" t="s">
        <v>779</v>
      </c>
      <c r="C163" s="612">
        <f t="shared" si="18"/>
        <v>5.5523073710586761</v>
      </c>
      <c r="D163" s="612">
        <f t="shared" si="18"/>
        <v>5.2949122461053051</v>
      </c>
      <c r="E163" s="613">
        <f t="shared" si="19"/>
        <v>-0.25739512495337102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5.5523073710586761</v>
      </c>
      <c r="D164" s="612">
        <f t="shared" si="18"/>
        <v>5.2949122461053051</v>
      </c>
      <c r="E164" s="613">
        <f t="shared" si="19"/>
        <v>-0.25739512495337102</v>
      </c>
    </row>
    <row r="165" spans="1:5" s="421" customFormat="1" x14ac:dyDescent="0.2">
      <c r="A165" s="588">
        <v>5</v>
      </c>
      <c r="B165" s="587" t="s">
        <v>745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6.4349999999999996</v>
      </c>
      <c r="D166" s="612">
        <f t="shared" si="18"/>
        <v>6.2373540856031129</v>
      </c>
      <c r="E166" s="613">
        <f t="shared" si="19"/>
        <v>-0.19764591439688672</v>
      </c>
    </row>
    <row r="167" spans="1:5" s="421" customFormat="1" x14ac:dyDescent="0.2">
      <c r="A167" s="588">
        <v>7</v>
      </c>
      <c r="B167" s="587" t="s">
        <v>760</v>
      </c>
      <c r="C167" s="612">
        <f t="shared" si="18"/>
        <v>4.4145658263305325</v>
      </c>
      <c r="D167" s="612">
        <f t="shared" si="18"/>
        <v>5.1238615664845177</v>
      </c>
      <c r="E167" s="613">
        <f t="shared" si="19"/>
        <v>0.70929574015398522</v>
      </c>
    </row>
    <row r="168" spans="1:5" s="421" customFormat="1" x14ac:dyDescent="0.2">
      <c r="A168" s="588"/>
      <c r="B168" s="592" t="s">
        <v>812</v>
      </c>
      <c r="C168" s="614">
        <f t="shared" si="18"/>
        <v>6.1677705827937093</v>
      </c>
      <c r="D168" s="614">
        <f t="shared" si="18"/>
        <v>5.9844291275311594</v>
      </c>
      <c r="E168" s="615">
        <f t="shared" si="19"/>
        <v>-0.18334145526254986</v>
      </c>
    </row>
    <row r="169" spans="1:5" s="421" customFormat="1" x14ac:dyDescent="0.2">
      <c r="A169" s="588"/>
      <c r="B169" s="592" t="s">
        <v>746</v>
      </c>
      <c r="C169" s="614">
        <f t="shared" si="18"/>
        <v>5.6210863689636206</v>
      </c>
      <c r="D169" s="614">
        <f t="shared" si="18"/>
        <v>5.4552683896620282</v>
      </c>
      <c r="E169" s="615">
        <f t="shared" si="19"/>
        <v>-0.16581797930159237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813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658</v>
      </c>
      <c r="C173" s="617">
        <f t="shared" ref="C173:D181" si="20">IF(C137=0,0,C203/C137)</f>
        <v>1.45099</v>
      </c>
      <c r="D173" s="617">
        <f t="shared" si="20"/>
        <v>1.4782999999999999</v>
      </c>
      <c r="E173" s="618">
        <f t="shared" ref="E173:E181" si="21">D173-C173</f>
        <v>2.7309999999999945E-2</v>
      </c>
    </row>
    <row r="174" spans="1:5" s="421" customFormat="1" x14ac:dyDescent="0.2">
      <c r="A174" s="588">
        <v>2</v>
      </c>
      <c r="B174" s="587" t="s">
        <v>637</v>
      </c>
      <c r="C174" s="617">
        <f t="shared" si="20"/>
        <v>1.8692200000000001</v>
      </c>
      <c r="D174" s="617">
        <f t="shared" si="20"/>
        <v>1.86389</v>
      </c>
      <c r="E174" s="618">
        <f t="shared" si="21"/>
        <v>-5.3300000000000569E-3</v>
      </c>
    </row>
    <row r="175" spans="1:5" s="421" customFormat="1" x14ac:dyDescent="0.2">
      <c r="A175" s="588">
        <v>3</v>
      </c>
      <c r="B175" s="587" t="s">
        <v>779</v>
      </c>
      <c r="C175" s="617">
        <f t="shared" si="20"/>
        <v>1.23159</v>
      </c>
      <c r="D175" s="617">
        <f t="shared" si="20"/>
        <v>1.2605200000000001</v>
      </c>
      <c r="E175" s="618">
        <f t="shared" si="21"/>
        <v>2.8930000000000122E-2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1.23159</v>
      </c>
      <c r="D176" s="617">
        <f t="shared" si="20"/>
        <v>1.2605200000000001</v>
      </c>
      <c r="E176" s="618">
        <f t="shared" si="21"/>
        <v>2.8930000000000122E-2</v>
      </c>
    </row>
    <row r="177" spans="1:5" s="421" customFormat="1" x14ac:dyDescent="0.2">
      <c r="A177" s="588">
        <v>5</v>
      </c>
      <c r="B177" s="587" t="s">
        <v>745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1.1076299999999999</v>
      </c>
      <c r="D178" s="617">
        <f t="shared" si="20"/>
        <v>1.29735</v>
      </c>
      <c r="E178" s="618">
        <f t="shared" si="21"/>
        <v>0.18972000000000011</v>
      </c>
    </row>
    <row r="179" spans="1:5" s="421" customFormat="1" x14ac:dyDescent="0.2">
      <c r="A179" s="588">
        <v>7</v>
      </c>
      <c r="B179" s="587" t="s">
        <v>760</v>
      </c>
      <c r="C179" s="617">
        <f t="shared" si="20"/>
        <v>1.3452500000000001</v>
      </c>
      <c r="D179" s="617">
        <f t="shared" si="20"/>
        <v>1.4432499999999999</v>
      </c>
      <c r="E179" s="618">
        <f t="shared" si="21"/>
        <v>9.7999999999999865E-2</v>
      </c>
    </row>
    <row r="180" spans="1:5" s="421" customFormat="1" x14ac:dyDescent="0.2">
      <c r="A180" s="588"/>
      <c r="B180" s="592" t="s">
        <v>814</v>
      </c>
      <c r="C180" s="619">
        <f t="shared" si="20"/>
        <v>1.6375997172987973</v>
      </c>
      <c r="D180" s="619">
        <f t="shared" si="20"/>
        <v>1.6401487293310952</v>
      </c>
      <c r="E180" s="620">
        <f t="shared" si="21"/>
        <v>2.5490120322979593E-3</v>
      </c>
    </row>
    <row r="181" spans="1:5" s="421" customFormat="1" x14ac:dyDescent="0.2">
      <c r="A181" s="588"/>
      <c r="B181" s="592" t="s">
        <v>725</v>
      </c>
      <c r="C181" s="619">
        <f t="shared" si="20"/>
        <v>1.571613014422732</v>
      </c>
      <c r="D181" s="619">
        <f t="shared" si="20"/>
        <v>1.5842975738510117</v>
      </c>
      <c r="E181" s="620">
        <f t="shared" si="21"/>
        <v>1.2684559428279618E-2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815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816</v>
      </c>
      <c r="C185" s="589">
        <v>774051584</v>
      </c>
      <c r="D185" s="589">
        <v>755770258</v>
      </c>
      <c r="E185" s="590">
        <f>D185-C185</f>
        <v>-18281326</v>
      </c>
    </row>
    <row r="186" spans="1:5" s="421" customFormat="1" ht="25.5" x14ac:dyDescent="0.2">
      <c r="A186" s="588">
        <v>2</v>
      </c>
      <c r="B186" s="587" t="s">
        <v>817</v>
      </c>
      <c r="C186" s="589">
        <v>437029600</v>
      </c>
      <c r="D186" s="589">
        <v>414620694</v>
      </c>
      <c r="E186" s="590">
        <f>D186-C186</f>
        <v>-22408906</v>
      </c>
    </row>
    <row r="187" spans="1:5" s="421" customFormat="1" x14ac:dyDescent="0.2">
      <c r="A187" s="588"/>
      <c r="B187" s="587" t="s">
        <v>670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749</v>
      </c>
      <c r="C188" s="622">
        <f>+C185-C186</f>
        <v>337021984</v>
      </c>
      <c r="D188" s="622">
        <f>+D185-D186</f>
        <v>341149564</v>
      </c>
      <c r="E188" s="590">
        <f t="shared" ref="E188:E197" si="22">D188-C188</f>
        <v>4127580</v>
      </c>
    </row>
    <row r="189" spans="1:5" s="421" customFormat="1" x14ac:dyDescent="0.2">
      <c r="A189" s="588">
        <v>4</v>
      </c>
      <c r="B189" s="587" t="s">
        <v>672</v>
      </c>
      <c r="C189" s="623">
        <f>IF(C185=0,0,+C188/C185)</f>
        <v>0.43539990223700648</v>
      </c>
      <c r="D189" s="623">
        <f>IF(D185=0,0,+D188/D185)</f>
        <v>0.45139321161272794</v>
      </c>
      <c r="E189" s="599">
        <f t="shared" si="22"/>
        <v>1.5993309375721465E-2</v>
      </c>
    </row>
    <row r="190" spans="1:5" s="421" customFormat="1" x14ac:dyDescent="0.2">
      <c r="A190" s="588">
        <v>5</v>
      </c>
      <c r="B190" s="587" t="s">
        <v>764</v>
      </c>
      <c r="C190" s="589">
        <v>30498596</v>
      </c>
      <c r="D190" s="589">
        <v>25898380</v>
      </c>
      <c r="E190" s="622">
        <f t="shared" si="22"/>
        <v>-4600216</v>
      </c>
    </row>
    <row r="191" spans="1:5" s="421" customFormat="1" x14ac:dyDescent="0.2">
      <c r="A191" s="588">
        <v>6</v>
      </c>
      <c r="B191" s="587" t="s">
        <v>750</v>
      </c>
      <c r="C191" s="589">
        <v>16324509</v>
      </c>
      <c r="D191" s="589">
        <v>14806678</v>
      </c>
      <c r="E191" s="622">
        <f t="shared" si="22"/>
        <v>-1517831</v>
      </c>
    </row>
    <row r="192" spans="1:5" ht="29.25" x14ac:dyDescent="0.2">
      <c r="A192" s="588">
        <v>7</v>
      </c>
      <c r="B192" s="624" t="s">
        <v>818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819</v>
      </c>
      <c r="C193" s="589">
        <v>26543780</v>
      </c>
      <c r="D193" s="589">
        <v>30609202</v>
      </c>
      <c r="E193" s="622">
        <f t="shared" si="22"/>
        <v>4065422</v>
      </c>
    </row>
    <row r="194" spans="1:5" s="421" customFormat="1" x14ac:dyDescent="0.2">
      <c r="A194" s="588">
        <v>9</v>
      </c>
      <c r="B194" s="587" t="s">
        <v>820</v>
      </c>
      <c r="C194" s="589">
        <v>17467613</v>
      </c>
      <c r="D194" s="589">
        <v>24640388</v>
      </c>
      <c r="E194" s="622">
        <f t="shared" si="22"/>
        <v>7172775</v>
      </c>
    </row>
    <row r="195" spans="1:5" s="421" customFormat="1" x14ac:dyDescent="0.2">
      <c r="A195" s="588">
        <v>10</v>
      </c>
      <c r="B195" s="587" t="s">
        <v>821</v>
      </c>
      <c r="C195" s="589">
        <f>+C193+C194</f>
        <v>44011393</v>
      </c>
      <c r="D195" s="589">
        <f>+D193+D194</f>
        <v>55249590</v>
      </c>
      <c r="E195" s="625">
        <f t="shared" si="22"/>
        <v>11238197</v>
      </c>
    </row>
    <row r="196" spans="1:5" s="421" customFormat="1" x14ac:dyDescent="0.2">
      <c r="A196" s="588">
        <v>11</v>
      </c>
      <c r="B196" s="587" t="s">
        <v>822</v>
      </c>
      <c r="C196" s="589">
        <v>159284016</v>
      </c>
      <c r="D196" s="589">
        <v>74980429</v>
      </c>
      <c r="E196" s="622">
        <f t="shared" si="22"/>
        <v>-84303587</v>
      </c>
    </row>
    <row r="197" spans="1:5" s="421" customFormat="1" x14ac:dyDescent="0.2">
      <c r="A197" s="588">
        <v>12</v>
      </c>
      <c r="B197" s="587" t="s">
        <v>712</v>
      </c>
      <c r="C197" s="589">
        <v>998381093</v>
      </c>
      <c r="D197" s="589">
        <v>1022794910</v>
      </c>
      <c r="E197" s="622">
        <f t="shared" si="22"/>
        <v>24413817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823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824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658</v>
      </c>
      <c r="C203" s="629">
        <v>21451.436160000001</v>
      </c>
      <c r="D203" s="629">
        <v>21810.838199999998</v>
      </c>
      <c r="E203" s="630">
        <f t="shared" ref="E203:E211" si="23">D203-C203</f>
        <v>359.40203999999721</v>
      </c>
    </row>
    <row r="204" spans="1:5" s="421" customFormat="1" x14ac:dyDescent="0.2">
      <c r="A204" s="588">
        <v>2</v>
      </c>
      <c r="B204" s="587" t="s">
        <v>637</v>
      </c>
      <c r="C204" s="629">
        <v>32238.43734</v>
      </c>
      <c r="D204" s="629">
        <v>32808.191780000001</v>
      </c>
      <c r="E204" s="630">
        <f t="shared" si="23"/>
        <v>569.75444000000061</v>
      </c>
    </row>
    <row r="205" spans="1:5" s="421" customFormat="1" x14ac:dyDescent="0.2">
      <c r="A205" s="588">
        <v>3</v>
      </c>
      <c r="B205" s="587" t="s">
        <v>779</v>
      </c>
      <c r="C205" s="629">
        <f>C206+C207</f>
        <v>11796.169019999999</v>
      </c>
      <c r="D205" s="629">
        <f>D206+D207</f>
        <v>12784.193840000002</v>
      </c>
      <c r="E205" s="630">
        <f t="shared" si="23"/>
        <v>988.02482000000236</v>
      </c>
    </row>
    <row r="206" spans="1:5" s="421" customFormat="1" x14ac:dyDescent="0.2">
      <c r="A206" s="588">
        <v>4</v>
      </c>
      <c r="B206" s="587" t="s">
        <v>115</v>
      </c>
      <c r="C206" s="629">
        <v>11796.169019999999</v>
      </c>
      <c r="D206" s="629">
        <v>12784.193840000002</v>
      </c>
      <c r="E206" s="630">
        <f t="shared" si="23"/>
        <v>988.02482000000236</v>
      </c>
    </row>
    <row r="207" spans="1:5" s="421" customFormat="1" x14ac:dyDescent="0.2">
      <c r="A207" s="588">
        <v>5</v>
      </c>
      <c r="B207" s="587" t="s">
        <v>745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221.52599999999998</v>
      </c>
      <c r="D208" s="629">
        <v>333.41895</v>
      </c>
      <c r="E208" s="630">
        <f t="shared" si="23"/>
        <v>111.89295000000001</v>
      </c>
    </row>
    <row r="209" spans="1:5" s="421" customFormat="1" x14ac:dyDescent="0.2">
      <c r="A209" s="588">
        <v>7</v>
      </c>
      <c r="B209" s="587" t="s">
        <v>760</v>
      </c>
      <c r="C209" s="629">
        <v>480.25425000000001</v>
      </c>
      <c r="D209" s="629">
        <v>792.34424999999999</v>
      </c>
      <c r="E209" s="630">
        <f t="shared" si="23"/>
        <v>312.08999999999997</v>
      </c>
    </row>
    <row r="210" spans="1:5" s="421" customFormat="1" x14ac:dyDescent="0.2">
      <c r="A210" s="588"/>
      <c r="B210" s="592" t="s">
        <v>825</v>
      </c>
      <c r="C210" s="631">
        <f>C204+C205+C208</f>
        <v>44256.132359999996</v>
      </c>
      <c r="D210" s="631">
        <f>D204+D205+D208</f>
        <v>45925.80457</v>
      </c>
      <c r="E210" s="632">
        <f t="shared" si="23"/>
        <v>1669.6722100000043</v>
      </c>
    </row>
    <row r="211" spans="1:5" s="421" customFormat="1" x14ac:dyDescent="0.2">
      <c r="A211" s="588"/>
      <c r="B211" s="592" t="s">
        <v>726</v>
      </c>
      <c r="C211" s="631">
        <f>C210+C203</f>
        <v>65707.568520000001</v>
      </c>
      <c r="D211" s="631">
        <f>D210+D203</f>
        <v>67736.642770000006</v>
      </c>
      <c r="E211" s="632">
        <f t="shared" si="23"/>
        <v>2029.0742500000051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826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658</v>
      </c>
      <c r="C215" s="633">
        <f>IF(C14*C137=0,0,C25/C14*C137)</f>
        <v>11982.498351735374</v>
      </c>
      <c r="D215" s="633">
        <f>IF(D14*D137=0,0,D25/D14*D137)</f>
        <v>12507.381130770791</v>
      </c>
      <c r="E215" s="633">
        <f t="shared" ref="E215:E223" si="24">D215-C215</f>
        <v>524.88277903541712</v>
      </c>
    </row>
    <row r="216" spans="1:5" s="421" customFormat="1" x14ac:dyDescent="0.2">
      <c r="A216" s="588">
        <v>2</v>
      </c>
      <c r="B216" s="587" t="s">
        <v>637</v>
      </c>
      <c r="C216" s="633">
        <f>IF(C15*C138=0,0,C26/C15*C138)</f>
        <v>6687.5304734517085</v>
      </c>
      <c r="D216" s="633">
        <f>IF(D15*D138=0,0,D26/D15*D138)</f>
        <v>7425.2291108653981</v>
      </c>
      <c r="E216" s="633">
        <f t="shared" si="24"/>
        <v>737.69863741368954</v>
      </c>
    </row>
    <row r="217" spans="1:5" s="421" customFormat="1" x14ac:dyDescent="0.2">
      <c r="A217" s="588">
        <v>3</v>
      </c>
      <c r="B217" s="587" t="s">
        <v>779</v>
      </c>
      <c r="C217" s="633">
        <f>C218+C219</f>
        <v>5839.6451673786969</v>
      </c>
      <c r="D217" s="633">
        <f>D218+D219</f>
        <v>6673.6049049601252</v>
      </c>
      <c r="E217" s="633">
        <f t="shared" si="24"/>
        <v>833.95973758142827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5839.6451673786969</v>
      </c>
      <c r="D218" s="633">
        <f t="shared" si="25"/>
        <v>6673.6049049601252</v>
      </c>
      <c r="E218" s="633">
        <f t="shared" si="24"/>
        <v>833.95973758142827</v>
      </c>
    </row>
    <row r="219" spans="1:5" s="421" customFormat="1" x14ac:dyDescent="0.2">
      <c r="A219" s="588">
        <v>5</v>
      </c>
      <c r="B219" s="587" t="s">
        <v>745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116.49785481608839</v>
      </c>
      <c r="D220" s="633">
        <f t="shared" si="25"/>
        <v>136.46251080788821</v>
      </c>
      <c r="E220" s="633">
        <f t="shared" si="24"/>
        <v>19.964655991799816</v>
      </c>
    </row>
    <row r="221" spans="1:5" s="421" customFormat="1" x14ac:dyDescent="0.2">
      <c r="A221" s="588">
        <v>7</v>
      </c>
      <c r="B221" s="587" t="s">
        <v>760</v>
      </c>
      <c r="C221" s="633">
        <f t="shared" si="25"/>
        <v>1221.6815858324699</v>
      </c>
      <c r="D221" s="633">
        <f t="shared" si="25"/>
        <v>797.23127080811935</v>
      </c>
      <c r="E221" s="633">
        <f t="shared" si="24"/>
        <v>-424.45031502435052</v>
      </c>
    </row>
    <row r="222" spans="1:5" s="421" customFormat="1" x14ac:dyDescent="0.2">
      <c r="A222" s="588"/>
      <c r="B222" s="592" t="s">
        <v>827</v>
      </c>
      <c r="C222" s="634">
        <f>C216+C218+C219+C220</f>
        <v>12643.673495646495</v>
      </c>
      <c r="D222" s="634">
        <f>D216+D218+D219+D220</f>
        <v>14235.296526633412</v>
      </c>
      <c r="E222" s="634">
        <f t="shared" si="24"/>
        <v>1591.623030986917</v>
      </c>
    </row>
    <row r="223" spans="1:5" s="421" customFormat="1" x14ac:dyDescent="0.2">
      <c r="A223" s="588"/>
      <c r="B223" s="592" t="s">
        <v>828</v>
      </c>
      <c r="C223" s="634">
        <f>C215+C222</f>
        <v>24626.171847381869</v>
      </c>
      <c r="D223" s="634">
        <f>D215+D222</f>
        <v>26742.677657404201</v>
      </c>
      <c r="E223" s="634">
        <f t="shared" si="24"/>
        <v>2116.5058100223323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829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658</v>
      </c>
      <c r="C227" s="636">
        <f t="shared" ref="C227:D235" si="26">IF(C203=0,0,C47/C203)</f>
        <v>13262.298052122585</v>
      </c>
      <c r="D227" s="636">
        <f t="shared" si="26"/>
        <v>13094.675609486665</v>
      </c>
      <c r="E227" s="636">
        <f t="shared" ref="E227:E235" si="27">D227-C227</f>
        <v>-167.62244263592038</v>
      </c>
    </row>
    <row r="228" spans="1:5" s="421" customFormat="1" x14ac:dyDescent="0.2">
      <c r="A228" s="588">
        <v>2</v>
      </c>
      <c r="B228" s="587" t="s">
        <v>637</v>
      </c>
      <c r="C228" s="636">
        <f t="shared" si="26"/>
        <v>8462.5158199432753</v>
      </c>
      <c r="D228" s="636">
        <f t="shared" si="26"/>
        <v>9757.8821212316143</v>
      </c>
      <c r="E228" s="636">
        <f t="shared" si="27"/>
        <v>1295.3663012883389</v>
      </c>
    </row>
    <row r="229" spans="1:5" s="421" customFormat="1" x14ac:dyDescent="0.2">
      <c r="A229" s="588">
        <v>3</v>
      </c>
      <c r="B229" s="587" t="s">
        <v>779</v>
      </c>
      <c r="C229" s="636">
        <f t="shared" si="26"/>
        <v>6347.7371232173145</v>
      </c>
      <c r="D229" s="636">
        <f t="shared" si="26"/>
        <v>6401.8627239463067</v>
      </c>
      <c r="E229" s="636">
        <f t="shared" si="27"/>
        <v>54.12560072899214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6347.7371232173145</v>
      </c>
      <c r="D230" s="636">
        <f t="shared" si="26"/>
        <v>6401.8627239463067</v>
      </c>
      <c r="E230" s="636">
        <f t="shared" si="27"/>
        <v>54.12560072899214</v>
      </c>
    </row>
    <row r="231" spans="1:5" s="421" customFormat="1" x14ac:dyDescent="0.2">
      <c r="A231" s="588">
        <v>5</v>
      </c>
      <c r="B231" s="587" t="s">
        <v>745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11294.86380831144</v>
      </c>
      <c r="D232" s="636">
        <f t="shared" si="26"/>
        <v>11836.4718022176</v>
      </c>
      <c r="E232" s="636">
        <f t="shared" si="27"/>
        <v>541.60799390616012</v>
      </c>
    </row>
    <row r="233" spans="1:5" s="421" customFormat="1" x14ac:dyDescent="0.2">
      <c r="A233" s="588">
        <v>7</v>
      </c>
      <c r="B233" s="587" t="s">
        <v>760</v>
      </c>
      <c r="C233" s="636">
        <f t="shared" si="26"/>
        <v>530.61269109018815</v>
      </c>
      <c r="D233" s="636">
        <f t="shared" si="26"/>
        <v>536.80581388708254</v>
      </c>
      <c r="E233" s="636">
        <f t="shared" si="27"/>
        <v>6.1931227968943858</v>
      </c>
    </row>
    <row r="234" spans="1:5" x14ac:dyDescent="0.2">
      <c r="A234" s="588"/>
      <c r="B234" s="592" t="s">
        <v>830</v>
      </c>
      <c r="C234" s="637">
        <f t="shared" si="26"/>
        <v>7913.0134814157545</v>
      </c>
      <c r="D234" s="637">
        <f t="shared" si="26"/>
        <v>8838.770050969626</v>
      </c>
      <c r="E234" s="637">
        <f t="shared" si="27"/>
        <v>925.75656955387149</v>
      </c>
    </row>
    <row r="235" spans="1:5" s="421" customFormat="1" x14ac:dyDescent="0.2">
      <c r="A235" s="588"/>
      <c r="B235" s="592" t="s">
        <v>831</v>
      </c>
      <c r="C235" s="637">
        <f t="shared" si="26"/>
        <v>9659.3851560161183</v>
      </c>
      <c r="D235" s="637">
        <f t="shared" si="26"/>
        <v>10209.148973445646</v>
      </c>
      <c r="E235" s="637">
        <f t="shared" si="27"/>
        <v>549.76381742952799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832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658</v>
      </c>
      <c r="C239" s="636">
        <f t="shared" ref="C239:D247" si="28">IF(C215=0,0,C58/C215)</f>
        <v>14845.011931442357</v>
      </c>
      <c r="D239" s="636">
        <f t="shared" si="28"/>
        <v>15062.602237051193</v>
      </c>
      <c r="E239" s="638">
        <f t="shared" ref="E239:E247" si="29">D239-C239</f>
        <v>217.59030560883548</v>
      </c>
    </row>
    <row r="240" spans="1:5" s="421" customFormat="1" x14ac:dyDescent="0.2">
      <c r="A240" s="588">
        <v>2</v>
      </c>
      <c r="B240" s="587" t="s">
        <v>637</v>
      </c>
      <c r="C240" s="636">
        <f t="shared" si="28"/>
        <v>13157.803220384145</v>
      </c>
      <c r="D240" s="636">
        <f t="shared" si="28"/>
        <v>14044.4645468786</v>
      </c>
      <c r="E240" s="638">
        <f t="shared" si="29"/>
        <v>886.66132649445535</v>
      </c>
    </row>
    <row r="241" spans="1:5" x14ac:dyDescent="0.2">
      <c r="A241" s="588">
        <v>3</v>
      </c>
      <c r="B241" s="587" t="s">
        <v>779</v>
      </c>
      <c r="C241" s="636">
        <f t="shared" si="28"/>
        <v>6387.0289942192394</v>
      </c>
      <c r="D241" s="636">
        <f t="shared" si="28"/>
        <v>7392.1590658347131</v>
      </c>
      <c r="E241" s="638">
        <f t="shared" si="29"/>
        <v>1005.1300716154738</v>
      </c>
    </row>
    <row r="242" spans="1:5" x14ac:dyDescent="0.2">
      <c r="A242" s="588">
        <v>4</v>
      </c>
      <c r="B242" s="587" t="s">
        <v>115</v>
      </c>
      <c r="C242" s="636">
        <f t="shared" si="28"/>
        <v>6387.0289942192394</v>
      </c>
      <c r="D242" s="636">
        <f t="shared" si="28"/>
        <v>7392.1590658347131</v>
      </c>
      <c r="E242" s="638">
        <f t="shared" si="29"/>
        <v>1005.1300716154738</v>
      </c>
    </row>
    <row r="243" spans="1:5" x14ac:dyDescent="0.2">
      <c r="A243" s="588">
        <v>5</v>
      </c>
      <c r="B243" s="587" t="s">
        <v>745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14569.315483786944</v>
      </c>
      <c r="D244" s="636">
        <f t="shared" si="28"/>
        <v>9327.43353807926</v>
      </c>
      <c r="E244" s="638">
        <f t="shared" si="29"/>
        <v>-5241.8819457076843</v>
      </c>
    </row>
    <row r="245" spans="1:5" x14ac:dyDescent="0.2">
      <c r="A245" s="588">
        <v>7</v>
      </c>
      <c r="B245" s="587" t="s">
        <v>760</v>
      </c>
      <c r="C245" s="636">
        <f t="shared" si="28"/>
        <v>3166.4142644534136</v>
      </c>
      <c r="D245" s="636">
        <f t="shared" si="28"/>
        <v>1627.4825731369015</v>
      </c>
      <c r="E245" s="638">
        <f t="shared" si="29"/>
        <v>-1538.9316913165121</v>
      </c>
    </row>
    <row r="246" spans="1:5" ht="25.5" x14ac:dyDescent="0.2">
      <c r="A246" s="588"/>
      <c r="B246" s="592" t="s">
        <v>833</v>
      </c>
      <c r="C246" s="637">
        <f t="shared" si="28"/>
        <v>10043.638586817749</v>
      </c>
      <c r="D246" s="637">
        <f t="shared" si="28"/>
        <v>10880.599551278226</v>
      </c>
      <c r="E246" s="639">
        <f t="shared" si="29"/>
        <v>836.96096446047704</v>
      </c>
    </row>
    <row r="247" spans="1:5" x14ac:dyDescent="0.2">
      <c r="A247" s="588"/>
      <c r="B247" s="592" t="s">
        <v>834</v>
      </c>
      <c r="C247" s="637">
        <f t="shared" si="28"/>
        <v>12379.870484515121</v>
      </c>
      <c r="D247" s="637">
        <f t="shared" si="28"/>
        <v>12836.495746526563</v>
      </c>
      <c r="E247" s="639">
        <f t="shared" si="29"/>
        <v>456.62526201144283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762</v>
      </c>
      <c r="B249" s="626" t="s">
        <v>759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39538918.989236124</v>
      </c>
      <c r="D251" s="622">
        <f>((IF((IF(D15=0,0,D26/D15)*D138)=0,0,D59/(IF(D15=0,0,D26/D15)*D138)))-(IF((IF(D17=0,0,D28/D17)*D140)=0,0,D61/(IF(D17=0,0,D28/D17)*D140))))*(IF(D17=0,0,D28/D17)*D140)</f>
        <v>44394858.487587608</v>
      </c>
      <c r="E251" s="622">
        <f>D251-C251</f>
        <v>4855939.4983514845</v>
      </c>
    </row>
    <row r="252" spans="1:5" x14ac:dyDescent="0.2">
      <c r="A252" s="588">
        <v>2</v>
      </c>
      <c r="B252" s="587" t="s">
        <v>745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760</v>
      </c>
      <c r="C253" s="622">
        <f>IF(C233=0,0,(C228-C233)*C209+IF(C221=0,0,(C240-C245)*C221))</f>
        <v>16015626.092570474</v>
      </c>
      <c r="D253" s="622">
        <f>IF(D233=0,0,(D228-D233)*D209+IF(D221=0,0,(D240-D245)*D221))</f>
        <v>17205473.109463274</v>
      </c>
      <c r="E253" s="622">
        <f>D253-C253</f>
        <v>1189847.0168928001</v>
      </c>
    </row>
    <row r="254" spans="1:5" ht="15" customHeight="1" x14ac:dyDescent="0.2">
      <c r="A254" s="588"/>
      <c r="B254" s="592" t="s">
        <v>761</v>
      </c>
      <c r="C254" s="640">
        <f>+C251+C252+C253</f>
        <v>55554545.0818066</v>
      </c>
      <c r="D254" s="640">
        <f>+D251+D252+D253</f>
        <v>61600331.597050883</v>
      </c>
      <c r="E254" s="640">
        <f>D254-C254</f>
        <v>6045786.5152442828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835</v>
      </c>
      <c r="B256" s="626" t="s">
        <v>836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727</v>
      </c>
      <c r="C258" s="622">
        <f>+C44</f>
        <v>2411937032</v>
      </c>
      <c r="D258" s="625">
        <f>+D44</f>
        <v>2554085582</v>
      </c>
      <c r="E258" s="622">
        <f t="shared" ref="E258:E271" si="30">D258-C258</f>
        <v>142148550</v>
      </c>
    </row>
    <row r="259" spans="1:5" x14ac:dyDescent="0.2">
      <c r="A259" s="588">
        <v>2</v>
      </c>
      <c r="B259" s="587" t="s">
        <v>744</v>
      </c>
      <c r="C259" s="622">
        <f>+(C43-C76)</f>
        <v>1087929942</v>
      </c>
      <c r="D259" s="625">
        <f>+(D43-D76)</f>
        <v>1119064274</v>
      </c>
      <c r="E259" s="622">
        <f t="shared" si="30"/>
        <v>31134332</v>
      </c>
    </row>
    <row r="260" spans="1:5" x14ac:dyDescent="0.2">
      <c r="A260" s="588">
        <v>3</v>
      </c>
      <c r="B260" s="587" t="s">
        <v>748</v>
      </c>
      <c r="C260" s="622">
        <f>C195</f>
        <v>44011393</v>
      </c>
      <c r="D260" s="622">
        <f>D195</f>
        <v>55249590</v>
      </c>
      <c r="E260" s="622">
        <f t="shared" si="30"/>
        <v>11238197</v>
      </c>
    </row>
    <row r="261" spans="1:5" x14ac:dyDescent="0.2">
      <c r="A261" s="588">
        <v>4</v>
      </c>
      <c r="B261" s="587" t="s">
        <v>749</v>
      </c>
      <c r="C261" s="622">
        <f>C188</f>
        <v>337021984</v>
      </c>
      <c r="D261" s="622">
        <f>D188</f>
        <v>341149564</v>
      </c>
      <c r="E261" s="622">
        <f t="shared" si="30"/>
        <v>4127580</v>
      </c>
    </row>
    <row r="262" spans="1:5" x14ac:dyDescent="0.2">
      <c r="A262" s="588">
        <v>5</v>
      </c>
      <c r="B262" s="587" t="s">
        <v>750</v>
      </c>
      <c r="C262" s="622">
        <f>C191</f>
        <v>16324509</v>
      </c>
      <c r="D262" s="622">
        <f>D191</f>
        <v>14806678</v>
      </c>
      <c r="E262" s="622">
        <f t="shared" si="30"/>
        <v>-1517831</v>
      </c>
    </row>
    <row r="263" spans="1:5" x14ac:dyDescent="0.2">
      <c r="A263" s="588">
        <v>6</v>
      </c>
      <c r="B263" s="587" t="s">
        <v>751</v>
      </c>
      <c r="C263" s="622">
        <f>+C259+C260+C261+C262</f>
        <v>1485287828</v>
      </c>
      <c r="D263" s="622">
        <f>+D259+D260+D261+D262</f>
        <v>1530270106</v>
      </c>
      <c r="E263" s="622">
        <f t="shared" si="30"/>
        <v>44982278</v>
      </c>
    </row>
    <row r="264" spans="1:5" x14ac:dyDescent="0.2">
      <c r="A264" s="588">
        <v>7</v>
      </c>
      <c r="B264" s="587" t="s">
        <v>656</v>
      </c>
      <c r="C264" s="622">
        <f>+C258-C263</f>
        <v>926649204</v>
      </c>
      <c r="D264" s="622">
        <f>+D258-D263</f>
        <v>1023815476</v>
      </c>
      <c r="E264" s="622">
        <f t="shared" si="30"/>
        <v>97166272</v>
      </c>
    </row>
    <row r="265" spans="1:5" x14ac:dyDescent="0.2">
      <c r="A265" s="588">
        <v>8</v>
      </c>
      <c r="B265" s="587" t="s">
        <v>837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838</v>
      </c>
      <c r="C266" s="622">
        <f>+C264+C265</f>
        <v>926649204</v>
      </c>
      <c r="D266" s="622">
        <f>+D264+D265</f>
        <v>1023815476</v>
      </c>
      <c r="E266" s="641">
        <f t="shared" si="30"/>
        <v>97166272</v>
      </c>
    </row>
    <row r="267" spans="1:5" x14ac:dyDescent="0.2">
      <c r="A267" s="588">
        <v>10</v>
      </c>
      <c r="B267" s="587" t="s">
        <v>839</v>
      </c>
      <c r="C267" s="642">
        <f>IF(C258=0,0,C266/C258)</f>
        <v>0.38419295019141281</v>
      </c>
      <c r="D267" s="642">
        <f>IF(D258=0,0,D266/D258)</f>
        <v>0.40085402118682806</v>
      </c>
      <c r="E267" s="643">
        <f t="shared" si="30"/>
        <v>1.666107099541525E-2</v>
      </c>
    </row>
    <row r="268" spans="1:5" x14ac:dyDescent="0.2">
      <c r="A268" s="588">
        <v>11</v>
      </c>
      <c r="B268" s="587" t="s">
        <v>718</v>
      </c>
      <c r="C268" s="622">
        <f>+C260*C267</f>
        <v>16908866.918703694</v>
      </c>
      <c r="D268" s="644">
        <f>+D260*D267</f>
        <v>22147020.320423562</v>
      </c>
      <c r="E268" s="622">
        <f t="shared" si="30"/>
        <v>5238153.4017198682</v>
      </c>
    </row>
    <row r="269" spans="1:5" x14ac:dyDescent="0.2">
      <c r="A269" s="588">
        <v>12</v>
      </c>
      <c r="B269" s="587" t="s">
        <v>840</v>
      </c>
      <c r="C269" s="622">
        <f>((C17+C18+C28+C29)*C267)-(C50+C51+C61+C62)</f>
        <v>63723220.13589713</v>
      </c>
      <c r="D269" s="644">
        <f>((D17+D18+D28+D29)*D267)-(D50+D51+D61+D62)</f>
        <v>70178650.209425002</v>
      </c>
      <c r="E269" s="622">
        <f t="shared" si="30"/>
        <v>6455430.0735278726</v>
      </c>
    </row>
    <row r="270" spans="1:5" s="648" customFormat="1" x14ac:dyDescent="0.2">
      <c r="A270" s="645">
        <v>13</v>
      </c>
      <c r="B270" s="646" t="s">
        <v>841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842</v>
      </c>
      <c r="C271" s="622">
        <f>+C268+C269+C270</f>
        <v>80632087.05460082</v>
      </c>
      <c r="D271" s="622">
        <f>+D268+D269+D270</f>
        <v>92325670.529848561</v>
      </c>
      <c r="E271" s="625">
        <f t="shared" si="30"/>
        <v>11693583.475247741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843</v>
      </c>
      <c r="B273" s="626" t="s">
        <v>844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845</v>
      </c>
      <c r="C275" s="425"/>
      <c r="D275" s="425"/>
      <c r="E275" s="596"/>
    </row>
    <row r="276" spans="1:5" x14ac:dyDescent="0.2">
      <c r="A276" s="588">
        <v>1</v>
      </c>
      <c r="B276" s="587" t="s">
        <v>658</v>
      </c>
      <c r="C276" s="623">
        <f t="shared" ref="C276:D284" si="31">IF(C14=0,0,+C47/C14)</f>
        <v>0.60825270736805981</v>
      </c>
      <c r="D276" s="623">
        <f t="shared" si="31"/>
        <v>0.6036592078110008</v>
      </c>
      <c r="E276" s="650">
        <f t="shared" ref="E276:E284" si="32">D276-C276</f>
        <v>-4.5934995570590109E-3</v>
      </c>
    </row>
    <row r="277" spans="1:5" x14ac:dyDescent="0.2">
      <c r="A277" s="588">
        <v>2</v>
      </c>
      <c r="B277" s="587" t="s">
        <v>637</v>
      </c>
      <c r="C277" s="623">
        <f t="shared" si="31"/>
        <v>0.34555006789249076</v>
      </c>
      <c r="D277" s="623">
        <f t="shared" si="31"/>
        <v>0.39075220848495273</v>
      </c>
      <c r="E277" s="650">
        <f t="shared" si="32"/>
        <v>4.520214059246197E-2</v>
      </c>
    </row>
    <row r="278" spans="1:5" x14ac:dyDescent="0.2">
      <c r="A278" s="588">
        <v>3</v>
      </c>
      <c r="B278" s="587" t="s">
        <v>779</v>
      </c>
      <c r="C278" s="623">
        <f t="shared" si="31"/>
        <v>0.2632608221421906</v>
      </c>
      <c r="D278" s="623">
        <f t="shared" si="31"/>
        <v>0.27014399858589616</v>
      </c>
      <c r="E278" s="650">
        <f t="shared" si="32"/>
        <v>6.8831764437055631E-3</v>
      </c>
    </row>
    <row r="279" spans="1:5" x14ac:dyDescent="0.2">
      <c r="A279" s="588">
        <v>4</v>
      </c>
      <c r="B279" s="587" t="s">
        <v>115</v>
      </c>
      <c r="C279" s="623">
        <f t="shared" si="31"/>
        <v>0.2632608221421906</v>
      </c>
      <c r="D279" s="623">
        <f t="shared" si="31"/>
        <v>0.27014399858589616</v>
      </c>
      <c r="E279" s="650">
        <f t="shared" si="32"/>
        <v>6.8831764437055631E-3</v>
      </c>
    </row>
    <row r="280" spans="1:5" x14ac:dyDescent="0.2">
      <c r="A280" s="588">
        <v>5</v>
      </c>
      <c r="B280" s="587" t="s">
        <v>745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0.34077058830419199</v>
      </c>
      <c r="D281" s="623">
        <f t="shared" si="31"/>
        <v>0.47677377726345299</v>
      </c>
      <c r="E281" s="650">
        <f t="shared" si="32"/>
        <v>0.136003188959261</v>
      </c>
    </row>
    <row r="282" spans="1:5" x14ac:dyDescent="0.2">
      <c r="A282" s="588">
        <v>7</v>
      </c>
      <c r="B282" s="587" t="s">
        <v>760</v>
      </c>
      <c r="C282" s="623">
        <f t="shared" si="31"/>
        <v>2.3410897451267836E-2</v>
      </c>
      <c r="D282" s="623">
        <f t="shared" si="31"/>
        <v>1.8587220884146643E-2</v>
      </c>
      <c r="E282" s="650">
        <f t="shared" si="32"/>
        <v>-4.8236765671211927E-3</v>
      </c>
    </row>
    <row r="283" spans="1:5" ht="29.25" customHeight="1" x14ac:dyDescent="0.2">
      <c r="A283" s="588"/>
      <c r="B283" s="592" t="s">
        <v>846</v>
      </c>
      <c r="C283" s="651">
        <f t="shared" si="31"/>
        <v>0.32387177006541323</v>
      </c>
      <c r="D283" s="651">
        <f t="shared" si="31"/>
        <v>0.35906130785622553</v>
      </c>
      <c r="E283" s="652">
        <f t="shared" si="32"/>
        <v>3.5189537790812297E-2</v>
      </c>
    </row>
    <row r="284" spans="1:5" x14ac:dyDescent="0.2">
      <c r="A284" s="588"/>
      <c r="B284" s="592" t="s">
        <v>847</v>
      </c>
      <c r="C284" s="651">
        <f t="shared" si="31"/>
        <v>0.4097406404319322</v>
      </c>
      <c r="D284" s="651">
        <f t="shared" si="31"/>
        <v>0.43122499431180034</v>
      </c>
      <c r="E284" s="652">
        <f t="shared" si="32"/>
        <v>2.1484353879868134E-2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848</v>
      </c>
      <c r="C286" s="596"/>
      <c r="D286" s="596"/>
      <c r="E286" s="596"/>
    </row>
    <row r="287" spans="1:5" x14ac:dyDescent="0.2">
      <c r="A287" s="588">
        <v>1</v>
      </c>
      <c r="B287" s="587" t="s">
        <v>658</v>
      </c>
      <c r="C287" s="623">
        <f t="shared" ref="C287:D295" si="33">IF(C25=0,0,+C58/C25)</f>
        <v>0.46922527600751168</v>
      </c>
      <c r="D287" s="623">
        <f t="shared" si="33"/>
        <v>0.46971509379370618</v>
      </c>
      <c r="E287" s="650">
        <f t="shared" ref="E287:E295" si="34">D287-C287</f>
        <v>4.8981778619450189E-4</v>
      </c>
    </row>
    <row r="288" spans="1:5" x14ac:dyDescent="0.2">
      <c r="A288" s="588">
        <v>2</v>
      </c>
      <c r="B288" s="587" t="s">
        <v>637</v>
      </c>
      <c r="C288" s="623">
        <f t="shared" si="33"/>
        <v>0.28743156330685898</v>
      </c>
      <c r="D288" s="623">
        <f t="shared" si="33"/>
        <v>0.30173853799997136</v>
      </c>
      <c r="E288" s="650">
        <f t="shared" si="34"/>
        <v>1.4306974693112373E-2</v>
      </c>
    </row>
    <row r="289" spans="1:5" x14ac:dyDescent="0.2">
      <c r="A289" s="588">
        <v>3</v>
      </c>
      <c r="B289" s="587" t="s">
        <v>779</v>
      </c>
      <c r="C289" s="623">
        <f t="shared" si="33"/>
        <v>0.21508000295846144</v>
      </c>
      <c r="D289" s="623">
        <f t="shared" si="33"/>
        <v>0.24746314573625677</v>
      </c>
      <c r="E289" s="650">
        <f t="shared" si="34"/>
        <v>3.2383142777795332E-2</v>
      </c>
    </row>
    <row r="290" spans="1:5" x14ac:dyDescent="0.2">
      <c r="A290" s="588">
        <v>4</v>
      </c>
      <c r="B290" s="587" t="s">
        <v>115</v>
      </c>
      <c r="C290" s="623">
        <f t="shared" si="33"/>
        <v>0.21508000295846144</v>
      </c>
      <c r="D290" s="623">
        <f t="shared" si="33"/>
        <v>0.24746314573625677</v>
      </c>
      <c r="E290" s="650">
        <f t="shared" si="34"/>
        <v>3.2383142777795332E-2</v>
      </c>
    </row>
    <row r="291" spans="1:5" x14ac:dyDescent="0.2">
      <c r="A291" s="588">
        <v>5</v>
      </c>
      <c r="B291" s="587" t="s">
        <v>745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0.39684923089584945</v>
      </c>
      <c r="D292" s="623">
        <f t="shared" si="33"/>
        <v>0.28959769458534251</v>
      </c>
      <c r="E292" s="650">
        <f t="shared" si="34"/>
        <v>-0.10725153631050693</v>
      </c>
    </row>
    <row r="293" spans="1:5" x14ac:dyDescent="0.2">
      <c r="A293" s="588">
        <v>7</v>
      </c>
      <c r="B293" s="587" t="s">
        <v>760</v>
      </c>
      <c r="C293" s="623">
        <f t="shared" si="33"/>
        <v>0.10384967986024408</v>
      </c>
      <c r="D293" s="623">
        <f t="shared" si="33"/>
        <v>3.9045593618031005E-2</v>
      </c>
      <c r="E293" s="650">
        <f t="shared" si="34"/>
        <v>-6.480408624221308E-2</v>
      </c>
    </row>
    <row r="294" spans="1:5" ht="29.25" customHeight="1" x14ac:dyDescent="0.2">
      <c r="A294" s="588"/>
      <c r="B294" s="592" t="s">
        <v>849</v>
      </c>
      <c r="C294" s="651">
        <f t="shared" si="33"/>
        <v>0.26246639820657769</v>
      </c>
      <c r="D294" s="651">
        <f t="shared" si="33"/>
        <v>0.28194574750579182</v>
      </c>
      <c r="E294" s="652">
        <f t="shared" si="34"/>
        <v>1.9479349299214133E-2</v>
      </c>
    </row>
    <row r="295" spans="1:5" x14ac:dyDescent="0.2">
      <c r="A295" s="588"/>
      <c r="B295" s="592" t="s">
        <v>850</v>
      </c>
      <c r="C295" s="651">
        <f t="shared" si="33"/>
        <v>0.3532985337274096</v>
      </c>
      <c r="D295" s="651">
        <f t="shared" si="33"/>
        <v>0.36118372267370774</v>
      </c>
      <c r="E295" s="652">
        <f t="shared" si="34"/>
        <v>7.8851889462981384E-3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851</v>
      </c>
      <c r="B297" s="579" t="s">
        <v>852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853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656</v>
      </c>
      <c r="C301" s="590">
        <f>+C48+C47+C50+C51+C52+C59+C58+C61+C62+C63</f>
        <v>939563530</v>
      </c>
      <c r="D301" s="590">
        <f>+D48+D47+D50+D51+D52+D59+D58+D61+D62+D63</f>
        <v>1034815745</v>
      </c>
      <c r="E301" s="590">
        <f>D301-C301</f>
        <v>95252215</v>
      </c>
    </row>
    <row r="302" spans="1:5" ht="25.5" x14ac:dyDescent="0.2">
      <c r="A302" s="588">
        <v>2</v>
      </c>
      <c r="B302" s="587" t="s">
        <v>854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855</v>
      </c>
      <c r="C303" s="593">
        <f>+C301+C302</f>
        <v>939563530</v>
      </c>
      <c r="D303" s="593">
        <f>+D301+D302</f>
        <v>1034815745</v>
      </c>
      <c r="E303" s="593">
        <f>D303-C303</f>
        <v>95252215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856</v>
      </c>
      <c r="C305" s="589">
        <v>-35778755</v>
      </c>
      <c r="D305" s="654">
        <v>-58660006</v>
      </c>
      <c r="E305" s="655">
        <f>D305-C305</f>
        <v>-22881251</v>
      </c>
    </row>
    <row r="306" spans="1:5" x14ac:dyDescent="0.2">
      <c r="A306" s="588">
        <v>4</v>
      </c>
      <c r="B306" s="592" t="s">
        <v>857</v>
      </c>
      <c r="C306" s="593">
        <f>+C303+C305+C194+C190-C191</f>
        <v>935426475</v>
      </c>
      <c r="D306" s="593">
        <f>+D303+D305</f>
        <v>976155739</v>
      </c>
      <c r="E306" s="656">
        <f>D306-C306</f>
        <v>40729264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858</v>
      </c>
      <c r="C308" s="589">
        <v>903784775</v>
      </c>
      <c r="D308" s="589">
        <v>976155739</v>
      </c>
      <c r="E308" s="590">
        <f>D308-C308</f>
        <v>72370964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859</v>
      </c>
      <c r="C310" s="657">
        <f>C306-C308</f>
        <v>31641700</v>
      </c>
      <c r="D310" s="658">
        <f>D306-D308</f>
        <v>0</v>
      </c>
      <c r="E310" s="656">
        <f>D310-C310</f>
        <v>-31641700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860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861</v>
      </c>
      <c r="C314" s="590">
        <f>+C14+C15+C16+C19+C25+C26+C27+C30</f>
        <v>2411937032</v>
      </c>
      <c r="D314" s="590">
        <f>+D14+D15+D16+D19+D25+D26+D27+D30</f>
        <v>2554085582</v>
      </c>
      <c r="E314" s="590">
        <f>D314-C314</f>
        <v>142148550</v>
      </c>
    </row>
    <row r="315" spans="1:5" x14ac:dyDescent="0.2">
      <c r="A315" s="588">
        <v>2</v>
      </c>
      <c r="B315" s="659" t="s">
        <v>862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863</v>
      </c>
      <c r="C316" s="657">
        <f>C314+C315</f>
        <v>2411937032</v>
      </c>
      <c r="D316" s="657">
        <f>D314+D315</f>
        <v>2554085582</v>
      </c>
      <c r="E316" s="593">
        <f>D316-C316</f>
        <v>142148550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864</v>
      </c>
      <c r="C318" s="589">
        <v>2411937032</v>
      </c>
      <c r="D318" s="589">
        <v>2554085582</v>
      </c>
      <c r="E318" s="590">
        <f>D318-C318</f>
        <v>142148550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859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865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866</v>
      </c>
      <c r="C324" s="589">
        <f>+C193+C194</f>
        <v>44011393</v>
      </c>
      <c r="D324" s="589">
        <f>+D193+D194</f>
        <v>55249590</v>
      </c>
      <c r="E324" s="590">
        <f>D324-C324</f>
        <v>11238197</v>
      </c>
    </row>
    <row r="325" spans="1:5" x14ac:dyDescent="0.2">
      <c r="A325" s="588">
        <v>2</v>
      </c>
      <c r="B325" s="587" t="s">
        <v>867</v>
      </c>
      <c r="C325" s="589">
        <v>1632896</v>
      </c>
      <c r="D325" s="589">
        <v>2292312</v>
      </c>
      <c r="E325" s="590">
        <f>D325-C325</f>
        <v>659416</v>
      </c>
    </row>
    <row r="326" spans="1:5" x14ac:dyDescent="0.2">
      <c r="A326" s="588"/>
      <c r="B326" s="592" t="s">
        <v>868</v>
      </c>
      <c r="C326" s="657">
        <f>C324+C325</f>
        <v>45644289</v>
      </c>
      <c r="D326" s="657">
        <f>D324+D325</f>
        <v>57541902</v>
      </c>
      <c r="E326" s="593">
        <f>D326-C326</f>
        <v>11897613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869</v>
      </c>
      <c r="C328" s="589">
        <v>45644289</v>
      </c>
      <c r="D328" s="589">
        <v>57541902</v>
      </c>
      <c r="E328" s="590">
        <f>D328-C328</f>
        <v>11897613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870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FILING&amp;RHARTFORD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631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871</v>
      </c>
      <c r="B5" s="824"/>
      <c r="C5" s="825"/>
      <c r="D5" s="661"/>
    </row>
    <row r="6" spans="1:58" s="662" customFormat="1" ht="15.75" customHeight="1" x14ac:dyDescent="0.25">
      <c r="A6" s="823" t="s">
        <v>872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873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874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778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658</v>
      </c>
      <c r="C14" s="589">
        <v>473124318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637</v>
      </c>
      <c r="C15" s="591">
        <v>819287674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779</v>
      </c>
      <c r="C16" s="591">
        <v>302959364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302959364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745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8277519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760</v>
      </c>
      <c r="C20" s="591">
        <v>22883195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780</v>
      </c>
      <c r="C21" s="593">
        <f>SUM(C15+C16+C19)</f>
        <v>1130524557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1603648875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781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658</v>
      </c>
      <c r="C25" s="589">
        <v>401080803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637</v>
      </c>
      <c r="C26" s="591">
        <v>345608379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779</v>
      </c>
      <c r="C27" s="591">
        <v>199352307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199352307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745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4395218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760</v>
      </c>
      <c r="C31" s="594">
        <v>33229870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782</v>
      </c>
      <c r="C32" s="593">
        <f>SUM(C26+C27+C30)</f>
        <v>549355904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950436707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655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875</v>
      </c>
      <c r="C36" s="590">
        <f>SUM(C14+C25)</f>
        <v>874205121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876</v>
      </c>
      <c r="C37" s="594">
        <f>SUM(C21+C32)</f>
        <v>1679880461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655</v>
      </c>
      <c r="C38" s="593">
        <f>SUM(+C36+C37)</f>
        <v>2554085582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791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658</v>
      </c>
      <c r="C41" s="589">
        <v>285605851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637</v>
      </c>
      <c r="C42" s="591">
        <v>320138468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779</v>
      </c>
      <c r="C43" s="591">
        <v>81842654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81842654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745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3946504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760</v>
      </c>
      <c r="C47" s="591">
        <v>425335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792</v>
      </c>
      <c r="C48" s="593">
        <f>SUM(C42+C43+C46)</f>
        <v>405927626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691533477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793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658</v>
      </c>
      <c r="C52" s="589">
        <v>188393707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637</v>
      </c>
      <c r="C53" s="591">
        <v>104283367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779</v>
      </c>
      <c r="C54" s="591">
        <v>49332349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49332349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745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1272845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760</v>
      </c>
      <c r="C58" s="591">
        <v>1297480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794</v>
      </c>
      <c r="C59" s="593">
        <f>SUM(C53+C54+C57)</f>
        <v>154888561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343282268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656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877</v>
      </c>
      <c r="C63" s="590">
        <f>SUM(C41+C52)</f>
        <v>473999558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878</v>
      </c>
      <c r="C64" s="594">
        <f>SUM(C48+C59)</f>
        <v>560816187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656</v>
      </c>
      <c r="C65" s="593">
        <f>SUM(+C63+C64)</f>
        <v>1034815745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879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880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658</v>
      </c>
      <c r="C70" s="606">
        <v>14754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637</v>
      </c>
      <c r="C71" s="606">
        <v>17602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779</v>
      </c>
      <c r="C72" s="606">
        <v>10142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10142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745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257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760</v>
      </c>
      <c r="C76" s="621">
        <v>549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809</v>
      </c>
      <c r="C77" s="608">
        <f>SUM(C71+C72+C75)</f>
        <v>28001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42755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813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658</v>
      </c>
      <c r="C81" s="617">
        <v>1.4782999999999999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637</v>
      </c>
      <c r="C82" s="617">
        <v>1.86389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779</v>
      </c>
      <c r="C83" s="617">
        <f>((C73*C84)+(C74*C85))/(C73+C74)</f>
        <v>1.2605200000000001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1.2605200000000001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745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1.29735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760</v>
      </c>
      <c r="C87" s="617">
        <v>1.4432499999999999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814</v>
      </c>
      <c r="C88" s="619">
        <f>((C71*C82)+(C73*C84)+(C74*C85)+(C75*C86))/(C71+C73+C74+C75)</f>
        <v>1.6401487293310952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725</v>
      </c>
      <c r="C89" s="619">
        <f>((C70*C81)+(C71*C82)+(C73*C84)+(C74*C85)+(C75*C86))/(C70+C71+C73+C74+C75)</f>
        <v>1.5842975738510117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815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816</v>
      </c>
      <c r="C92" s="589">
        <v>755770258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817</v>
      </c>
      <c r="C93" s="622">
        <v>414620694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670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749</v>
      </c>
      <c r="C95" s="589">
        <f>+C92-C93</f>
        <v>341149564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672</v>
      </c>
      <c r="C96" s="681">
        <f>(+C92-C93)/C92</f>
        <v>0.45139321161272794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764</v>
      </c>
      <c r="C98" s="589">
        <v>25898380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750</v>
      </c>
      <c r="C99" s="589">
        <v>14806678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881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819</v>
      </c>
      <c r="C103" s="589">
        <v>30609202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820</v>
      </c>
      <c r="C104" s="589">
        <v>24640388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821</v>
      </c>
      <c r="C105" s="654">
        <f>+C103+C104</f>
        <v>55249590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822</v>
      </c>
      <c r="C107" s="589">
        <v>74980429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712</v>
      </c>
      <c r="C108" s="589">
        <v>1022794910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852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853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656</v>
      </c>
      <c r="C114" s="590">
        <f>+C65</f>
        <v>1034815745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854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855</v>
      </c>
      <c r="C116" s="593">
        <f>+C114+C115</f>
        <v>1034815745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856</v>
      </c>
      <c r="C118" s="654">
        <v>-58660006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857</v>
      </c>
      <c r="C119" s="656">
        <f>+C116+C118</f>
        <v>976155739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858</v>
      </c>
      <c r="C121" s="589">
        <v>976155739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859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860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861</v>
      </c>
      <c r="C127" s="590">
        <f>C38</f>
        <v>2554085582</v>
      </c>
      <c r="D127" s="664"/>
      <c r="AR127" s="485"/>
    </row>
    <row r="128" spans="1:58" s="421" customFormat="1" ht="12.75" x14ac:dyDescent="0.2">
      <c r="A128" s="588">
        <v>2</v>
      </c>
      <c r="B128" s="659" t="s">
        <v>862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863</v>
      </c>
      <c r="C129" s="657">
        <f>C127+C128</f>
        <v>2554085582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864</v>
      </c>
      <c r="C131" s="589">
        <v>2554085582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859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865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866</v>
      </c>
      <c r="C137" s="589">
        <f>C105</f>
        <v>55249590</v>
      </c>
      <c r="D137" s="664"/>
      <c r="AR137" s="485"/>
    </row>
    <row r="138" spans="1:44" s="421" customFormat="1" ht="12.75" x14ac:dyDescent="0.2">
      <c r="A138" s="588">
        <v>2</v>
      </c>
      <c r="B138" s="669" t="s">
        <v>882</v>
      </c>
      <c r="C138" s="589">
        <v>2292312</v>
      </c>
      <c r="D138" s="664"/>
      <c r="AR138" s="485"/>
    </row>
    <row r="139" spans="1:44" s="421" customFormat="1" ht="12.75" x14ac:dyDescent="0.2">
      <c r="A139" s="588"/>
      <c r="B139" s="671" t="s">
        <v>868</v>
      </c>
      <c r="C139" s="657">
        <f>C137+C138</f>
        <v>57541902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883</v>
      </c>
      <c r="C141" s="589">
        <v>57541902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870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FILING&amp;RHARTFORD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631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884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634</v>
      </c>
      <c r="D8" s="177" t="s">
        <v>634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885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886</v>
      </c>
      <c r="C12" s="185">
        <v>12857</v>
      </c>
      <c r="D12" s="185">
        <v>14766</v>
      </c>
      <c r="E12" s="185">
        <f>+D12-C12</f>
        <v>1909</v>
      </c>
      <c r="F12" s="77">
        <f>IF(C12=0,0,+E12/C12)</f>
        <v>0.14847942754919499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887</v>
      </c>
      <c r="C13" s="185">
        <v>12214</v>
      </c>
      <c r="D13" s="185">
        <v>14063</v>
      </c>
      <c r="E13" s="185">
        <f>+D13-C13</f>
        <v>1849</v>
      </c>
      <c r="F13" s="77">
        <f>IF(C13=0,0,+E13/C13)</f>
        <v>0.15138365809726542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888</v>
      </c>
      <c r="C15" s="76">
        <v>26543780</v>
      </c>
      <c r="D15" s="76">
        <v>30609202</v>
      </c>
      <c r="E15" s="76">
        <f>+D15-C15</f>
        <v>4065422</v>
      </c>
      <c r="F15" s="77">
        <f>IF(C15=0,0,+E15/C15)</f>
        <v>0.15315912051712302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889</v>
      </c>
      <c r="C16" s="79">
        <f>IF(C13=0,0,+C15/+C13)</f>
        <v>2173.2258064516127</v>
      </c>
      <c r="D16" s="79">
        <f>IF(D13=0,0,+D15/+D13)</f>
        <v>2176.5769750408876</v>
      </c>
      <c r="E16" s="79">
        <f>+D16-C16</f>
        <v>3.3511685892749483</v>
      </c>
      <c r="F16" s="80">
        <f>IF(C16=0,0,+E16/C16)</f>
        <v>1.5420250299469113E-3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890</v>
      </c>
      <c r="C18" s="704">
        <v>0.432168</v>
      </c>
      <c r="D18" s="704">
        <v>0.418184</v>
      </c>
      <c r="E18" s="704">
        <f>+D18-C18</f>
        <v>-1.3983999999999996E-2</v>
      </c>
      <c r="F18" s="77">
        <f>IF(C18=0,0,+E18/C18)</f>
        <v>-3.2357786786620012E-2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891</v>
      </c>
      <c r="C19" s="79">
        <f>+C15*C18</f>
        <v>11471372.31504</v>
      </c>
      <c r="D19" s="79">
        <f>+D15*D18</f>
        <v>12800278.529168</v>
      </c>
      <c r="E19" s="79">
        <f>+D19-C19</f>
        <v>1328906.2141280007</v>
      </c>
      <c r="F19" s="80">
        <f>IF(C19=0,0,+E19/C19)</f>
        <v>0.11584544356438377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892</v>
      </c>
      <c r="C20" s="79">
        <f>IF(C13=0,0,+C19/C13)</f>
        <v>939.19865032258065</v>
      </c>
      <c r="D20" s="79">
        <f>IF(D13=0,0,+D19/D13)</f>
        <v>910.2096657304985</v>
      </c>
      <c r="E20" s="79">
        <f>+D20-C20</f>
        <v>-28.988984592082147</v>
      </c>
      <c r="F20" s="80">
        <f>IF(C20=0,0,+E20/C20)</f>
        <v>-3.0865658273811918E-2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893</v>
      </c>
      <c r="C22" s="76">
        <v>8533518</v>
      </c>
      <c r="D22" s="76">
        <v>8354373</v>
      </c>
      <c r="E22" s="76">
        <f>+D22-C22</f>
        <v>-179145</v>
      </c>
      <c r="F22" s="77">
        <f>IF(C22=0,0,+E22/C22)</f>
        <v>-2.099310038368701E-2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894</v>
      </c>
      <c r="C23" s="185">
        <v>10895556</v>
      </c>
      <c r="D23" s="185">
        <v>11310759</v>
      </c>
      <c r="E23" s="185">
        <f>+D23-C23</f>
        <v>415203</v>
      </c>
      <c r="F23" s="77">
        <f>IF(C23=0,0,+E23/C23)</f>
        <v>3.8107555043542525E-2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895</v>
      </c>
      <c r="C24" s="185">
        <v>7114706</v>
      </c>
      <c r="D24" s="185">
        <v>10944070</v>
      </c>
      <c r="E24" s="185">
        <f>+D24-C24</f>
        <v>3829364</v>
      </c>
      <c r="F24" s="77">
        <f>IF(C24=0,0,+E24/C24)</f>
        <v>0.53823221929339038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896</v>
      </c>
      <c r="C25" s="79">
        <f>+C22+C23+C24</f>
        <v>26543780</v>
      </c>
      <c r="D25" s="79">
        <f>+D22+D23+D24</f>
        <v>30609202</v>
      </c>
      <c r="E25" s="79">
        <f>+E22+E23+E24</f>
        <v>4065422</v>
      </c>
      <c r="F25" s="80">
        <f>IF(C25=0,0,+E25/C25)</f>
        <v>0.15315912051712302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897</v>
      </c>
      <c r="C27" s="185">
        <v>1281</v>
      </c>
      <c r="D27" s="185">
        <v>1078</v>
      </c>
      <c r="E27" s="185">
        <f>+D27-C27</f>
        <v>-203</v>
      </c>
      <c r="F27" s="77">
        <f>IF(C27=0,0,+E27/C27)</f>
        <v>-0.15846994535519127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898</v>
      </c>
      <c r="C28" s="185">
        <v>221</v>
      </c>
      <c r="D28" s="185">
        <v>166</v>
      </c>
      <c r="E28" s="185">
        <f>+D28-C28</f>
        <v>-55</v>
      </c>
      <c r="F28" s="77">
        <f>IF(C28=0,0,+E28/C28)</f>
        <v>-0.24886877828054299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899</v>
      </c>
      <c r="C29" s="185">
        <v>7439</v>
      </c>
      <c r="D29" s="185">
        <v>8771</v>
      </c>
      <c r="E29" s="185">
        <f>+D29-C29</f>
        <v>1332</v>
      </c>
      <c r="F29" s="77">
        <f>IF(C29=0,0,+E29/C29)</f>
        <v>0.17905632477483532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900</v>
      </c>
      <c r="C30" s="185">
        <v>14398</v>
      </c>
      <c r="D30" s="185">
        <v>16712</v>
      </c>
      <c r="E30" s="185">
        <f>+D30-C30</f>
        <v>2314</v>
      </c>
      <c r="F30" s="77">
        <f>IF(C30=0,0,+E30/C30)</f>
        <v>0.1607167662175302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901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902</v>
      </c>
      <c r="C33" s="76">
        <v>3565799</v>
      </c>
      <c r="D33" s="76">
        <v>8042612</v>
      </c>
      <c r="E33" s="76">
        <f>+D33-C33</f>
        <v>4476813</v>
      </c>
      <c r="F33" s="77">
        <f>IF(C33=0,0,+E33/C33)</f>
        <v>1.2554866384785008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903</v>
      </c>
      <c r="C34" s="185">
        <v>8619124</v>
      </c>
      <c r="D34" s="185">
        <v>10290621</v>
      </c>
      <c r="E34" s="185">
        <f>+D34-C34</f>
        <v>1671497</v>
      </c>
      <c r="F34" s="77">
        <f>IF(C34=0,0,+E34/C34)</f>
        <v>0.1939288725861236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904</v>
      </c>
      <c r="C35" s="185">
        <v>5282690</v>
      </c>
      <c r="D35" s="185">
        <v>6307155</v>
      </c>
      <c r="E35" s="185">
        <f>+D35-C35</f>
        <v>1024465</v>
      </c>
      <c r="F35" s="77">
        <f>IF(C35=0,0,+E35/C35)</f>
        <v>0.19392866134488301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905</v>
      </c>
      <c r="C36" s="79">
        <f>+C33+C34+C35</f>
        <v>17467613</v>
      </c>
      <c r="D36" s="79">
        <f>+D33+D34+D35</f>
        <v>24640388</v>
      </c>
      <c r="E36" s="79">
        <f>+E33+E34+E35</f>
        <v>7172775</v>
      </c>
      <c r="F36" s="80">
        <f>IF(C36=0,0,+E36/C36)</f>
        <v>0.41063280941706232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906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907</v>
      </c>
      <c r="C39" s="76">
        <f>+C25</f>
        <v>26543780</v>
      </c>
      <c r="D39" s="76">
        <f>+D25</f>
        <v>30609202</v>
      </c>
      <c r="E39" s="76">
        <f>+D39-C39</f>
        <v>4065422</v>
      </c>
      <c r="F39" s="77">
        <f>IF(C39=0,0,+E39/C39)</f>
        <v>0.15315912051712302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908</v>
      </c>
      <c r="C40" s="185">
        <f>+C36</f>
        <v>17467613</v>
      </c>
      <c r="D40" s="185">
        <f>+D36</f>
        <v>24640388</v>
      </c>
      <c r="E40" s="185">
        <f>+D40-C40</f>
        <v>7172775</v>
      </c>
      <c r="F40" s="77">
        <f>IF(C40=0,0,+E40/C40)</f>
        <v>0.41063280941706232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909</v>
      </c>
      <c r="C41" s="79">
        <f>+C39+C40</f>
        <v>44011393</v>
      </c>
      <c r="D41" s="79">
        <f>+D39+D40</f>
        <v>55249590</v>
      </c>
      <c r="E41" s="79">
        <f>+E39+E40</f>
        <v>11238197</v>
      </c>
      <c r="F41" s="80">
        <f>IF(C41=0,0,+E41/C41)</f>
        <v>0.25534745060216568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910</v>
      </c>
      <c r="C43" s="76">
        <f t="shared" ref="C43:D45" si="0">+C22+C33</f>
        <v>12099317</v>
      </c>
      <c r="D43" s="76">
        <f t="shared" si="0"/>
        <v>16396985</v>
      </c>
      <c r="E43" s="76">
        <f>+D43-C43</f>
        <v>4297668</v>
      </c>
      <c r="F43" s="77">
        <f>IF(C43=0,0,+E43/C43)</f>
        <v>0.35519922322888142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911</v>
      </c>
      <c r="C44" s="185">
        <f t="shared" si="0"/>
        <v>19514680</v>
      </c>
      <c r="D44" s="185">
        <f t="shared" si="0"/>
        <v>21601380</v>
      </c>
      <c r="E44" s="185">
        <f>+D44-C44</f>
        <v>2086700</v>
      </c>
      <c r="F44" s="77">
        <f>IF(C44=0,0,+E44/C44)</f>
        <v>0.10692975749538296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912</v>
      </c>
      <c r="C45" s="185">
        <f t="shared" si="0"/>
        <v>12397396</v>
      </c>
      <c r="D45" s="185">
        <f t="shared" si="0"/>
        <v>17251225</v>
      </c>
      <c r="E45" s="185">
        <f>+D45-C45</f>
        <v>4853829</v>
      </c>
      <c r="F45" s="77">
        <f>IF(C45=0,0,+E45/C45)</f>
        <v>0.39152004178942096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909</v>
      </c>
      <c r="C46" s="79">
        <f>+C43+C44+C45</f>
        <v>44011393</v>
      </c>
      <c r="D46" s="79">
        <f>+D43+D44+D45</f>
        <v>55249590</v>
      </c>
      <c r="E46" s="79">
        <f>+E43+E44+E45</f>
        <v>11238197</v>
      </c>
      <c r="F46" s="80">
        <f>IF(C46=0,0,+E46/C46)</f>
        <v>0.25534745060216568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913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FILING&amp;RHARTFORD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631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914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915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916</v>
      </c>
      <c r="D10" s="177" t="s">
        <v>916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917</v>
      </c>
      <c r="D11" s="693" t="s">
        <v>917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918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774051584</v>
      </c>
      <c r="D15" s="76">
        <v>755770258</v>
      </c>
      <c r="E15" s="76">
        <f>+D15-C15</f>
        <v>-18281326</v>
      </c>
      <c r="F15" s="77">
        <f>IF(C15=0,0,E15/C15)</f>
        <v>-2.361771021193337E-2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919</v>
      </c>
      <c r="C17" s="76">
        <v>337021984</v>
      </c>
      <c r="D17" s="76">
        <v>341149564</v>
      </c>
      <c r="E17" s="76">
        <f>+D17-C17</f>
        <v>4127580</v>
      </c>
      <c r="F17" s="77">
        <f>IF(C17=0,0,E17/C17)</f>
        <v>1.2247212929587406E-2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920</v>
      </c>
      <c r="C19" s="79">
        <f>+C15-C17</f>
        <v>437029600</v>
      </c>
      <c r="D19" s="79">
        <f>+D15-D17</f>
        <v>414620694</v>
      </c>
      <c r="E19" s="79">
        <f>+D19-C19</f>
        <v>-22408906</v>
      </c>
      <c r="F19" s="80">
        <f>IF(C19=0,0,E19/C19)</f>
        <v>-5.1275487976100473E-2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921</v>
      </c>
      <c r="C21" s="720">
        <f>IF(C15=0,0,C17/C15)</f>
        <v>0.43539990223700648</v>
      </c>
      <c r="D21" s="720">
        <f>IF(D15=0,0,D17/D15)</f>
        <v>0.45139321161272794</v>
      </c>
      <c r="E21" s="720">
        <f>+D21-C21</f>
        <v>1.5993309375721465E-2</v>
      </c>
      <c r="F21" s="80">
        <f>IF(C21=0,0,E21/C21)</f>
        <v>3.6732459730814626E-2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922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FILING&amp;R&amp;12HARTFORD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923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924</v>
      </c>
      <c r="B6" s="734" t="s">
        <v>925</v>
      </c>
      <c r="C6" s="734" t="s">
        <v>926</v>
      </c>
      <c r="D6" s="734" t="s">
        <v>927</v>
      </c>
      <c r="E6" s="734" t="s">
        <v>928</v>
      </c>
    </row>
    <row r="7" spans="1:6" ht="37.5" customHeight="1" x14ac:dyDescent="0.25">
      <c r="A7" s="735" t="s">
        <v>8</v>
      </c>
      <c r="B7" s="736" t="s">
        <v>9</v>
      </c>
      <c r="C7" s="737" t="s">
        <v>929</v>
      </c>
      <c r="D7" s="737" t="s">
        <v>930</v>
      </c>
      <c r="E7" s="737" t="s">
        <v>931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932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933</v>
      </c>
      <c r="C10" s="744">
        <v>1483172403</v>
      </c>
      <c r="D10" s="744">
        <v>1549015766</v>
      </c>
      <c r="E10" s="744">
        <v>1603648875</v>
      </c>
    </row>
    <row r="11" spans="1:6" ht="26.1" customHeight="1" x14ac:dyDescent="0.25">
      <c r="A11" s="742">
        <v>2</v>
      </c>
      <c r="B11" s="743" t="s">
        <v>934</v>
      </c>
      <c r="C11" s="744">
        <v>772588785</v>
      </c>
      <c r="D11" s="744">
        <v>862921266</v>
      </c>
      <c r="E11" s="744">
        <v>950436707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2255761188</v>
      </c>
      <c r="D12" s="744">
        <f>+D11+D10</f>
        <v>2411937032</v>
      </c>
      <c r="E12" s="744">
        <f>+E11+E10</f>
        <v>2554085582</v>
      </c>
    </row>
    <row r="13" spans="1:6" ht="26.1" customHeight="1" x14ac:dyDescent="0.25">
      <c r="A13" s="742">
        <v>4</v>
      </c>
      <c r="B13" s="743" t="s">
        <v>507</v>
      </c>
      <c r="C13" s="744">
        <v>926633051</v>
      </c>
      <c r="D13" s="744">
        <v>903784775</v>
      </c>
      <c r="E13" s="744">
        <v>976155739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935</v>
      </c>
      <c r="C16" s="744">
        <v>1046001610</v>
      </c>
      <c r="D16" s="744">
        <v>998381093</v>
      </c>
      <c r="E16" s="744">
        <v>1022794910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936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233332</v>
      </c>
      <c r="D19" s="747">
        <v>235012</v>
      </c>
      <c r="E19" s="747">
        <v>233240</v>
      </c>
    </row>
    <row r="20" spans="1:5" ht="26.1" customHeight="1" x14ac:dyDescent="0.25">
      <c r="A20" s="742">
        <v>2</v>
      </c>
      <c r="B20" s="743" t="s">
        <v>381</v>
      </c>
      <c r="C20" s="748">
        <v>41251</v>
      </c>
      <c r="D20" s="748">
        <v>41809</v>
      </c>
      <c r="E20" s="748">
        <v>42755</v>
      </c>
    </row>
    <row r="21" spans="1:5" ht="26.1" customHeight="1" x14ac:dyDescent="0.25">
      <c r="A21" s="742">
        <v>3</v>
      </c>
      <c r="B21" s="743" t="s">
        <v>937</v>
      </c>
      <c r="C21" s="749">
        <f>IF(C20=0,0,+C19/C20)</f>
        <v>5.6563962085767621</v>
      </c>
      <c r="D21" s="749">
        <f>IF(D20=0,0,+D19/D20)</f>
        <v>5.6210863689636206</v>
      </c>
      <c r="E21" s="749">
        <f>IF(E20=0,0,+E19/E20)</f>
        <v>5.4552683896620282</v>
      </c>
    </row>
    <row r="22" spans="1:5" ht="26.1" customHeight="1" x14ac:dyDescent="0.25">
      <c r="A22" s="742">
        <v>4</v>
      </c>
      <c r="B22" s="743" t="s">
        <v>938</v>
      </c>
      <c r="C22" s="748">
        <f>IF(C10=0,0,C19*(C12/C10))</f>
        <v>354875.31217125535</v>
      </c>
      <c r="D22" s="748">
        <f>IF(D10=0,0,D19*(D12/D10))</f>
        <v>365931.8118033823</v>
      </c>
      <c r="E22" s="748">
        <f>IF(E10=0,0,E19*(E12/E10))</f>
        <v>371474.66034026933</v>
      </c>
    </row>
    <row r="23" spans="1:5" ht="26.1" customHeight="1" x14ac:dyDescent="0.25">
      <c r="A23" s="742">
        <v>0</v>
      </c>
      <c r="B23" s="743" t="s">
        <v>939</v>
      </c>
      <c r="C23" s="748">
        <f>IF(C10=0,0,C20*(C12/C10))</f>
        <v>62738.764945984498</v>
      </c>
      <c r="D23" s="748">
        <f>IF(D10=0,0,D20*(D12/D10))</f>
        <v>65099.837964391649</v>
      </c>
      <c r="E23" s="748">
        <f>IF(E10=0,0,E20*(E12/E10))</f>
        <v>68094.662591528962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940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1.5716669341349303</v>
      </c>
      <c r="D26" s="750">
        <v>1.571613014422732</v>
      </c>
      <c r="E26" s="750">
        <v>1.5842975738510117</v>
      </c>
    </row>
    <row r="27" spans="1:5" ht="26.1" customHeight="1" x14ac:dyDescent="0.25">
      <c r="A27" s="742">
        <v>2</v>
      </c>
      <c r="B27" s="743" t="s">
        <v>941</v>
      </c>
      <c r="C27" s="748">
        <f>C19*C26</f>
        <v>366720.18907557154</v>
      </c>
      <c r="D27" s="748">
        <f>D19*D26</f>
        <v>369347.91774551512</v>
      </c>
      <c r="E27" s="748">
        <f>E19*E26</f>
        <v>369521.56612500997</v>
      </c>
    </row>
    <row r="28" spans="1:5" ht="26.1" customHeight="1" x14ac:dyDescent="0.25">
      <c r="A28" s="742">
        <v>3</v>
      </c>
      <c r="B28" s="743" t="s">
        <v>942</v>
      </c>
      <c r="C28" s="748">
        <f>C20*C26</f>
        <v>64832.832700000014</v>
      </c>
      <c r="D28" s="748">
        <f>D20*D26</f>
        <v>65707.568520000001</v>
      </c>
      <c r="E28" s="748">
        <f>E20*E26</f>
        <v>67736.642770000006</v>
      </c>
    </row>
    <row r="29" spans="1:5" ht="26.1" customHeight="1" x14ac:dyDescent="0.25">
      <c r="A29" s="742">
        <v>4</v>
      </c>
      <c r="B29" s="743" t="s">
        <v>943</v>
      </c>
      <c r="C29" s="748">
        <f>C22*C26</f>
        <v>557745.79388037324</v>
      </c>
      <c r="D29" s="748">
        <f>D22*D26</f>
        <v>575103.19782148558</v>
      </c>
      <c r="E29" s="748">
        <f>E22*E26</f>
        <v>588526.40312421729</v>
      </c>
    </row>
    <row r="30" spans="1:5" ht="26.1" customHeight="1" x14ac:dyDescent="0.25">
      <c r="A30" s="742">
        <v>5</v>
      </c>
      <c r="B30" s="743" t="s">
        <v>944</v>
      </c>
      <c r="C30" s="748">
        <f>C23*C26</f>
        <v>98604.442354067491</v>
      </c>
      <c r="D30" s="748">
        <f>D23*D26</f>
        <v>102311.75258164897</v>
      </c>
      <c r="E30" s="748">
        <f>E23*E26</f>
        <v>107882.20873596257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945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946</v>
      </c>
      <c r="C33" s="744">
        <f>IF(C19=0,0,C12/C19)</f>
        <v>9667.6031920182395</v>
      </c>
      <c r="D33" s="744">
        <f>IF(D19=0,0,D12/D19)</f>
        <v>10263.037768284174</v>
      </c>
      <c r="E33" s="744">
        <f>IF(E19=0,0,E12/E19)</f>
        <v>10950.461250214372</v>
      </c>
    </row>
    <row r="34" spans="1:5" ht="26.1" customHeight="1" x14ac:dyDescent="0.25">
      <c r="A34" s="742">
        <v>2</v>
      </c>
      <c r="B34" s="743" t="s">
        <v>947</v>
      </c>
      <c r="C34" s="744">
        <f>IF(C20=0,0,C12/C20)</f>
        <v>54683.794041356574</v>
      </c>
      <c r="D34" s="744">
        <f>IF(D20=0,0,D12/D20)</f>
        <v>57689.421703460976</v>
      </c>
      <c r="E34" s="744">
        <f>IF(E20=0,0,E12/E20)</f>
        <v>59737.705110513387</v>
      </c>
    </row>
    <row r="35" spans="1:5" ht="26.1" customHeight="1" x14ac:dyDescent="0.25">
      <c r="A35" s="742">
        <v>3</v>
      </c>
      <c r="B35" s="743" t="s">
        <v>948</v>
      </c>
      <c r="C35" s="744">
        <f>IF(C22=0,0,C12/C22)</f>
        <v>6356.4894785113065</v>
      </c>
      <c r="D35" s="744">
        <f>IF(D22=0,0,D12/D22)</f>
        <v>6591.219878133882</v>
      </c>
      <c r="E35" s="744">
        <f>IF(E22=0,0,E12/E22)</f>
        <v>6875.531105299262</v>
      </c>
    </row>
    <row r="36" spans="1:5" ht="26.1" customHeight="1" x14ac:dyDescent="0.25">
      <c r="A36" s="742">
        <v>4</v>
      </c>
      <c r="B36" s="743" t="s">
        <v>949</v>
      </c>
      <c r="C36" s="744">
        <f>IF(C23=0,0,C12/C23)</f>
        <v>35954.82298610943</v>
      </c>
      <c r="D36" s="744">
        <f>IF(D23=0,0,D12/D23)</f>
        <v>37049.81621182042</v>
      </c>
      <c r="E36" s="744">
        <f>IF(E23=0,0,E12/E23)</f>
        <v>37507.867500877088</v>
      </c>
    </row>
    <row r="37" spans="1:5" ht="26.1" customHeight="1" x14ac:dyDescent="0.25">
      <c r="A37" s="742">
        <v>5</v>
      </c>
      <c r="B37" s="743" t="s">
        <v>950</v>
      </c>
      <c r="C37" s="744">
        <f>IF(C29=0,0,C12/C29)</f>
        <v>4044.4252789539128</v>
      </c>
      <c r="D37" s="744">
        <f>IF(D29=0,0,D12/D29)</f>
        <v>4193.9203974808624</v>
      </c>
      <c r="E37" s="744">
        <f>IF(E29=0,0,E12/E29)</f>
        <v>4339.7977872216588</v>
      </c>
    </row>
    <row r="38" spans="1:5" ht="26.1" customHeight="1" x14ac:dyDescent="0.25">
      <c r="A38" s="742">
        <v>6</v>
      </c>
      <c r="B38" s="743" t="s">
        <v>951</v>
      </c>
      <c r="C38" s="744">
        <f>IF(C30=0,0,C12/C30)</f>
        <v>22876.871813746926</v>
      </c>
      <c r="D38" s="744">
        <f>IF(D30=0,0,D12/D30)</f>
        <v>23574.388778798169</v>
      </c>
      <c r="E38" s="744">
        <f>IF(E30=0,0,E12/E30)</f>
        <v>23674.761686155529</v>
      </c>
    </row>
    <row r="39" spans="1:5" ht="26.1" customHeight="1" x14ac:dyDescent="0.25">
      <c r="A39" s="742">
        <v>7</v>
      </c>
      <c r="B39" s="743" t="s">
        <v>952</v>
      </c>
      <c r="C39" s="744">
        <f>IF(C22=0,0,C10/C22)</f>
        <v>4179.4183819815908</v>
      </c>
      <c r="D39" s="744">
        <f>IF(D22=0,0,D10/D22)</f>
        <v>4233.072162723849</v>
      </c>
      <c r="E39" s="744">
        <f>IF(E22=0,0,E10/E22)</f>
        <v>4316.9805270999213</v>
      </c>
    </row>
    <row r="40" spans="1:5" ht="26.1" customHeight="1" x14ac:dyDescent="0.25">
      <c r="A40" s="742">
        <v>8</v>
      </c>
      <c r="B40" s="743" t="s">
        <v>953</v>
      </c>
      <c r="C40" s="744">
        <f>IF(C23=0,0,C10/C23)</f>
        <v>23640.446289896696</v>
      </c>
      <c r="D40" s="744">
        <f>IF(D23=0,0,D10/D23)</f>
        <v>23794.464232726379</v>
      </c>
      <c r="E40" s="744">
        <f>IF(E23=0,0,E10/E23)</f>
        <v>23550.287408274718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954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955</v>
      </c>
      <c r="C43" s="744">
        <f>IF(C19=0,0,C13/C19)</f>
        <v>3971.3071974697</v>
      </c>
      <c r="D43" s="744">
        <f>IF(D19=0,0,D13/D19)</f>
        <v>3845.6962835940294</v>
      </c>
      <c r="E43" s="744">
        <f>IF(E19=0,0,E13/E19)</f>
        <v>4185.1986751843597</v>
      </c>
    </row>
    <row r="44" spans="1:5" ht="26.1" customHeight="1" x14ac:dyDescent="0.25">
      <c r="A44" s="742">
        <v>2</v>
      </c>
      <c r="B44" s="743" t="s">
        <v>956</v>
      </c>
      <c r="C44" s="744">
        <f>IF(C20=0,0,C13/C20)</f>
        <v>22463.286974861214</v>
      </c>
      <c r="D44" s="744">
        <f>IF(D20=0,0,D13/D20)</f>
        <v>21616.990958884449</v>
      </c>
      <c r="E44" s="744">
        <f>IF(E20=0,0,E13/E20)</f>
        <v>22831.382037188632</v>
      </c>
    </row>
    <row r="45" spans="1:5" ht="26.1" customHeight="1" x14ac:dyDescent="0.25">
      <c r="A45" s="742">
        <v>3</v>
      </c>
      <c r="B45" s="743" t="s">
        <v>957</v>
      </c>
      <c r="C45" s="744">
        <f>IF(C22=0,0,C13/C22)</f>
        <v>2611.1510697391832</v>
      </c>
      <c r="D45" s="744">
        <f>IF(D22=0,0,D13/D22)</f>
        <v>2469.8174519071599</v>
      </c>
      <c r="E45" s="744">
        <f>IF(E22=0,0,E13/E22)</f>
        <v>2627.7855348352568</v>
      </c>
    </row>
    <row r="46" spans="1:5" ht="26.1" customHeight="1" x14ac:dyDescent="0.25">
      <c r="A46" s="742">
        <v>4</v>
      </c>
      <c r="B46" s="743" t="s">
        <v>958</v>
      </c>
      <c r="C46" s="744">
        <f>IF(C23=0,0,C13/C23)</f>
        <v>14769.705010893871</v>
      </c>
      <c r="D46" s="744">
        <f>IF(D23=0,0,D13/D23)</f>
        <v>13883.057212743797</v>
      </c>
      <c r="E46" s="744">
        <f>IF(E23=0,0,E13/E23)</f>
        <v>14335.275362997902</v>
      </c>
    </row>
    <row r="47" spans="1:5" ht="26.1" customHeight="1" x14ac:dyDescent="0.25">
      <c r="A47" s="742">
        <v>5</v>
      </c>
      <c r="B47" s="743" t="s">
        <v>959</v>
      </c>
      <c r="C47" s="744">
        <f>IF(C29=0,0,C13/C29)</f>
        <v>1661.3895813596162</v>
      </c>
      <c r="D47" s="744">
        <f>IF(D29=0,0,D13/D29)</f>
        <v>1571.5175614108452</v>
      </c>
      <c r="E47" s="744">
        <f>IF(E29=0,0,E13/E29)</f>
        <v>1658.6439177886259</v>
      </c>
    </row>
    <row r="48" spans="1:5" ht="26.1" customHeight="1" x14ac:dyDescent="0.25">
      <c r="A48" s="742">
        <v>6</v>
      </c>
      <c r="B48" s="743" t="s">
        <v>960</v>
      </c>
      <c r="C48" s="744">
        <f>IF(C30=0,0,C13/C30)</f>
        <v>9397.4777289714657</v>
      </c>
      <c r="D48" s="744">
        <f>IF(D30=0,0,D13/D30)</f>
        <v>8833.6359430334523</v>
      </c>
      <c r="E48" s="744">
        <f>IF(E30=0,0,E13/E30)</f>
        <v>9048.3477344174735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961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962</v>
      </c>
      <c r="C51" s="744">
        <f>IF(C19=0,0,C16/C19)</f>
        <v>4482.8896593694817</v>
      </c>
      <c r="D51" s="744">
        <f>IF(D19=0,0,D16/D19)</f>
        <v>4248.2132529402752</v>
      </c>
      <c r="E51" s="744">
        <f>IF(E19=0,0,E16/E19)</f>
        <v>4385.1608214714461</v>
      </c>
    </row>
    <row r="52" spans="1:6" ht="26.1" customHeight="1" x14ac:dyDescent="0.25">
      <c r="A52" s="742">
        <v>2</v>
      </c>
      <c r="B52" s="743" t="s">
        <v>963</v>
      </c>
      <c r="C52" s="744">
        <f>IF(C20=0,0,C16/C20)</f>
        <v>25357.00007272551</v>
      </c>
      <c r="D52" s="744">
        <f>IF(D20=0,0,D16/D20)</f>
        <v>23879.573608553183</v>
      </c>
      <c r="E52" s="744">
        <f>IF(E20=0,0,E16/E20)</f>
        <v>23922.229212957547</v>
      </c>
    </row>
    <row r="53" spans="1:6" ht="26.1" customHeight="1" x14ac:dyDescent="0.25">
      <c r="A53" s="742">
        <v>3</v>
      </c>
      <c r="B53" s="743" t="s">
        <v>964</v>
      </c>
      <c r="C53" s="744">
        <f>IF(C22=0,0,C16/C22)</f>
        <v>2947.5186752219656</v>
      </c>
      <c r="D53" s="744">
        <f>IF(D22=0,0,D16/D22)</f>
        <v>2728.3254988949611</v>
      </c>
      <c r="E53" s="744">
        <f>IF(E22=0,0,E16/E22)</f>
        <v>2753.3369545667633</v>
      </c>
    </row>
    <row r="54" spans="1:6" ht="26.1" customHeight="1" x14ac:dyDescent="0.25">
      <c r="A54" s="742">
        <v>4</v>
      </c>
      <c r="B54" s="743" t="s">
        <v>965</v>
      </c>
      <c r="C54" s="744">
        <f>IF(C23=0,0,C16/C23)</f>
        <v>16672.333459234724</v>
      </c>
      <c r="D54" s="744">
        <f>IF(D23=0,0,D16/D23)</f>
        <v>15336.153271934334</v>
      </c>
      <c r="E54" s="744">
        <f>IF(E23=0,0,E16/E23)</f>
        <v>15020.192054336379</v>
      </c>
    </row>
    <row r="55" spans="1:6" ht="26.1" customHeight="1" x14ac:dyDescent="0.25">
      <c r="A55" s="742">
        <v>5</v>
      </c>
      <c r="B55" s="743" t="s">
        <v>966</v>
      </c>
      <c r="C55" s="744">
        <f>IF(C29=0,0,C16/C29)</f>
        <v>1875.4092302923743</v>
      </c>
      <c r="D55" s="744">
        <f>IF(D29=0,0,D16/D29)</f>
        <v>1736.0033760582594</v>
      </c>
      <c r="E55" s="744">
        <f>IF(E29=0,0,E16/E29)</f>
        <v>1737.8912901281064</v>
      </c>
    </row>
    <row r="56" spans="1:6" ht="26.1" customHeight="1" x14ac:dyDescent="0.25">
      <c r="A56" s="742">
        <v>6</v>
      </c>
      <c r="B56" s="743" t="s">
        <v>967</v>
      </c>
      <c r="C56" s="744">
        <f>IF(C30=0,0,C16/C30)</f>
        <v>10608.057659755648</v>
      </c>
      <c r="D56" s="744">
        <f>IF(D30=0,0,D16/D30)</f>
        <v>9758.2249136359096</v>
      </c>
      <c r="E56" s="744">
        <f>IF(E30=0,0,E16/E30)</f>
        <v>9480.6634197048188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968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969</v>
      </c>
      <c r="C59" s="752">
        <v>140913540</v>
      </c>
      <c r="D59" s="752">
        <v>140683001</v>
      </c>
      <c r="E59" s="752">
        <v>137008756</v>
      </c>
    </row>
    <row r="60" spans="1:6" ht="26.1" customHeight="1" x14ac:dyDescent="0.25">
      <c r="A60" s="742">
        <v>2</v>
      </c>
      <c r="B60" s="743" t="s">
        <v>970</v>
      </c>
      <c r="C60" s="752">
        <v>47150448</v>
      </c>
      <c r="D60" s="752">
        <v>50716032</v>
      </c>
      <c r="E60" s="752">
        <v>43107152</v>
      </c>
    </row>
    <row r="61" spans="1:6" ht="26.1" customHeight="1" x14ac:dyDescent="0.25">
      <c r="A61" s="753">
        <v>3</v>
      </c>
      <c r="B61" s="754" t="s">
        <v>971</v>
      </c>
      <c r="C61" s="755">
        <f>C59+C60</f>
        <v>188063988</v>
      </c>
      <c r="D61" s="755">
        <f>D59+D60</f>
        <v>191399033</v>
      </c>
      <c r="E61" s="755">
        <f>E59+E60</f>
        <v>180115908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972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973</v>
      </c>
      <c r="C64" s="744">
        <v>40875101</v>
      </c>
      <c r="D64" s="744">
        <v>42632896</v>
      </c>
      <c r="E64" s="752">
        <v>43864014</v>
      </c>
      <c r="F64" s="756"/>
    </row>
    <row r="65" spans="1:6" ht="26.1" customHeight="1" x14ac:dyDescent="0.25">
      <c r="A65" s="742">
        <v>2</v>
      </c>
      <c r="B65" s="743" t="s">
        <v>974</v>
      </c>
      <c r="C65" s="752">
        <v>13677034</v>
      </c>
      <c r="D65" s="752">
        <v>15369101</v>
      </c>
      <c r="E65" s="752">
        <v>13800963</v>
      </c>
      <c r="F65" s="756"/>
    </row>
    <row r="66" spans="1:6" ht="26.1" customHeight="1" x14ac:dyDescent="0.25">
      <c r="A66" s="753">
        <v>3</v>
      </c>
      <c r="B66" s="754" t="s">
        <v>975</v>
      </c>
      <c r="C66" s="757">
        <f>C64+C65</f>
        <v>54552135</v>
      </c>
      <c r="D66" s="757">
        <f>D64+D65</f>
        <v>58001997</v>
      </c>
      <c r="E66" s="757">
        <f>E64+E65</f>
        <v>57664977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976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977</v>
      </c>
      <c r="C69" s="752">
        <v>271163840</v>
      </c>
      <c r="D69" s="752">
        <v>254532104</v>
      </c>
      <c r="E69" s="752">
        <v>248015536</v>
      </c>
    </row>
    <row r="70" spans="1:6" ht="26.1" customHeight="1" x14ac:dyDescent="0.25">
      <c r="A70" s="742">
        <v>2</v>
      </c>
      <c r="B70" s="743" t="s">
        <v>978</v>
      </c>
      <c r="C70" s="752">
        <v>90732918</v>
      </c>
      <c r="D70" s="752">
        <v>89266886</v>
      </c>
      <c r="E70" s="752">
        <v>78033285</v>
      </c>
    </row>
    <row r="71" spans="1:6" ht="26.1" customHeight="1" x14ac:dyDescent="0.25">
      <c r="A71" s="753">
        <v>3</v>
      </c>
      <c r="B71" s="754" t="s">
        <v>979</v>
      </c>
      <c r="C71" s="755">
        <f>C69+C70</f>
        <v>361896758</v>
      </c>
      <c r="D71" s="755">
        <f>D69+D70</f>
        <v>343798990</v>
      </c>
      <c r="E71" s="755">
        <f>E69+E70</f>
        <v>326048821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980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981</v>
      </c>
      <c r="C75" s="744">
        <f t="shared" ref="C75:E76" si="0">+C59+C64+C69</f>
        <v>452952481</v>
      </c>
      <c r="D75" s="744">
        <f t="shared" si="0"/>
        <v>437848001</v>
      </c>
      <c r="E75" s="744">
        <f t="shared" si="0"/>
        <v>428888306</v>
      </c>
    </row>
    <row r="76" spans="1:6" ht="26.1" customHeight="1" x14ac:dyDescent="0.25">
      <c r="A76" s="742">
        <v>2</v>
      </c>
      <c r="B76" s="743" t="s">
        <v>982</v>
      </c>
      <c r="C76" s="744">
        <f t="shared" si="0"/>
        <v>151560400</v>
      </c>
      <c r="D76" s="744">
        <f t="shared" si="0"/>
        <v>155352019</v>
      </c>
      <c r="E76" s="744">
        <f t="shared" si="0"/>
        <v>134941400</v>
      </c>
    </row>
    <row r="77" spans="1:6" ht="26.1" customHeight="1" x14ac:dyDescent="0.25">
      <c r="A77" s="753">
        <v>3</v>
      </c>
      <c r="B77" s="754" t="s">
        <v>980</v>
      </c>
      <c r="C77" s="757">
        <f>C75+C76</f>
        <v>604512881</v>
      </c>
      <c r="D77" s="757">
        <f>D75+D76</f>
        <v>593200020</v>
      </c>
      <c r="E77" s="757">
        <f>E75+E76</f>
        <v>563829706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983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1573.5</v>
      </c>
      <c r="D80" s="749">
        <v>1562</v>
      </c>
      <c r="E80" s="749">
        <v>1815.4</v>
      </c>
    </row>
    <row r="81" spans="1:5" ht="26.1" customHeight="1" x14ac:dyDescent="0.25">
      <c r="A81" s="742">
        <v>2</v>
      </c>
      <c r="B81" s="743" t="s">
        <v>617</v>
      </c>
      <c r="C81" s="749">
        <v>222</v>
      </c>
      <c r="D81" s="749">
        <v>230.2</v>
      </c>
      <c r="E81" s="749">
        <v>157.19999999999999</v>
      </c>
    </row>
    <row r="82" spans="1:5" ht="26.1" customHeight="1" x14ac:dyDescent="0.25">
      <c r="A82" s="742">
        <v>3</v>
      </c>
      <c r="B82" s="743" t="s">
        <v>984</v>
      </c>
      <c r="C82" s="749">
        <v>4238</v>
      </c>
      <c r="D82" s="749">
        <v>4332.7</v>
      </c>
      <c r="E82" s="749">
        <v>3834.4</v>
      </c>
    </row>
    <row r="83" spans="1:5" ht="26.1" customHeight="1" x14ac:dyDescent="0.25">
      <c r="A83" s="753">
        <v>4</v>
      </c>
      <c r="B83" s="754" t="s">
        <v>983</v>
      </c>
      <c r="C83" s="759">
        <f>C80+C81+C82</f>
        <v>6033.5</v>
      </c>
      <c r="D83" s="759">
        <f>D80+D81+D82</f>
        <v>6124.9</v>
      </c>
      <c r="E83" s="759">
        <f>E80+E81+E82</f>
        <v>5807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985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986</v>
      </c>
      <c r="C86" s="752">
        <f>IF(C80=0,0,C59/C80)</f>
        <v>89554.204003813153</v>
      </c>
      <c r="D86" s="752">
        <f>IF(D80=0,0,D59/D80)</f>
        <v>90065.941741357237</v>
      </c>
      <c r="E86" s="752">
        <f>IF(E80=0,0,E59/E80)</f>
        <v>75470.285336564935</v>
      </c>
    </row>
    <row r="87" spans="1:5" ht="26.1" customHeight="1" x14ac:dyDescent="0.25">
      <c r="A87" s="742">
        <v>2</v>
      </c>
      <c r="B87" s="743" t="s">
        <v>987</v>
      </c>
      <c r="C87" s="752">
        <f>IF(C80=0,0,C60/C80)</f>
        <v>29965.330791229742</v>
      </c>
      <c r="D87" s="752">
        <f>IF(D80=0,0,D60/D80)</f>
        <v>32468.650448143406</v>
      </c>
      <c r="E87" s="752">
        <f>IF(E80=0,0,E60/E80)</f>
        <v>23745.263853696153</v>
      </c>
    </row>
    <row r="88" spans="1:5" ht="26.1" customHeight="1" x14ac:dyDescent="0.25">
      <c r="A88" s="753">
        <v>3</v>
      </c>
      <c r="B88" s="754" t="s">
        <v>988</v>
      </c>
      <c r="C88" s="755">
        <f>+C86+C87</f>
        <v>119519.5347950429</v>
      </c>
      <c r="D88" s="755">
        <f>+D86+D87</f>
        <v>122534.59218950065</v>
      </c>
      <c r="E88" s="755">
        <f>+E86+E87</f>
        <v>99215.549190261081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989</v>
      </c>
    </row>
    <row r="91" spans="1:5" ht="26.1" customHeight="1" x14ac:dyDescent="0.25">
      <c r="A91" s="742">
        <v>1</v>
      </c>
      <c r="B91" s="743" t="s">
        <v>990</v>
      </c>
      <c r="C91" s="744">
        <f>IF(C81=0,0,C64/C81)</f>
        <v>184122.07657657657</v>
      </c>
      <c r="D91" s="744">
        <f>IF(D81=0,0,D64/D81)</f>
        <v>185199.37445699392</v>
      </c>
      <c r="E91" s="744">
        <f>IF(E81=0,0,E64/E81)</f>
        <v>279033.16793893132</v>
      </c>
    </row>
    <row r="92" spans="1:5" ht="26.1" customHeight="1" x14ac:dyDescent="0.25">
      <c r="A92" s="742">
        <v>2</v>
      </c>
      <c r="B92" s="743" t="s">
        <v>991</v>
      </c>
      <c r="C92" s="744">
        <f>IF(C81=0,0,C65/C81)</f>
        <v>61608.261261261265</v>
      </c>
      <c r="D92" s="744">
        <f>IF(D81=0,0,D65/D81)</f>
        <v>66764.122502172031</v>
      </c>
      <c r="E92" s="744">
        <f>IF(E81=0,0,E65/E81)</f>
        <v>87792.385496183211</v>
      </c>
    </row>
    <row r="93" spans="1:5" ht="26.1" customHeight="1" x14ac:dyDescent="0.25">
      <c r="A93" s="753">
        <v>3</v>
      </c>
      <c r="B93" s="754" t="s">
        <v>992</v>
      </c>
      <c r="C93" s="757">
        <f>+C91+C92</f>
        <v>245730.33783783784</v>
      </c>
      <c r="D93" s="757">
        <f>+D91+D92</f>
        <v>251963.49695916596</v>
      </c>
      <c r="E93" s="757">
        <f>+E91+E92</f>
        <v>366825.55343511456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993</v>
      </c>
      <c r="B95" s="745" t="s">
        <v>994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995</v>
      </c>
      <c r="C96" s="752">
        <f>IF(C82=0,0,C69/C82)</f>
        <v>63983.91694195375</v>
      </c>
      <c r="D96" s="752">
        <f>IF(D82=0,0,D69/D82)</f>
        <v>58746.763911648632</v>
      </c>
      <c r="E96" s="752">
        <f>IF(E82=0,0,E69/E82)</f>
        <v>64681.706655539325</v>
      </c>
    </row>
    <row r="97" spans="1:5" ht="26.1" customHeight="1" x14ac:dyDescent="0.25">
      <c r="A97" s="742">
        <v>2</v>
      </c>
      <c r="B97" s="743" t="s">
        <v>996</v>
      </c>
      <c r="C97" s="752">
        <f>IF(C82=0,0,C70/C82)</f>
        <v>21409.371873525248</v>
      </c>
      <c r="D97" s="752">
        <f>IF(D82=0,0,D70/D82)</f>
        <v>20603.061832113926</v>
      </c>
      <c r="E97" s="752">
        <f>IF(E82=0,0,E70/E82)</f>
        <v>20350.84628625078</v>
      </c>
    </row>
    <row r="98" spans="1:5" ht="26.1" customHeight="1" x14ac:dyDescent="0.25">
      <c r="A98" s="753">
        <v>3</v>
      </c>
      <c r="B98" s="754" t="s">
        <v>997</v>
      </c>
      <c r="C98" s="757">
        <f>+C96+C97</f>
        <v>85393.288815478998</v>
      </c>
      <c r="D98" s="757">
        <f>+D96+D97</f>
        <v>79349.825743762558</v>
      </c>
      <c r="E98" s="757">
        <f>+E96+E97</f>
        <v>85032.552941790113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998</v>
      </c>
      <c r="B100" s="745" t="s">
        <v>999</v>
      </c>
    </row>
    <row r="101" spans="1:5" ht="26.1" customHeight="1" x14ac:dyDescent="0.25">
      <c r="A101" s="742">
        <v>1</v>
      </c>
      <c r="B101" s="743" t="s">
        <v>1000</v>
      </c>
      <c r="C101" s="744">
        <f>IF(C83=0,0,C75/C83)</f>
        <v>75072.923013176434</v>
      </c>
      <c r="D101" s="744">
        <f>IF(D83=0,0,D75/D83)</f>
        <v>71486.555045796675</v>
      </c>
      <c r="E101" s="744">
        <f>IF(E83=0,0,E75/E83)</f>
        <v>73857.121749612532</v>
      </c>
    </row>
    <row r="102" spans="1:5" ht="26.1" customHeight="1" x14ac:dyDescent="0.25">
      <c r="A102" s="742">
        <v>2</v>
      </c>
      <c r="B102" s="743" t="s">
        <v>1001</v>
      </c>
      <c r="C102" s="761">
        <f>IF(C83=0,0,C76/C83)</f>
        <v>25119.814369768792</v>
      </c>
      <c r="D102" s="761">
        <f>IF(D83=0,0,D76/D83)</f>
        <v>25364.009045045634</v>
      </c>
      <c r="E102" s="761">
        <f>IF(E83=0,0,E76/E83)</f>
        <v>23237.71310487343</v>
      </c>
    </row>
    <row r="103" spans="1:5" ht="26.1" customHeight="1" x14ac:dyDescent="0.25">
      <c r="A103" s="753">
        <v>3</v>
      </c>
      <c r="B103" s="754" t="s">
        <v>999</v>
      </c>
      <c r="C103" s="757">
        <f>+C101+C102</f>
        <v>100192.73738294523</v>
      </c>
      <c r="D103" s="757">
        <f>+D101+D102</f>
        <v>96850.564090842308</v>
      </c>
      <c r="E103" s="757">
        <f>+E101+E102</f>
        <v>97094.834854485962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1002</v>
      </c>
      <c r="B107" s="736" t="s">
        <v>1003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1004</v>
      </c>
      <c r="C108" s="744">
        <f>IF(C19=0,0,C77/C19)</f>
        <v>2590.7842944816825</v>
      </c>
      <c r="D108" s="744">
        <f>IF(D19=0,0,D77/D19)</f>
        <v>2524.1265126887138</v>
      </c>
      <c r="E108" s="744">
        <f>IF(E19=0,0,E77/E19)</f>
        <v>2417.3799777053678</v>
      </c>
    </row>
    <row r="109" spans="1:5" ht="26.1" customHeight="1" x14ac:dyDescent="0.25">
      <c r="A109" s="742">
        <v>2</v>
      </c>
      <c r="B109" s="743" t="s">
        <v>1005</v>
      </c>
      <c r="C109" s="744">
        <f>IF(C20=0,0,C77/C20)</f>
        <v>14654.502460546411</v>
      </c>
      <c r="D109" s="744">
        <f>IF(D20=0,0,D77/D20)</f>
        <v>14188.333134014207</v>
      </c>
      <c r="E109" s="744">
        <f>IF(E20=0,0,E77/E20)</f>
        <v>13187.456578177991</v>
      </c>
    </row>
    <row r="110" spans="1:5" ht="26.1" customHeight="1" x14ac:dyDescent="0.25">
      <c r="A110" s="742">
        <v>3</v>
      </c>
      <c r="B110" s="743" t="s">
        <v>1006</v>
      </c>
      <c r="C110" s="744">
        <f>IF(C22=0,0,C77/C22)</f>
        <v>1703.4514948401786</v>
      </c>
      <c r="D110" s="744">
        <f>IF(D22=0,0,D77/D22)</f>
        <v>1621.0670973824228</v>
      </c>
      <c r="E110" s="744">
        <f>IF(E22=0,0,E77/E22)</f>
        <v>1517.8147157696683</v>
      </c>
    </row>
    <row r="111" spans="1:5" ht="26.1" customHeight="1" x14ac:dyDescent="0.25">
      <c r="A111" s="742">
        <v>4</v>
      </c>
      <c r="B111" s="743" t="s">
        <v>1007</v>
      </c>
      <c r="C111" s="744">
        <f>IF(C23=0,0,C77/C23)</f>
        <v>9635.3965769084043</v>
      </c>
      <c r="D111" s="744">
        <f>IF(D23=0,0,D77/D23)</f>
        <v>9112.1581642717592</v>
      </c>
      <c r="E111" s="744">
        <f>IF(E23=0,0,E77/E23)</f>
        <v>8280.0866403021282</v>
      </c>
    </row>
    <row r="112" spans="1:5" ht="26.1" customHeight="1" x14ac:dyDescent="0.25">
      <c r="A112" s="742">
        <v>5</v>
      </c>
      <c r="B112" s="743" t="s">
        <v>1008</v>
      </c>
      <c r="C112" s="744">
        <f>IF(C29=0,0,C77/C29)</f>
        <v>1083.8501834218359</v>
      </c>
      <c r="D112" s="744">
        <f>IF(D29=0,0,D77/D29)</f>
        <v>1031.4670866847305</v>
      </c>
      <c r="E112" s="744">
        <f>IF(E29=0,0,E77/E29)</f>
        <v>958.03638206694916</v>
      </c>
    </row>
    <row r="113" spans="1:7" ht="25.5" customHeight="1" x14ac:dyDescent="0.25">
      <c r="A113" s="742">
        <v>6</v>
      </c>
      <c r="B113" s="743" t="s">
        <v>1009</v>
      </c>
      <c r="C113" s="744">
        <f>IF(C30=0,0,C77/C30)</f>
        <v>6130.6860681725002</v>
      </c>
      <c r="D113" s="744">
        <f>IF(D30=0,0,D77/D30)</f>
        <v>5797.9655809981568</v>
      </c>
      <c r="E113" s="744">
        <f>IF(E30=0,0,E77/E30)</f>
        <v>5226.3455912360014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FILING&amp;R&amp;"Arial,Bold"&amp;12HARTFORD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2411937033</v>
      </c>
      <c r="D12" s="76">
        <v>2554085582</v>
      </c>
      <c r="E12" s="76">
        <f t="shared" ref="E12:E21" si="0">D12-C12</f>
        <v>142148549</v>
      </c>
      <c r="F12" s="77">
        <f t="shared" ref="F12:F21" si="1">IF(C12=0,0,E12/C12)</f>
        <v>5.8935431172178532E-2</v>
      </c>
    </row>
    <row r="13" spans="1:8" ht="23.1" customHeight="1" x14ac:dyDescent="0.2">
      <c r="A13" s="74">
        <v>2</v>
      </c>
      <c r="B13" s="75" t="s">
        <v>72</v>
      </c>
      <c r="C13" s="76">
        <v>1462507969</v>
      </c>
      <c r="D13" s="76">
        <v>1520387941</v>
      </c>
      <c r="E13" s="76">
        <f t="shared" si="0"/>
        <v>57879972</v>
      </c>
      <c r="F13" s="77">
        <f t="shared" si="1"/>
        <v>3.9575833586449331E-2</v>
      </c>
    </row>
    <row r="14" spans="1:8" ht="23.1" customHeight="1" x14ac:dyDescent="0.2">
      <c r="A14" s="74">
        <v>3</v>
      </c>
      <c r="B14" s="75" t="s">
        <v>73</v>
      </c>
      <c r="C14" s="76">
        <v>28176676</v>
      </c>
      <c r="D14" s="76">
        <v>32901514</v>
      </c>
      <c r="E14" s="76">
        <f t="shared" si="0"/>
        <v>4724838</v>
      </c>
      <c r="F14" s="77">
        <f t="shared" si="1"/>
        <v>0.16768613870564433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921252388</v>
      </c>
      <c r="D16" s="79">
        <f>D12-D13-D14-D15</f>
        <v>1000796127</v>
      </c>
      <c r="E16" s="79">
        <f t="shared" si="0"/>
        <v>79543739</v>
      </c>
      <c r="F16" s="80">
        <f t="shared" si="1"/>
        <v>8.6343047829364222E-2</v>
      </c>
    </row>
    <row r="17" spans="1:7" ht="23.1" customHeight="1" x14ac:dyDescent="0.2">
      <c r="A17" s="74">
        <v>5</v>
      </c>
      <c r="B17" s="75" t="s">
        <v>76</v>
      </c>
      <c r="C17" s="76">
        <v>17467613</v>
      </c>
      <c r="D17" s="76">
        <v>24640388</v>
      </c>
      <c r="E17" s="76">
        <f t="shared" si="0"/>
        <v>7172775</v>
      </c>
      <c r="F17" s="77">
        <f t="shared" si="1"/>
        <v>0.41063280941706232</v>
      </c>
      <c r="G17" s="65"/>
    </row>
    <row r="18" spans="1:7" ht="31.5" customHeight="1" x14ac:dyDescent="0.25">
      <c r="A18" s="71"/>
      <c r="B18" s="81" t="s">
        <v>77</v>
      </c>
      <c r="C18" s="79">
        <f>C16-C17</f>
        <v>903784775</v>
      </c>
      <c r="D18" s="79">
        <f>D16-D17</f>
        <v>976155739</v>
      </c>
      <c r="E18" s="79">
        <f t="shared" si="0"/>
        <v>72370964</v>
      </c>
      <c r="F18" s="80">
        <f t="shared" si="1"/>
        <v>8.0075440527309166E-2</v>
      </c>
    </row>
    <row r="19" spans="1:7" ht="23.1" customHeight="1" x14ac:dyDescent="0.2">
      <c r="A19" s="74">
        <v>6</v>
      </c>
      <c r="B19" s="75" t="s">
        <v>78</v>
      </c>
      <c r="C19" s="76">
        <v>82129708</v>
      </c>
      <c r="D19" s="76">
        <v>74586939</v>
      </c>
      <c r="E19" s="76">
        <f t="shared" si="0"/>
        <v>-7542769</v>
      </c>
      <c r="F19" s="77">
        <f t="shared" si="1"/>
        <v>-9.1839715295225444E-2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7604749</v>
      </c>
      <c r="D20" s="76">
        <v>8337418</v>
      </c>
      <c r="E20" s="76">
        <f t="shared" si="0"/>
        <v>732669</v>
      </c>
      <c r="F20" s="77">
        <f t="shared" si="1"/>
        <v>9.6343613707697645E-2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993519232</v>
      </c>
      <c r="D21" s="79">
        <f>SUM(D18:D20)</f>
        <v>1059080096</v>
      </c>
      <c r="E21" s="79">
        <f t="shared" si="0"/>
        <v>65560864</v>
      </c>
      <c r="F21" s="80">
        <f t="shared" si="1"/>
        <v>6.598852029066711E-2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437848001</v>
      </c>
      <c r="D24" s="76">
        <v>428888306</v>
      </c>
      <c r="E24" s="76">
        <f t="shared" ref="E24:E33" si="2">D24-C24</f>
        <v>-8959695</v>
      </c>
      <c r="F24" s="77">
        <f t="shared" ref="F24:F33" si="3">IF(C24=0,0,E24/C24)</f>
        <v>-2.0463025934883736E-2</v>
      </c>
    </row>
    <row r="25" spans="1:7" ht="23.1" customHeight="1" x14ac:dyDescent="0.2">
      <c r="A25" s="74">
        <v>2</v>
      </c>
      <c r="B25" s="75" t="s">
        <v>83</v>
      </c>
      <c r="C25" s="76">
        <v>155352019</v>
      </c>
      <c r="D25" s="76">
        <v>134941400</v>
      </c>
      <c r="E25" s="76">
        <f t="shared" si="2"/>
        <v>-20410619</v>
      </c>
      <c r="F25" s="77">
        <f t="shared" si="3"/>
        <v>-0.1313830301748444</v>
      </c>
    </row>
    <row r="26" spans="1:7" ht="23.1" customHeight="1" x14ac:dyDescent="0.2">
      <c r="A26" s="74">
        <v>3</v>
      </c>
      <c r="B26" s="75" t="s">
        <v>84</v>
      </c>
      <c r="C26" s="76">
        <v>49772864</v>
      </c>
      <c r="D26" s="76">
        <v>54386076</v>
      </c>
      <c r="E26" s="76">
        <f t="shared" si="2"/>
        <v>4613212</v>
      </c>
      <c r="F26" s="77">
        <f t="shared" si="3"/>
        <v>9.268528329010764E-2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138139487</v>
      </c>
      <c r="D27" s="76">
        <v>149340181</v>
      </c>
      <c r="E27" s="76">
        <f t="shared" si="2"/>
        <v>11200694</v>
      </c>
      <c r="F27" s="77">
        <f t="shared" si="3"/>
        <v>8.1082493089032537E-2</v>
      </c>
    </row>
    <row r="28" spans="1:7" ht="23.1" customHeight="1" x14ac:dyDescent="0.2">
      <c r="A28" s="74">
        <v>5</v>
      </c>
      <c r="B28" s="75" t="s">
        <v>86</v>
      </c>
      <c r="C28" s="76">
        <v>48416843</v>
      </c>
      <c r="D28" s="76">
        <v>48593411</v>
      </c>
      <c r="E28" s="76">
        <f t="shared" si="2"/>
        <v>176568</v>
      </c>
      <c r="F28" s="77">
        <f t="shared" si="3"/>
        <v>3.6468300917513355E-3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5704487</v>
      </c>
      <c r="D30" s="76">
        <v>8386515</v>
      </c>
      <c r="E30" s="76">
        <f t="shared" si="2"/>
        <v>2682028</v>
      </c>
      <c r="F30" s="77">
        <f t="shared" si="3"/>
        <v>0.47016112053546621</v>
      </c>
    </row>
    <row r="31" spans="1:7" ht="23.1" customHeight="1" x14ac:dyDescent="0.2">
      <c r="A31" s="74">
        <v>8</v>
      </c>
      <c r="B31" s="75" t="s">
        <v>89</v>
      </c>
      <c r="C31" s="76">
        <v>7770477</v>
      </c>
      <c r="D31" s="76">
        <v>8573872</v>
      </c>
      <c r="E31" s="76">
        <f t="shared" si="2"/>
        <v>803395</v>
      </c>
      <c r="F31" s="77">
        <f t="shared" si="3"/>
        <v>0.10339069274640411</v>
      </c>
    </row>
    <row r="32" spans="1:7" ht="23.1" customHeight="1" x14ac:dyDescent="0.2">
      <c r="A32" s="74">
        <v>9</v>
      </c>
      <c r="B32" s="75" t="s">
        <v>90</v>
      </c>
      <c r="C32" s="76">
        <v>155376915</v>
      </c>
      <c r="D32" s="76">
        <v>189685149</v>
      </c>
      <c r="E32" s="76">
        <f t="shared" si="2"/>
        <v>34308234</v>
      </c>
      <c r="F32" s="77">
        <f t="shared" si="3"/>
        <v>0.22080650783934022</v>
      </c>
    </row>
    <row r="33" spans="1:6" ht="23.1" customHeight="1" x14ac:dyDescent="0.25">
      <c r="A33" s="71"/>
      <c r="B33" s="78" t="s">
        <v>91</v>
      </c>
      <c r="C33" s="79">
        <f>SUM(C24:C32)</f>
        <v>998381093</v>
      </c>
      <c r="D33" s="79">
        <f>SUM(D24:D32)</f>
        <v>1022794910</v>
      </c>
      <c r="E33" s="79">
        <f t="shared" si="2"/>
        <v>24413817</v>
      </c>
      <c r="F33" s="80">
        <f t="shared" si="3"/>
        <v>2.4453404788185428E-2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-4861861</v>
      </c>
      <c r="D35" s="79">
        <f>+D21-D33</f>
        <v>36285186</v>
      </c>
      <c r="E35" s="79">
        <f>D35-C35</f>
        <v>41147047</v>
      </c>
      <c r="F35" s="80">
        <f>IF(C35=0,0,E35/C35)</f>
        <v>-8.4632298208443224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19092651</v>
      </c>
      <c r="D38" s="76">
        <v>22726871</v>
      </c>
      <c r="E38" s="76">
        <f>D38-C38</f>
        <v>3634220</v>
      </c>
      <c r="F38" s="77">
        <f>IF(C38=0,0,E38/C38)</f>
        <v>0.19034653700002163</v>
      </c>
    </row>
    <row r="39" spans="1:6" ht="23.1" customHeight="1" x14ac:dyDescent="0.2">
      <c r="A39" s="85">
        <v>2</v>
      </c>
      <c r="B39" s="75" t="s">
        <v>95</v>
      </c>
      <c r="C39" s="76">
        <v>240481</v>
      </c>
      <c r="D39" s="76">
        <v>120097</v>
      </c>
      <c r="E39" s="76">
        <f>D39-C39</f>
        <v>-120384</v>
      </c>
      <c r="F39" s="77">
        <f>IF(C39=0,0,E39/C39)</f>
        <v>-0.50059672073885253</v>
      </c>
    </row>
    <row r="40" spans="1:6" ht="23.1" customHeight="1" x14ac:dyDescent="0.2">
      <c r="A40" s="85">
        <v>3</v>
      </c>
      <c r="B40" s="75" t="s">
        <v>96</v>
      </c>
      <c r="C40" s="76">
        <v>9987847</v>
      </c>
      <c r="D40" s="76">
        <v>-6568758</v>
      </c>
      <c r="E40" s="76">
        <f>D40-C40</f>
        <v>-16556605</v>
      </c>
      <c r="F40" s="77">
        <f>IF(C40=0,0,E40/C40)</f>
        <v>-1.6576750725156282</v>
      </c>
    </row>
    <row r="41" spans="1:6" ht="23.1" customHeight="1" x14ac:dyDescent="0.25">
      <c r="A41" s="83"/>
      <c r="B41" s="78" t="s">
        <v>97</v>
      </c>
      <c r="C41" s="79">
        <f>SUM(C38:C40)</f>
        <v>29320979</v>
      </c>
      <c r="D41" s="79">
        <f>SUM(D38:D40)</f>
        <v>16278210</v>
      </c>
      <c r="E41" s="79">
        <f>D41-C41</f>
        <v>-13042769</v>
      </c>
      <c r="F41" s="80">
        <f>IF(C41=0,0,E41/C41)</f>
        <v>-0.44482720034689155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24459118</v>
      </c>
      <c r="D43" s="79">
        <f>D35+D41</f>
        <v>52563396</v>
      </c>
      <c r="E43" s="79">
        <f>D43-C43</f>
        <v>28104278</v>
      </c>
      <c r="F43" s="80">
        <f>IF(C43=0,0,E43/C43)</f>
        <v>1.1490307213857833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65202</v>
      </c>
      <c r="E46" s="76">
        <f>D46-C46</f>
        <v>65202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65202</v>
      </c>
      <c r="E48" s="79">
        <f>D48-C48</f>
        <v>65202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24459118</v>
      </c>
      <c r="D50" s="79">
        <f>D43+D48</f>
        <v>52628598</v>
      </c>
      <c r="E50" s="79">
        <f>D50-C50</f>
        <v>28169480</v>
      </c>
      <c r="F50" s="80">
        <f>IF(C50=0,0,E50/C50)</f>
        <v>1.1516964757273749</v>
      </c>
    </row>
    <row r="51" spans="1:6" ht="23.1" customHeight="1" x14ac:dyDescent="0.2">
      <c r="A51" s="85"/>
      <c r="B51" s="75" t="s">
        <v>104</v>
      </c>
      <c r="C51" s="76">
        <v>5971334</v>
      </c>
      <c r="D51" s="76">
        <v>88386723</v>
      </c>
      <c r="E51" s="76">
        <f>D51-C51</f>
        <v>82415389</v>
      </c>
      <c r="F51" s="77">
        <f>IF(C51=0,0,E51/C51)</f>
        <v>13.801838751608937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FILING&amp;RHARTFORD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622787027</v>
      </c>
      <c r="D14" s="113">
        <v>640449123</v>
      </c>
      <c r="E14" s="113">
        <f t="shared" ref="E14:E25" si="0">D14-C14</f>
        <v>17662096</v>
      </c>
      <c r="F14" s="114">
        <f t="shared" ref="F14:F25" si="1">IF(C14=0,0,E14/C14)</f>
        <v>2.8359768643671505E-2</v>
      </c>
    </row>
    <row r="15" spans="1:6" x14ac:dyDescent="0.2">
      <c r="A15" s="115">
        <v>2</v>
      </c>
      <c r="B15" s="116" t="s">
        <v>114</v>
      </c>
      <c r="C15" s="113">
        <v>166731805</v>
      </c>
      <c r="D15" s="113">
        <v>178838551</v>
      </c>
      <c r="E15" s="113">
        <f t="shared" si="0"/>
        <v>12106746</v>
      </c>
      <c r="F15" s="114">
        <f t="shared" si="1"/>
        <v>7.2612097014123966E-2</v>
      </c>
    </row>
    <row r="16" spans="1:6" x14ac:dyDescent="0.2">
      <c r="A16" s="115">
        <v>3</v>
      </c>
      <c r="B16" s="116" t="s">
        <v>115</v>
      </c>
      <c r="C16" s="113">
        <v>284428877</v>
      </c>
      <c r="D16" s="113">
        <v>302959364</v>
      </c>
      <c r="E16" s="113">
        <f t="shared" si="0"/>
        <v>18530487</v>
      </c>
      <c r="F16" s="114">
        <f t="shared" si="1"/>
        <v>6.5149808962611064E-2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7342494</v>
      </c>
      <c r="D18" s="113">
        <v>8277519</v>
      </c>
      <c r="E18" s="113">
        <f t="shared" si="0"/>
        <v>935025</v>
      </c>
      <c r="F18" s="114">
        <f t="shared" si="1"/>
        <v>0.12734433286564484</v>
      </c>
    </row>
    <row r="19" spans="1:6" x14ac:dyDescent="0.2">
      <c r="A19" s="115">
        <v>6</v>
      </c>
      <c r="B19" s="116" t="s">
        <v>118</v>
      </c>
      <c r="C19" s="113">
        <v>14809888</v>
      </c>
      <c r="D19" s="113">
        <v>16087561</v>
      </c>
      <c r="E19" s="113">
        <f t="shared" si="0"/>
        <v>1277673</v>
      </c>
      <c r="F19" s="114">
        <f t="shared" si="1"/>
        <v>8.6271617989278515E-2</v>
      </c>
    </row>
    <row r="20" spans="1:6" x14ac:dyDescent="0.2">
      <c r="A20" s="115">
        <v>7</v>
      </c>
      <c r="B20" s="116" t="s">
        <v>119</v>
      </c>
      <c r="C20" s="113">
        <v>442030616</v>
      </c>
      <c r="D20" s="113">
        <v>434153562</v>
      </c>
      <c r="E20" s="113">
        <f t="shared" si="0"/>
        <v>-7877054</v>
      </c>
      <c r="F20" s="114">
        <f t="shared" si="1"/>
        <v>-1.7820154792173942E-2</v>
      </c>
    </row>
    <row r="21" spans="1:6" x14ac:dyDescent="0.2">
      <c r="A21" s="115">
        <v>8</v>
      </c>
      <c r="B21" s="116" t="s">
        <v>120</v>
      </c>
      <c r="C21" s="113">
        <v>0</v>
      </c>
      <c r="D21" s="113">
        <v>0</v>
      </c>
      <c r="E21" s="113">
        <f t="shared" si="0"/>
        <v>0</v>
      </c>
      <c r="F21" s="114">
        <f t="shared" si="1"/>
        <v>0</v>
      </c>
    </row>
    <row r="22" spans="1:6" x14ac:dyDescent="0.2">
      <c r="A22" s="115">
        <v>9</v>
      </c>
      <c r="B22" s="116" t="s">
        <v>121</v>
      </c>
      <c r="C22" s="113">
        <v>10885059</v>
      </c>
      <c r="D22" s="113">
        <v>22883195</v>
      </c>
      <c r="E22" s="113">
        <f t="shared" si="0"/>
        <v>11998136</v>
      </c>
      <c r="F22" s="114">
        <f t="shared" si="1"/>
        <v>1.1022573235478099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1549015766</v>
      </c>
      <c r="D25" s="119">
        <f>SUM(D14:D24)</f>
        <v>1603648875</v>
      </c>
      <c r="E25" s="119">
        <f t="shared" si="0"/>
        <v>54633109</v>
      </c>
      <c r="F25" s="120">
        <f t="shared" si="1"/>
        <v>3.5269562905146053E-2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237035573</v>
      </c>
      <c r="D27" s="113">
        <v>258669938</v>
      </c>
      <c r="E27" s="113">
        <f t="shared" ref="E27:E38" si="2">D27-C27</f>
        <v>21634365</v>
      </c>
      <c r="F27" s="114">
        <f t="shared" ref="F27:F38" si="3">IF(C27=0,0,E27/C27)</f>
        <v>9.1270541067690295E-2</v>
      </c>
    </row>
    <row r="28" spans="1:6" x14ac:dyDescent="0.2">
      <c r="A28" s="115">
        <v>2</v>
      </c>
      <c r="B28" s="116" t="s">
        <v>114</v>
      </c>
      <c r="C28" s="113">
        <v>69100639</v>
      </c>
      <c r="D28" s="113">
        <v>86938441</v>
      </c>
      <c r="E28" s="113">
        <f t="shared" si="2"/>
        <v>17837802</v>
      </c>
      <c r="F28" s="114">
        <f t="shared" si="3"/>
        <v>0.2581423595807848</v>
      </c>
    </row>
    <row r="29" spans="1:6" x14ac:dyDescent="0.2">
      <c r="A29" s="115">
        <v>3</v>
      </c>
      <c r="B29" s="116" t="s">
        <v>115</v>
      </c>
      <c r="C29" s="113">
        <v>173414462</v>
      </c>
      <c r="D29" s="113">
        <v>199352307</v>
      </c>
      <c r="E29" s="113">
        <f t="shared" si="2"/>
        <v>25937845</v>
      </c>
      <c r="F29" s="114">
        <f t="shared" si="3"/>
        <v>0.14957140656469586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4276924</v>
      </c>
      <c r="D31" s="113">
        <v>4395218</v>
      </c>
      <c r="E31" s="113">
        <f t="shared" si="2"/>
        <v>118294</v>
      </c>
      <c r="F31" s="114">
        <f t="shared" si="3"/>
        <v>2.765866309525257E-2</v>
      </c>
    </row>
    <row r="32" spans="1:6" x14ac:dyDescent="0.2">
      <c r="A32" s="115">
        <v>6</v>
      </c>
      <c r="B32" s="116" t="s">
        <v>118</v>
      </c>
      <c r="C32" s="113">
        <v>9823187</v>
      </c>
      <c r="D32" s="113">
        <v>10174440</v>
      </c>
      <c r="E32" s="113">
        <f t="shared" si="2"/>
        <v>351253</v>
      </c>
      <c r="F32" s="114">
        <f t="shared" si="3"/>
        <v>3.575753978825813E-2</v>
      </c>
    </row>
    <row r="33" spans="1:6" x14ac:dyDescent="0.2">
      <c r="A33" s="115">
        <v>7</v>
      </c>
      <c r="B33" s="116" t="s">
        <v>119</v>
      </c>
      <c r="C33" s="113">
        <v>332020968</v>
      </c>
      <c r="D33" s="113">
        <v>357676493</v>
      </c>
      <c r="E33" s="113">
        <f t="shared" si="2"/>
        <v>25655525</v>
      </c>
      <c r="F33" s="114">
        <f t="shared" si="3"/>
        <v>7.7270797547942818E-2</v>
      </c>
    </row>
    <row r="34" spans="1:6" x14ac:dyDescent="0.2">
      <c r="A34" s="115">
        <v>8</v>
      </c>
      <c r="B34" s="116" t="s">
        <v>120</v>
      </c>
      <c r="C34" s="113">
        <v>0</v>
      </c>
      <c r="D34" s="113">
        <v>0</v>
      </c>
      <c r="E34" s="113">
        <f t="shared" si="2"/>
        <v>0</v>
      </c>
      <c r="F34" s="114">
        <f t="shared" si="3"/>
        <v>0</v>
      </c>
    </row>
    <row r="35" spans="1:6" x14ac:dyDescent="0.2">
      <c r="A35" s="115">
        <v>9</v>
      </c>
      <c r="B35" s="116" t="s">
        <v>121</v>
      </c>
      <c r="C35" s="113">
        <v>37249513</v>
      </c>
      <c r="D35" s="113">
        <v>33229870</v>
      </c>
      <c r="E35" s="113">
        <f t="shared" si="2"/>
        <v>-4019643</v>
      </c>
      <c r="F35" s="114">
        <f t="shared" si="3"/>
        <v>-0.10791129000800628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862921266</v>
      </c>
      <c r="D38" s="119">
        <f>SUM(D27:D37)</f>
        <v>950436707</v>
      </c>
      <c r="E38" s="119">
        <f t="shared" si="2"/>
        <v>87515441</v>
      </c>
      <c r="F38" s="120">
        <f t="shared" si="3"/>
        <v>0.1014176431248132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859822600</v>
      </c>
      <c r="D41" s="119">
        <f t="shared" si="4"/>
        <v>899119061</v>
      </c>
      <c r="E41" s="123">
        <f t="shared" ref="E41:E52" si="5">D41-C41</f>
        <v>39296461</v>
      </c>
      <c r="F41" s="124">
        <f t="shared" ref="F41:F52" si="6">IF(C41=0,0,E41/C41)</f>
        <v>4.5702986871943123E-2</v>
      </c>
    </row>
    <row r="42" spans="1:6" ht="15.75" x14ac:dyDescent="0.25">
      <c r="A42" s="121">
        <v>2</v>
      </c>
      <c r="B42" s="122" t="s">
        <v>114</v>
      </c>
      <c r="C42" s="119">
        <f t="shared" si="4"/>
        <v>235832444</v>
      </c>
      <c r="D42" s="119">
        <f t="shared" si="4"/>
        <v>265776992</v>
      </c>
      <c r="E42" s="123">
        <f t="shared" si="5"/>
        <v>29944548</v>
      </c>
      <c r="F42" s="124">
        <f t="shared" si="6"/>
        <v>0.12697382723133718</v>
      </c>
    </row>
    <row r="43" spans="1:6" ht="15.75" x14ac:dyDescent="0.25">
      <c r="A43" s="121">
        <v>3</v>
      </c>
      <c r="B43" s="122" t="s">
        <v>115</v>
      </c>
      <c r="C43" s="119">
        <f t="shared" si="4"/>
        <v>457843339</v>
      </c>
      <c r="D43" s="119">
        <f t="shared" si="4"/>
        <v>502311671</v>
      </c>
      <c r="E43" s="123">
        <f t="shared" si="5"/>
        <v>44468332</v>
      </c>
      <c r="F43" s="124">
        <f t="shared" si="6"/>
        <v>9.7125650221592502E-2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11619418</v>
      </c>
      <c r="D45" s="119">
        <f t="shared" si="4"/>
        <v>12672737</v>
      </c>
      <c r="E45" s="123">
        <f t="shared" si="5"/>
        <v>1053319</v>
      </c>
      <c r="F45" s="124">
        <f t="shared" si="6"/>
        <v>9.0651614392390389E-2</v>
      </c>
    </row>
    <row r="46" spans="1:6" ht="15.75" x14ac:dyDescent="0.25">
      <c r="A46" s="121">
        <v>6</v>
      </c>
      <c r="B46" s="122" t="s">
        <v>118</v>
      </c>
      <c r="C46" s="119">
        <f t="shared" si="4"/>
        <v>24633075</v>
      </c>
      <c r="D46" s="119">
        <f t="shared" si="4"/>
        <v>26262001</v>
      </c>
      <c r="E46" s="123">
        <f t="shared" si="5"/>
        <v>1628926</v>
      </c>
      <c r="F46" s="124">
        <f t="shared" si="6"/>
        <v>6.6127594707522303E-2</v>
      </c>
    </row>
    <row r="47" spans="1:6" ht="15.75" x14ac:dyDescent="0.25">
      <c r="A47" s="121">
        <v>7</v>
      </c>
      <c r="B47" s="122" t="s">
        <v>119</v>
      </c>
      <c r="C47" s="119">
        <f t="shared" si="4"/>
        <v>774051584</v>
      </c>
      <c r="D47" s="119">
        <f t="shared" si="4"/>
        <v>791830055</v>
      </c>
      <c r="E47" s="123">
        <f t="shared" si="5"/>
        <v>17778471</v>
      </c>
      <c r="F47" s="124">
        <f t="shared" si="6"/>
        <v>2.2968070045316258E-2</v>
      </c>
    </row>
    <row r="48" spans="1:6" ht="15.75" x14ac:dyDescent="0.25">
      <c r="A48" s="121">
        <v>8</v>
      </c>
      <c r="B48" s="122" t="s">
        <v>120</v>
      </c>
      <c r="C48" s="119">
        <f t="shared" si="4"/>
        <v>0</v>
      </c>
      <c r="D48" s="119">
        <f t="shared" si="4"/>
        <v>0</v>
      </c>
      <c r="E48" s="123">
        <f t="shared" si="5"/>
        <v>0</v>
      </c>
      <c r="F48" s="124">
        <f t="shared" si="6"/>
        <v>0</v>
      </c>
    </row>
    <row r="49" spans="1:6" ht="15.75" x14ac:dyDescent="0.25">
      <c r="A49" s="121">
        <v>9</v>
      </c>
      <c r="B49" s="122" t="s">
        <v>121</v>
      </c>
      <c r="C49" s="119">
        <f t="shared" si="4"/>
        <v>48134572</v>
      </c>
      <c r="D49" s="119">
        <f t="shared" si="4"/>
        <v>56113065</v>
      </c>
      <c r="E49" s="123">
        <f t="shared" si="5"/>
        <v>7978493</v>
      </c>
      <c r="F49" s="124">
        <f t="shared" si="6"/>
        <v>0.16575389929716214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2411937032</v>
      </c>
      <c r="D52" s="128">
        <f>SUM(D41:D51)</f>
        <v>2554085582</v>
      </c>
      <c r="E52" s="127">
        <f t="shared" si="5"/>
        <v>142148550</v>
      </c>
      <c r="F52" s="129">
        <f t="shared" si="6"/>
        <v>5.8935431611217948E-2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214744713</v>
      </c>
      <c r="D57" s="113">
        <v>252011150</v>
      </c>
      <c r="E57" s="113">
        <f t="shared" ref="E57:E68" si="7">D57-C57</f>
        <v>37266437</v>
      </c>
      <c r="F57" s="114">
        <f t="shared" ref="F57:F68" si="8">IF(C57=0,0,E57/C57)</f>
        <v>0.17353832129035932</v>
      </c>
    </row>
    <row r="58" spans="1:6" x14ac:dyDescent="0.2">
      <c r="A58" s="115">
        <v>2</v>
      </c>
      <c r="B58" s="116" t="s">
        <v>114</v>
      </c>
      <c r="C58" s="113">
        <v>58073573</v>
      </c>
      <c r="D58" s="113">
        <v>68127318</v>
      </c>
      <c r="E58" s="113">
        <f t="shared" si="7"/>
        <v>10053745</v>
      </c>
      <c r="F58" s="114">
        <f t="shared" si="8"/>
        <v>0.17312082726509698</v>
      </c>
    </row>
    <row r="59" spans="1:6" x14ac:dyDescent="0.2">
      <c r="A59" s="115">
        <v>3</v>
      </c>
      <c r="B59" s="116" t="s">
        <v>115</v>
      </c>
      <c r="C59" s="113">
        <v>74878980</v>
      </c>
      <c r="D59" s="113">
        <v>81842654</v>
      </c>
      <c r="E59" s="113">
        <f t="shared" si="7"/>
        <v>6963674</v>
      </c>
      <c r="F59" s="114">
        <f t="shared" si="8"/>
        <v>9.2999049933639583E-2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2502106</v>
      </c>
      <c r="D61" s="113">
        <v>3946504</v>
      </c>
      <c r="E61" s="113">
        <f t="shared" si="7"/>
        <v>1444398</v>
      </c>
      <c r="F61" s="114">
        <f t="shared" si="8"/>
        <v>0.57727290530457143</v>
      </c>
    </row>
    <row r="62" spans="1:6" x14ac:dyDescent="0.2">
      <c r="A62" s="115">
        <v>6</v>
      </c>
      <c r="B62" s="116" t="s">
        <v>118</v>
      </c>
      <c r="C62" s="113">
        <v>14543970</v>
      </c>
      <c r="D62" s="113">
        <v>15203556</v>
      </c>
      <c r="E62" s="113">
        <f t="shared" si="7"/>
        <v>659586</v>
      </c>
      <c r="F62" s="114">
        <f t="shared" si="8"/>
        <v>4.5351166153395531E-2</v>
      </c>
    </row>
    <row r="63" spans="1:6" x14ac:dyDescent="0.2">
      <c r="A63" s="115">
        <v>7</v>
      </c>
      <c r="B63" s="116" t="s">
        <v>119</v>
      </c>
      <c r="C63" s="113">
        <v>269696541</v>
      </c>
      <c r="D63" s="113">
        <v>269976960</v>
      </c>
      <c r="E63" s="113">
        <f t="shared" si="7"/>
        <v>280419</v>
      </c>
      <c r="F63" s="114">
        <f t="shared" si="8"/>
        <v>1.0397574954437402E-3</v>
      </c>
    </row>
    <row r="64" spans="1:6" x14ac:dyDescent="0.2">
      <c r="A64" s="115">
        <v>8</v>
      </c>
      <c r="B64" s="116" t="s">
        <v>120</v>
      </c>
      <c r="C64" s="113">
        <v>0</v>
      </c>
      <c r="D64" s="113">
        <v>0</v>
      </c>
      <c r="E64" s="113">
        <f t="shared" si="7"/>
        <v>0</v>
      </c>
      <c r="F64" s="114">
        <f t="shared" si="8"/>
        <v>0</v>
      </c>
    </row>
    <row r="65" spans="1:6" x14ac:dyDescent="0.2">
      <c r="A65" s="115">
        <v>9</v>
      </c>
      <c r="B65" s="116" t="s">
        <v>121</v>
      </c>
      <c r="C65" s="113">
        <v>254829</v>
      </c>
      <c r="D65" s="113">
        <v>425335</v>
      </c>
      <c r="E65" s="113">
        <f t="shared" si="7"/>
        <v>170506</v>
      </c>
      <c r="F65" s="114">
        <f t="shared" si="8"/>
        <v>0.66909967075960741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634694712</v>
      </c>
      <c r="D68" s="119">
        <f>SUM(D57:D67)</f>
        <v>691533477</v>
      </c>
      <c r="E68" s="119">
        <f t="shared" si="7"/>
        <v>56838765</v>
      </c>
      <c r="F68" s="120">
        <f t="shared" si="8"/>
        <v>8.9552920365279495E-2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67218544</v>
      </c>
      <c r="D70" s="113">
        <v>79436184</v>
      </c>
      <c r="E70" s="113">
        <f t="shared" ref="E70:E81" si="9">D70-C70</f>
        <v>12217640</v>
      </c>
      <c r="F70" s="114">
        <f t="shared" ref="F70:F81" si="10">IF(C70=0,0,E70/C70)</f>
        <v>0.1817599619533562</v>
      </c>
    </row>
    <row r="71" spans="1:6" x14ac:dyDescent="0.2">
      <c r="A71" s="115">
        <v>2</v>
      </c>
      <c r="B71" s="116" t="s">
        <v>114</v>
      </c>
      <c r="C71" s="113">
        <v>20774666</v>
      </c>
      <c r="D71" s="113">
        <v>24847183</v>
      </c>
      <c r="E71" s="113">
        <f t="shared" si="9"/>
        <v>4072517</v>
      </c>
      <c r="F71" s="114">
        <f t="shared" si="10"/>
        <v>0.19603285078085009</v>
      </c>
    </row>
    <row r="72" spans="1:6" x14ac:dyDescent="0.2">
      <c r="A72" s="115">
        <v>3</v>
      </c>
      <c r="B72" s="116" t="s">
        <v>115</v>
      </c>
      <c r="C72" s="113">
        <v>37297983</v>
      </c>
      <c r="D72" s="113">
        <v>49332349</v>
      </c>
      <c r="E72" s="113">
        <f t="shared" si="9"/>
        <v>12034366</v>
      </c>
      <c r="F72" s="114">
        <f t="shared" si="10"/>
        <v>0.32265460574637506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1697294</v>
      </c>
      <c r="D74" s="113">
        <v>1272845</v>
      </c>
      <c r="E74" s="113">
        <f t="shared" si="9"/>
        <v>-424449</v>
      </c>
      <c r="F74" s="114">
        <f t="shared" si="10"/>
        <v>-0.25007394122644633</v>
      </c>
    </row>
    <row r="75" spans="1:6" x14ac:dyDescent="0.2">
      <c r="A75" s="115">
        <v>6</v>
      </c>
      <c r="B75" s="116" t="s">
        <v>118</v>
      </c>
      <c r="C75" s="113">
        <v>8211492</v>
      </c>
      <c r="D75" s="113">
        <v>8266153</v>
      </c>
      <c r="E75" s="113">
        <f t="shared" si="9"/>
        <v>54661</v>
      </c>
      <c r="F75" s="114">
        <f t="shared" si="10"/>
        <v>6.6566465631337154E-3</v>
      </c>
    </row>
    <row r="76" spans="1:6" x14ac:dyDescent="0.2">
      <c r="A76" s="115">
        <v>7</v>
      </c>
      <c r="B76" s="116" t="s">
        <v>119</v>
      </c>
      <c r="C76" s="113">
        <v>165800489</v>
      </c>
      <c r="D76" s="113">
        <v>178830074</v>
      </c>
      <c r="E76" s="113">
        <f t="shared" si="9"/>
        <v>13029585</v>
      </c>
      <c r="F76" s="114">
        <f t="shared" si="10"/>
        <v>7.8585926245368309E-2</v>
      </c>
    </row>
    <row r="77" spans="1:6" x14ac:dyDescent="0.2">
      <c r="A77" s="115">
        <v>8</v>
      </c>
      <c r="B77" s="116" t="s">
        <v>120</v>
      </c>
      <c r="C77" s="113">
        <v>0</v>
      </c>
      <c r="D77" s="113">
        <v>0</v>
      </c>
      <c r="E77" s="113">
        <f t="shared" si="9"/>
        <v>0</v>
      </c>
      <c r="F77" s="114">
        <f t="shared" si="10"/>
        <v>0</v>
      </c>
    </row>
    <row r="78" spans="1:6" x14ac:dyDescent="0.2">
      <c r="A78" s="115">
        <v>9</v>
      </c>
      <c r="B78" s="116" t="s">
        <v>121</v>
      </c>
      <c r="C78" s="113">
        <v>3868350</v>
      </c>
      <c r="D78" s="113">
        <v>1297480</v>
      </c>
      <c r="E78" s="113">
        <f t="shared" si="9"/>
        <v>-2570870</v>
      </c>
      <c r="F78" s="114">
        <f t="shared" si="10"/>
        <v>-0.66459084622642728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304868818</v>
      </c>
      <c r="D81" s="119">
        <f>SUM(D70:D80)</f>
        <v>343282268</v>
      </c>
      <c r="E81" s="119">
        <f t="shared" si="9"/>
        <v>38413450</v>
      </c>
      <c r="F81" s="120">
        <f t="shared" si="10"/>
        <v>0.12599993089486772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281963257</v>
      </c>
      <c r="D84" s="119">
        <f t="shared" si="11"/>
        <v>331447334</v>
      </c>
      <c r="E84" s="119">
        <f t="shared" ref="E84:E95" si="12">D84-C84</f>
        <v>49484077</v>
      </c>
      <c r="F84" s="120">
        <f t="shared" ref="F84:F95" si="13">IF(C84=0,0,E84/C84)</f>
        <v>0.17549831678955247</v>
      </c>
    </row>
    <row r="85" spans="1:6" ht="15.75" x14ac:dyDescent="0.25">
      <c r="A85" s="130">
        <v>2</v>
      </c>
      <c r="B85" s="122" t="s">
        <v>114</v>
      </c>
      <c r="C85" s="119">
        <f t="shared" si="11"/>
        <v>78848239</v>
      </c>
      <c r="D85" s="119">
        <f t="shared" si="11"/>
        <v>92974501</v>
      </c>
      <c r="E85" s="119">
        <f t="shared" si="12"/>
        <v>14126262</v>
      </c>
      <c r="F85" s="120">
        <f t="shared" si="13"/>
        <v>0.17915760934115471</v>
      </c>
    </row>
    <row r="86" spans="1:6" ht="15.75" x14ac:dyDescent="0.25">
      <c r="A86" s="130">
        <v>3</v>
      </c>
      <c r="B86" s="122" t="s">
        <v>115</v>
      </c>
      <c r="C86" s="119">
        <f t="shared" si="11"/>
        <v>112176963</v>
      </c>
      <c r="D86" s="119">
        <f t="shared" si="11"/>
        <v>131175003</v>
      </c>
      <c r="E86" s="119">
        <f t="shared" si="12"/>
        <v>18998040</v>
      </c>
      <c r="F86" s="120">
        <f t="shared" si="13"/>
        <v>0.16935776733410049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4199400</v>
      </c>
      <c r="D88" s="119">
        <f t="shared" si="11"/>
        <v>5219349</v>
      </c>
      <c r="E88" s="119">
        <f t="shared" si="12"/>
        <v>1019949</v>
      </c>
      <c r="F88" s="120">
        <f t="shared" si="13"/>
        <v>0.24287969709958565</v>
      </c>
    </row>
    <row r="89" spans="1:6" ht="15.75" x14ac:dyDescent="0.25">
      <c r="A89" s="130">
        <v>6</v>
      </c>
      <c r="B89" s="122" t="s">
        <v>118</v>
      </c>
      <c r="C89" s="119">
        <f t="shared" si="11"/>
        <v>22755462</v>
      </c>
      <c r="D89" s="119">
        <f t="shared" si="11"/>
        <v>23469709</v>
      </c>
      <c r="E89" s="119">
        <f t="shared" si="12"/>
        <v>714247</v>
      </c>
      <c r="F89" s="120">
        <f t="shared" si="13"/>
        <v>3.1387936663294293E-2</v>
      </c>
    </row>
    <row r="90" spans="1:6" ht="15.75" x14ac:dyDescent="0.25">
      <c r="A90" s="130">
        <v>7</v>
      </c>
      <c r="B90" s="122" t="s">
        <v>119</v>
      </c>
      <c r="C90" s="119">
        <f t="shared" si="11"/>
        <v>435497030</v>
      </c>
      <c r="D90" s="119">
        <f t="shared" si="11"/>
        <v>448807034</v>
      </c>
      <c r="E90" s="119">
        <f t="shared" si="12"/>
        <v>13310004</v>
      </c>
      <c r="F90" s="120">
        <f t="shared" si="13"/>
        <v>3.0562789371950481E-2</v>
      </c>
    </row>
    <row r="91" spans="1:6" ht="15.75" x14ac:dyDescent="0.25">
      <c r="A91" s="130">
        <v>8</v>
      </c>
      <c r="B91" s="122" t="s">
        <v>120</v>
      </c>
      <c r="C91" s="119">
        <f t="shared" si="11"/>
        <v>0</v>
      </c>
      <c r="D91" s="119">
        <f t="shared" si="11"/>
        <v>0</v>
      </c>
      <c r="E91" s="119">
        <f t="shared" si="12"/>
        <v>0</v>
      </c>
      <c r="F91" s="120">
        <f t="shared" si="13"/>
        <v>0</v>
      </c>
    </row>
    <row r="92" spans="1:6" ht="15.75" x14ac:dyDescent="0.25">
      <c r="A92" s="130">
        <v>9</v>
      </c>
      <c r="B92" s="122" t="s">
        <v>121</v>
      </c>
      <c r="C92" s="119">
        <f t="shared" si="11"/>
        <v>4123179</v>
      </c>
      <c r="D92" s="119">
        <f t="shared" si="11"/>
        <v>1722815</v>
      </c>
      <c r="E92" s="119">
        <f t="shared" si="12"/>
        <v>-2400364</v>
      </c>
      <c r="F92" s="120">
        <f t="shared" si="13"/>
        <v>-0.58216342293167478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939563530</v>
      </c>
      <c r="D95" s="128">
        <f>SUM(D84:D94)</f>
        <v>1034815745</v>
      </c>
      <c r="E95" s="128">
        <f t="shared" si="12"/>
        <v>95252215</v>
      </c>
      <c r="F95" s="129">
        <f t="shared" si="13"/>
        <v>0.10137921700728422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13821</v>
      </c>
      <c r="D100" s="133">
        <v>13762</v>
      </c>
      <c r="E100" s="133">
        <f t="shared" ref="E100:E111" si="14">D100-C100</f>
        <v>-59</v>
      </c>
      <c r="F100" s="114">
        <f t="shared" ref="F100:F111" si="15">IF(C100=0,0,E100/C100)</f>
        <v>-4.2688662180739457E-3</v>
      </c>
    </row>
    <row r="101" spans="1:6" x14ac:dyDescent="0.2">
      <c r="A101" s="115">
        <v>2</v>
      </c>
      <c r="B101" s="116" t="s">
        <v>114</v>
      </c>
      <c r="C101" s="133">
        <v>3426</v>
      </c>
      <c r="D101" s="133">
        <v>3840</v>
      </c>
      <c r="E101" s="133">
        <f t="shared" si="14"/>
        <v>414</v>
      </c>
      <c r="F101" s="114">
        <f t="shared" si="15"/>
        <v>0.12084063047285463</v>
      </c>
    </row>
    <row r="102" spans="1:6" x14ac:dyDescent="0.2">
      <c r="A102" s="115">
        <v>3</v>
      </c>
      <c r="B102" s="116" t="s">
        <v>115</v>
      </c>
      <c r="C102" s="133">
        <v>9578</v>
      </c>
      <c r="D102" s="133">
        <v>10142</v>
      </c>
      <c r="E102" s="133">
        <f t="shared" si="14"/>
        <v>564</v>
      </c>
      <c r="F102" s="114">
        <f t="shared" si="15"/>
        <v>5.8884944664856963E-2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200</v>
      </c>
      <c r="D104" s="133">
        <v>257</v>
      </c>
      <c r="E104" s="133">
        <f t="shared" si="14"/>
        <v>57</v>
      </c>
      <c r="F104" s="114">
        <f t="shared" si="15"/>
        <v>0.28499999999999998</v>
      </c>
    </row>
    <row r="105" spans="1:6" x14ac:dyDescent="0.2">
      <c r="A105" s="115">
        <v>6</v>
      </c>
      <c r="B105" s="116" t="s">
        <v>118</v>
      </c>
      <c r="C105" s="133">
        <v>282</v>
      </c>
      <c r="D105" s="133">
        <v>292</v>
      </c>
      <c r="E105" s="133">
        <f t="shared" si="14"/>
        <v>10</v>
      </c>
      <c r="F105" s="114">
        <f t="shared" si="15"/>
        <v>3.5460992907801421E-2</v>
      </c>
    </row>
    <row r="106" spans="1:6" x14ac:dyDescent="0.2">
      <c r="A106" s="115">
        <v>7</v>
      </c>
      <c r="B106" s="116" t="s">
        <v>119</v>
      </c>
      <c r="C106" s="133">
        <v>14145</v>
      </c>
      <c r="D106" s="133">
        <v>13913</v>
      </c>
      <c r="E106" s="133">
        <f t="shared" si="14"/>
        <v>-232</v>
      </c>
      <c r="F106" s="114">
        <f t="shared" si="15"/>
        <v>-1.6401555319901024E-2</v>
      </c>
    </row>
    <row r="107" spans="1:6" x14ac:dyDescent="0.2">
      <c r="A107" s="115">
        <v>8</v>
      </c>
      <c r="B107" s="116" t="s">
        <v>120</v>
      </c>
      <c r="C107" s="133">
        <v>0</v>
      </c>
      <c r="D107" s="133">
        <v>0</v>
      </c>
      <c r="E107" s="133">
        <f t="shared" si="14"/>
        <v>0</v>
      </c>
      <c r="F107" s="114">
        <f t="shared" si="15"/>
        <v>0</v>
      </c>
    </row>
    <row r="108" spans="1:6" x14ac:dyDescent="0.2">
      <c r="A108" s="115">
        <v>9</v>
      </c>
      <c r="B108" s="116" t="s">
        <v>121</v>
      </c>
      <c r="C108" s="133">
        <v>357</v>
      </c>
      <c r="D108" s="133">
        <v>549</v>
      </c>
      <c r="E108" s="133">
        <f t="shared" si="14"/>
        <v>192</v>
      </c>
      <c r="F108" s="114">
        <f t="shared" si="15"/>
        <v>0.53781512605042014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41809</v>
      </c>
      <c r="D111" s="134">
        <f>SUM(D100:D110)</f>
        <v>42755</v>
      </c>
      <c r="E111" s="134">
        <f t="shared" si="14"/>
        <v>946</v>
      </c>
      <c r="F111" s="120">
        <f t="shared" si="15"/>
        <v>2.2626707168313043E-2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90491</v>
      </c>
      <c r="D113" s="133">
        <v>88662</v>
      </c>
      <c r="E113" s="133">
        <f t="shared" ref="E113:E124" si="16">D113-C113</f>
        <v>-1829</v>
      </c>
      <c r="F113" s="114">
        <f t="shared" ref="F113:F124" si="17">IF(C113=0,0,E113/C113)</f>
        <v>-2.0211954780033372E-2</v>
      </c>
    </row>
    <row r="114" spans="1:6" x14ac:dyDescent="0.2">
      <c r="A114" s="115">
        <v>2</v>
      </c>
      <c r="B114" s="116" t="s">
        <v>114</v>
      </c>
      <c r="C114" s="133">
        <v>21726</v>
      </c>
      <c r="D114" s="133">
        <v>23604</v>
      </c>
      <c r="E114" s="133">
        <f t="shared" si="16"/>
        <v>1878</v>
      </c>
      <c r="F114" s="114">
        <f t="shared" si="17"/>
        <v>8.6440209886771605E-2</v>
      </c>
    </row>
    <row r="115" spans="1:6" x14ac:dyDescent="0.2">
      <c r="A115" s="115">
        <v>3</v>
      </c>
      <c r="B115" s="116" t="s">
        <v>115</v>
      </c>
      <c r="C115" s="133">
        <v>53180</v>
      </c>
      <c r="D115" s="133">
        <v>53701</v>
      </c>
      <c r="E115" s="133">
        <f t="shared" si="16"/>
        <v>521</v>
      </c>
      <c r="F115" s="114">
        <f t="shared" si="17"/>
        <v>9.7969161338849198E-3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1287</v>
      </c>
      <c r="D117" s="133">
        <v>1603</v>
      </c>
      <c r="E117" s="133">
        <f t="shared" si="16"/>
        <v>316</v>
      </c>
      <c r="F117" s="114">
        <f t="shared" si="17"/>
        <v>0.24553224553224554</v>
      </c>
    </row>
    <row r="118" spans="1:6" x14ac:dyDescent="0.2">
      <c r="A118" s="115">
        <v>6</v>
      </c>
      <c r="B118" s="116" t="s">
        <v>118</v>
      </c>
      <c r="C118" s="133">
        <v>1739</v>
      </c>
      <c r="D118" s="133">
        <v>1592</v>
      </c>
      <c r="E118" s="133">
        <f t="shared" si="16"/>
        <v>-147</v>
      </c>
      <c r="F118" s="114">
        <f t="shared" si="17"/>
        <v>-8.4531339850488788E-2</v>
      </c>
    </row>
    <row r="119" spans="1:6" x14ac:dyDescent="0.2">
      <c r="A119" s="115">
        <v>7</v>
      </c>
      <c r="B119" s="116" t="s">
        <v>119</v>
      </c>
      <c r="C119" s="133">
        <v>65013</v>
      </c>
      <c r="D119" s="133">
        <v>61265</v>
      </c>
      <c r="E119" s="133">
        <f t="shared" si="16"/>
        <v>-3748</v>
      </c>
      <c r="F119" s="114">
        <f t="shared" si="17"/>
        <v>-5.765000845984649E-2</v>
      </c>
    </row>
    <row r="120" spans="1:6" x14ac:dyDescent="0.2">
      <c r="A120" s="115">
        <v>8</v>
      </c>
      <c r="B120" s="116" t="s">
        <v>120</v>
      </c>
      <c r="C120" s="133">
        <v>0</v>
      </c>
      <c r="D120" s="133">
        <v>0</v>
      </c>
      <c r="E120" s="133">
        <f t="shared" si="16"/>
        <v>0</v>
      </c>
      <c r="F120" s="114">
        <f t="shared" si="17"/>
        <v>0</v>
      </c>
    </row>
    <row r="121" spans="1:6" x14ac:dyDescent="0.2">
      <c r="A121" s="115">
        <v>9</v>
      </c>
      <c r="B121" s="116" t="s">
        <v>121</v>
      </c>
      <c r="C121" s="133">
        <v>1576</v>
      </c>
      <c r="D121" s="133">
        <v>2813</v>
      </c>
      <c r="E121" s="133">
        <f t="shared" si="16"/>
        <v>1237</v>
      </c>
      <c r="F121" s="114">
        <f t="shared" si="17"/>
        <v>0.78489847715736039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235012</v>
      </c>
      <c r="D124" s="134">
        <f>SUM(D113:D123)</f>
        <v>233240</v>
      </c>
      <c r="E124" s="134">
        <f t="shared" si="16"/>
        <v>-1772</v>
      </c>
      <c r="F124" s="120">
        <f t="shared" si="17"/>
        <v>-7.5400405085697753E-3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65460</v>
      </c>
      <c r="D126" s="133">
        <v>69163</v>
      </c>
      <c r="E126" s="133">
        <f t="shared" ref="E126:E137" si="18">D126-C126</f>
        <v>3703</v>
      </c>
      <c r="F126" s="114">
        <f t="shared" ref="F126:F137" si="19">IF(C126=0,0,E126/C126)</f>
        <v>5.6568897036358083E-2</v>
      </c>
    </row>
    <row r="127" spans="1:6" x14ac:dyDescent="0.2">
      <c r="A127" s="115">
        <v>2</v>
      </c>
      <c r="B127" s="116" t="s">
        <v>114</v>
      </c>
      <c r="C127" s="133">
        <v>15367</v>
      </c>
      <c r="D127" s="133">
        <v>17923</v>
      </c>
      <c r="E127" s="133">
        <f t="shared" si="18"/>
        <v>2556</v>
      </c>
      <c r="F127" s="114">
        <f t="shared" si="19"/>
        <v>0.16633044836337607</v>
      </c>
    </row>
    <row r="128" spans="1:6" x14ac:dyDescent="0.2">
      <c r="A128" s="115">
        <v>3</v>
      </c>
      <c r="B128" s="116" t="s">
        <v>115</v>
      </c>
      <c r="C128" s="133">
        <v>97745</v>
      </c>
      <c r="D128" s="133">
        <v>105049</v>
      </c>
      <c r="E128" s="133">
        <f t="shared" si="18"/>
        <v>7304</v>
      </c>
      <c r="F128" s="114">
        <f t="shared" si="19"/>
        <v>7.4725049874673891E-2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2361</v>
      </c>
      <c r="D130" s="133">
        <v>2070</v>
      </c>
      <c r="E130" s="133">
        <f t="shared" si="18"/>
        <v>-291</v>
      </c>
      <c r="F130" s="114">
        <f t="shared" si="19"/>
        <v>-0.12325285895806862</v>
      </c>
    </row>
    <row r="131" spans="1:6" x14ac:dyDescent="0.2">
      <c r="A131" s="115">
        <v>6</v>
      </c>
      <c r="B131" s="116" t="s">
        <v>118</v>
      </c>
      <c r="C131" s="133">
        <v>3689</v>
      </c>
      <c r="D131" s="133">
        <v>3409</v>
      </c>
      <c r="E131" s="133">
        <f t="shared" si="18"/>
        <v>-280</v>
      </c>
      <c r="F131" s="114">
        <f t="shared" si="19"/>
        <v>-7.5901328273244778E-2</v>
      </c>
    </row>
    <row r="132" spans="1:6" x14ac:dyDescent="0.2">
      <c r="A132" s="115">
        <v>7</v>
      </c>
      <c r="B132" s="116" t="s">
        <v>119</v>
      </c>
      <c r="C132" s="133">
        <v>80953</v>
      </c>
      <c r="D132" s="133">
        <v>80743</v>
      </c>
      <c r="E132" s="133">
        <f t="shared" si="18"/>
        <v>-210</v>
      </c>
      <c r="F132" s="114">
        <f t="shared" si="19"/>
        <v>-2.5940978098402778E-3</v>
      </c>
    </row>
    <row r="133" spans="1:6" x14ac:dyDescent="0.2">
      <c r="A133" s="115">
        <v>8</v>
      </c>
      <c r="B133" s="116" t="s">
        <v>120</v>
      </c>
      <c r="C133" s="133">
        <v>0</v>
      </c>
      <c r="D133" s="133">
        <v>0</v>
      </c>
      <c r="E133" s="133">
        <f t="shared" si="18"/>
        <v>0</v>
      </c>
      <c r="F133" s="114">
        <f t="shared" si="19"/>
        <v>0</v>
      </c>
    </row>
    <row r="134" spans="1:6" x14ac:dyDescent="0.2">
      <c r="A134" s="115">
        <v>9</v>
      </c>
      <c r="B134" s="116" t="s">
        <v>121</v>
      </c>
      <c r="C134" s="133">
        <v>18851</v>
      </c>
      <c r="D134" s="133">
        <v>16131</v>
      </c>
      <c r="E134" s="133">
        <f t="shared" si="18"/>
        <v>-2720</v>
      </c>
      <c r="F134" s="114">
        <f t="shared" si="19"/>
        <v>-0.14428942761657207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284426</v>
      </c>
      <c r="D137" s="134">
        <f>SUM(D126:D136)</f>
        <v>294488</v>
      </c>
      <c r="E137" s="134">
        <f t="shared" si="18"/>
        <v>10062</v>
      </c>
      <c r="F137" s="120">
        <f t="shared" si="19"/>
        <v>3.5376512695745113E-2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28924158</v>
      </c>
      <c r="D142" s="113">
        <v>36400811</v>
      </c>
      <c r="E142" s="113">
        <f t="shared" ref="E142:E153" si="20">D142-C142</f>
        <v>7476653</v>
      </c>
      <c r="F142" s="114">
        <f t="shared" ref="F142:F153" si="21">IF(C142=0,0,E142/C142)</f>
        <v>0.25849163871943998</v>
      </c>
    </row>
    <row r="143" spans="1:6" x14ac:dyDescent="0.2">
      <c r="A143" s="115">
        <v>2</v>
      </c>
      <c r="B143" s="116" t="s">
        <v>114</v>
      </c>
      <c r="C143" s="113">
        <v>9800740</v>
      </c>
      <c r="D143" s="113">
        <v>13295095</v>
      </c>
      <c r="E143" s="113">
        <f t="shared" si="20"/>
        <v>3494355</v>
      </c>
      <c r="F143" s="114">
        <f t="shared" si="21"/>
        <v>0.35653991433299936</v>
      </c>
    </row>
    <row r="144" spans="1:6" x14ac:dyDescent="0.2">
      <c r="A144" s="115">
        <v>3</v>
      </c>
      <c r="B144" s="116" t="s">
        <v>115</v>
      </c>
      <c r="C144" s="113">
        <v>60466843</v>
      </c>
      <c r="D144" s="113">
        <v>71860048</v>
      </c>
      <c r="E144" s="113">
        <f t="shared" si="20"/>
        <v>11393205</v>
      </c>
      <c r="F144" s="114">
        <f t="shared" si="21"/>
        <v>0.18842070190434781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1670646</v>
      </c>
      <c r="D146" s="113">
        <v>1935270</v>
      </c>
      <c r="E146" s="113">
        <f t="shared" si="20"/>
        <v>264624</v>
      </c>
      <c r="F146" s="114">
        <f t="shared" si="21"/>
        <v>0.15839621320136044</v>
      </c>
    </row>
    <row r="147" spans="1:6" x14ac:dyDescent="0.2">
      <c r="A147" s="115">
        <v>6</v>
      </c>
      <c r="B147" s="116" t="s">
        <v>118</v>
      </c>
      <c r="C147" s="113">
        <v>4733516</v>
      </c>
      <c r="D147" s="113">
        <v>6142733</v>
      </c>
      <c r="E147" s="113">
        <f t="shared" si="20"/>
        <v>1409217</v>
      </c>
      <c r="F147" s="114">
        <f t="shared" si="21"/>
        <v>0.29771041230239847</v>
      </c>
    </row>
    <row r="148" spans="1:6" x14ac:dyDescent="0.2">
      <c r="A148" s="115">
        <v>7</v>
      </c>
      <c r="B148" s="116" t="s">
        <v>119</v>
      </c>
      <c r="C148" s="113">
        <v>43138386</v>
      </c>
      <c r="D148" s="113">
        <v>49269744</v>
      </c>
      <c r="E148" s="113">
        <f t="shared" si="20"/>
        <v>6131358</v>
      </c>
      <c r="F148" s="114">
        <f t="shared" si="21"/>
        <v>0.14213229952553164</v>
      </c>
    </row>
    <row r="149" spans="1:6" x14ac:dyDescent="0.2">
      <c r="A149" s="115">
        <v>8</v>
      </c>
      <c r="B149" s="116" t="s">
        <v>120</v>
      </c>
      <c r="C149" s="113">
        <v>0</v>
      </c>
      <c r="D149" s="113">
        <v>0</v>
      </c>
      <c r="E149" s="113">
        <f t="shared" si="20"/>
        <v>0</v>
      </c>
      <c r="F149" s="114">
        <f t="shared" si="21"/>
        <v>0</v>
      </c>
    </row>
    <row r="150" spans="1:6" x14ac:dyDescent="0.2">
      <c r="A150" s="115">
        <v>9</v>
      </c>
      <c r="B150" s="116" t="s">
        <v>121</v>
      </c>
      <c r="C150" s="113">
        <v>17020448</v>
      </c>
      <c r="D150" s="113">
        <v>15229605</v>
      </c>
      <c r="E150" s="113">
        <f t="shared" si="20"/>
        <v>-1790843</v>
      </c>
      <c r="F150" s="114">
        <f t="shared" si="21"/>
        <v>-0.10521714822077538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165754737</v>
      </c>
      <c r="D153" s="119">
        <f>SUM(D142:D152)</f>
        <v>194133306</v>
      </c>
      <c r="E153" s="119">
        <f t="shared" si="20"/>
        <v>28378569</v>
      </c>
      <c r="F153" s="120">
        <f t="shared" si="21"/>
        <v>0.17120819298214085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6439275</v>
      </c>
      <c r="D155" s="113">
        <v>8042602</v>
      </c>
      <c r="E155" s="113">
        <f t="shared" ref="E155:E166" si="22">D155-C155</f>
        <v>1603327</v>
      </c>
      <c r="F155" s="114">
        <f t="shared" ref="F155:F166" si="23">IF(C155=0,0,E155/C155)</f>
        <v>0.24899185079065578</v>
      </c>
    </row>
    <row r="156" spans="1:6" x14ac:dyDescent="0.2">
      <c r="A156" s="115">
        <v>2</v>
      </c>
      <c r="B156" s="116" t="s">
        <v>114</v>
      </c>
      <c r="C156" s="113">
        <v>2177757</v>
      </c>
      <c r="D156" s="113">
        <v>2839257</v>
      </c>
      <c r="E156" s="113">
        <f t="shared" si="22"/>
        <v>661500</v>
      </c>
      <c r="F156" s="114">
        <f t="shared" si="23"/>
        <v>0.30375289805060895</v>
      </c>
    </row>
    <row r="157" spans="1:6" x14ac:dyDescent="0.2">
      <c r="A157" s="115">
        <v>3</v>
      </c>
      <c r="B157" s="116" t="s">
        <v>115</v>
      </c>
      <c r="C157" s="113">
        <v>15272820</v>
      </c>
      <c r="D157" s="113">
        <v>16728245</v>
      </c>
      <c r="E157" s="113">
        <f t="shared" si="22"/>
        <v>1455425</v>
      </c>
      <c r="F157" s="114">
        <f t="shared" si="23"/>
        <v>9.5295105946380562E-2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376998</v>
      </c>
      <c r="D159" s="113">
        <v>473155</v>
      </c>
      <c r="E159" s="113">
        <f t="shared" si="22"/>
        <v>96157</v>
      </c>
      <c r="F159" s="114">
        <f t="shared" si="23"/>
        <v>0.25505970853956783</v>
      </c>
    </row>
    <row r="160" spans="1:6" x14ac:dyDescent="0.2">
      <c r="A160" s="115">
        <v>6</v>
      </c>
      <c r="B160" s="116" t="s">
        <v>118</v>
      </c>
      <c r="C160" s="113">
        <v>4322774</v>
      </c>
      <c r="D160" s="113">
        <v>5345155</v>
      </c>
      <c r="E160" s="113">
        <f t="shared" si="22"/>
        <v>1022381</v>
      </c>
      <c r="F160" s="114">
        <f t="shared" si="23"/>
        <v>0.236510398184129</v>
      </c>
    </row>
    <row r="161" spans="1:6" x14ac:dyDescent="0.2">
      <c r="A161" s="115">
        <v>7</v>
      </c>
      <c r="B161" s="116" t="s">
        <v>119</v>
      </c>
      <c r="C161" s="113">
        <v>19951320</v>
      </c>
      <c r="D161" s="113">
        <v>21810218</v>
      </c>
      <c r="E161" s="113">
        <f t="shared" si="22"/>
        <v>1858898</v>
      </c>
      <c r="F161" s="114">
        <f t="shared" si="23"/>
        <v>9.3171679868800664E-2</v>
      </c>
    </row>
    <row r="162" spans="1:6" x14ac:dyDescent="0.2">
      <c r="A162" s="115">
        <v>8</v>
      </c>
      <c r="B162" s="116" t="s">
        <v>120</v>
      </c>
      <c r="C162" s="113">
        <v>0</v>
      </c>
      <c r="D162" s="113">
        <v>0</v>
      </c>
      <c r="E162" s="113">
        <f t="shared" si="22"/>
        <v>0</v>
      </c>
      <c r="F162" s="114">
        <f t="shared" si="23"/>
        <v>0</v>
      </c>
    </row>
    <row r="163" spans="1:6" x14ac:dyDescent="0.2">
      <c r="A163" s="115">
        <v>9</v>
      </c>
      <c r="B163" s="116" t="s">
        <v>121</v>
      </c>
      <c r="C163" s="113">
        <v>885063</v>
      </c>
      <c r="D163" s="113">
        <v>472118</v>
      </c>
      <c r="E163" s="113">
        <f t="shared" si="22"/>
        <v>-412945</v>
      </c>
      <c r="F163" s="114">
        <f t="shared" si="23"/>
        <v>-0.46657130622339876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49426007</v>
      </c>
      <c r="D166" s="119">
        <f>SUM(D155:D165)</f>
        <v>55710750</v>
      </c>
      <c r="E166" s="119">
        <f t="shared" si="22"/>
        <v>6284743</v>
      </c>
      <c r="F166" s="120">
        <f t="shared" si="23"/>
        <v>0.12715457673932673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10741</v>
      </c>
      <c r="D168" s="133">
        <v>11022</v>
      </c>
      <c r="E168" s="133">
        <f t="shared" ref="E168:E179" si="24">D168-C168</f>
        <v>281</v>
      </c>
      <c r="F168" s="114">
        <f t="shared" ref="F168:F179" si="25">IF(C168=0,0,E168/C168)</f>
        <v>2.6161437482543525E-2</v>
      </c>
    </row>
    <row r="169" spans="1:6" x14ac:dyDescent="0.2">
      <c r="A169" s="115">
        <v>2</v>
      </c>
      <c r="B169" s="116" t="s">
        <v>114</v>
      </c>
      <c r="C169" s="133">
        <v>3287</v>
      </c>
      <c r="D169" s="133">
        <v>3903</v>
      </c>
      <c r="E169" s="133">
        <f t="shared" si="24"/>
        <v>616</v>
      </c>
      <c r="F169" s="114">
        <f t="shared" si="25"/>
        <v>0.18740492850623669</v>
      </c>
    </row>
    <row r="170" spans="1:6" x14ac:dyDescent="0.2">
      <c r="A170" s="115">
        <v>3</v>
      </c>
      <c r="B170" s="116" t="s">
        <v>115</v>
      </c>
      <c r="C170" s="133">
        <v>35995</v>
      </c>
      <c r="D170" s="133">
        <v>38522</v>
      </c>
      <c r="E170" s="133">
        <f t="shared" si="24"/>
        <v>2527</v>
      </c>
      <c r="F170" s="114">
        <f t="shared" si="25"/>
        <v>7.0204195027087093E-2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659</v>
      </c>
      <c r="D172" s="133">
        <v>718</v>
      </c>
      <c r="E172" s="133">
        <f t="shared" si="24"/>
        <v>59</v>
      </c>
      <c r="F172" s="114">
        <f t="shared" si="25"/>
        <v>8.9529590288315627E-2</v>
      </c>
    </row>
    <row r="173" spans="1:6" x14ac:dyDescent="0.2">
      <c r="A173" s="115">
        <v>6</v>
      </c>
      <c r="B173" s="116" t="s">
        <v>118</v>
      </c>
      <c r="C173" s="133">
        <v>2360</v>
      </c>
      <c r="D173" s="133">
        <v>2479</v>
      </c>
      <c r="E173" s="133">
        <f t="shared" si="24"/>
        <v>119</v>
      </c>
      <c r="F173" s="114">
        <f t="shared" si="25"/>
        <v>5.0423728813559325E-2</v>
      </c>
    </row>
    <row r="174" spans="1:6" x14ac:dyDescent="0.2">
      <c r="A174" s="115">
        <v>7</v>
      </c>
      <c r="B174" s="116" t="s">
        <v>119</v>
      </c>
      <c r="C174" s="133">
        <v>15632</v>
      </c>
      <c r="D174" s="133">
        <v>15402</v>
      </c>
      <c r="E174" s="133">
        <f t="shared" si="24"/>
        <v>-230</v>
      </c>
      <c r="F174" s="114">
        <f t="shared" si="25"/>
        <v>-1.4713408393039917E-2</v>
      </c>
    </row>
    <row r="175" spans="1:6" x14ac:dyDescent="0.2">
      <c r="A175" s="115">
        <v>8</v>
      </c>
      <c r="B175" s="116" t="s">
        <v>120</v>
      </c>
      <c r="C175" s="133">
        <v>0</v>
      </c>
      <c r="D175" s="133">
        <v>0</v>
      </c>
      <c r="E175" s="133">
        <f t="shared" si="24"/>
        <v>0</v>
      </c>
      <c r="F175" s="114">
        <f t="shared" si="25"/>
        <v>0</v>
      </c>
    </row>
    <row r="176" spans="1:6" x14ac:dyDescent="0.2">
      <c r="A176" s="115">
        <v>9</v>
      </c>
      <c r="B176" s="116" t="s">
        <v>121</v>
      </c>
      <c r="C176" s="133">
        <v>9829</v>
      </c>
      <c r="D176" s="133">
        <v>7831</v>
      </c>
      <c r="E176" s="133">
        <f t="shared" si="24"/>
        <v>-1998</v>
      </c>
      <c r="F176" s="114">
        <f t="shared" si="25"/>
        <v>-0.20327601994099095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78503</v>
      </c>
      <c r="D179" s="134">
        <f>SUM(D168:D178)</f>
        <v>79877</v>
      </c>
      <c r="E179" s="134">
        <f t="shared" si="24"/>
        <v>1374</v>
      </c>
      <c r="F179" s="120">
        <f t="shared" si="25"/>
        <v>1.7502515827420607E-2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FILING&amp;RHARTFORD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140683001</v>
      </c>
      <c r="D15" s="157">
        <v>137008756</v>
      </c>
      <c r="E15" s="157">
        <f>+D15-C15</f>
        <v>-3674245</v>
      </c>
      <c r="F15" s="161">
        <f>IF(C15=0,0,E15/C15)</f>
        <v>-2.611719236782559E-2</v>
      </c>
    </row>
    <row r="16" spans="1:6" ht="15" customHeight="1" x14ac:dyDescent="0.2">
      <c r="A16" s="147">
        <v>2</v>
      </c>
      <c r="B16" s="160" t="s">
        <v>157</v>
      </c>
      <c r="C16" s="157">
        <v>42632896</v>
      </c>
      <c r="D16" s="157">
        <v>43864014</v>
      </c>
      <c r="E16" s="157">
        <f>+D16-C16</f>
        <v>1231118</v>
      </c>
      <c r="F16" s="161">
        <f>IF(C16=0,0,E16/C16)</f>
        <v>2.8877184416465633E-2</v>
      </c>
    </row>
    <row r="17" spans="1:6" ht="15" customHeight="1" x14ac:dyDescent="0.2">
      <c r="A17" s="147">
        <v>3</v>
      </c>
      <c r="B17" s="160" t="s">
        <v>158</v>
      </c>
      <c r="C17" s="157">
        <v>254532104</v>
      </c>
      <c r="D17" s="157">
        <v>248015536</v>
      </c>
      <c r="E17" s="157">
        <f>+D17-C17</f>
        <v>-6516568</v>
      </c>
      <c r="F17" s="161">
        <f>IF(C17=0,0,E17/C17)</f>
        <v>-2.560214565310787E-2</v>
      </c>
    </row>
    <row r="18" spans="1:6" ht="15.75" customHeight="1" x14ac:dyDescent="0.25">
      <c r="A18" s="147"/>
      <c r="B18" s="162" t="s">
        <v>159</v>
      </c>
      <c r="C18" s="158">
        <f>SUM(C15:C17)</f>
        <v>437848001</v>
      </c>
      <c r="D18" s="158">
        <f>SUM(D15:D17)</f>
        <v>428888306</v>
      </c>
      <c r="E18" s="158">
        <f>+D18-C18</f>
        <v>-8959695</v>
      </c>
      <c r="F18" s="159">
        <f>IF(C18=0,0,E18/C18)</f>
        <v>-2.0463025934883736E-2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50716032</v>
      </c>
      <c r="D21" s="157">
        <v>43107152</v>
      </c>
      <c r="E21" s="157">
        <f>+D21-C21</f>
        <v>-7608880</v>
      </c>
      <c r="F21" s="161">
        <f>IF(C21=0,0,E21/C21)</f>
        <v>-0.15002908744911272</v>
      </c>
    </row>
    <row r="22" spans="1:6" ht="15" customHeight="1" x14ac:dyDescent="0.2">
      <c r="A22" s="147">
        <v>2</v>
      </c>
      <c r="B22" s="160" t="s">
        <v>162</v>
      </c>
      <c r="C22" s="157">
        <v>15369101</v>
      </c>
      <c r="D22" s="157">
        <v>13800963</v>
      </c>
      <c r="E22" s="157">
        <f>+D22-C22</f>
        <v>-1568138</v>
      </c>
      <c r="F22" s="161">
        <f>IF(C22=0,0,E22/C22)</f>
        <v>-0.10203186250126146</v>
      </c>
    </row>
    <row r="23" spans="1:6" ht="15" customHeight="1" x14ac:dyDescent="0.2">
      <c r="A23" s="147">
        <v>3</v>
      </c>
      <c r="B23" s="160" t="s">
        <v>163</v>
      </c>
      <c r="C23" s="157">
        <v>89266886</v>
      </c>
      <c r="D23" s="157">
        <v>78033285</v>
      </c>
      <c r="E23" s="157">
        <f>+D23-C23</f>
        <v>-11233601</v>
      </c>
      <c r="F23" s="161">
        <f>IF(C23=0,0,E23/C23)</f>
        <v>-0.12584286854142085</v>
      </c>
    </row>
    <row r="24" spans="1:6" ht="15.75" customHeight="1" x14ac:dyDescent="0.25">
      <c r="A24" s="147"/>
      <c r="B24" s="162" t="s">
        <v>164</v>
      </c>
      <c r="C24" s="158">
        <f>SUM(C21:C23)</f>
        <v>155352019</v>
      </c>
      <c r="D24" s="158">
        <f>SUM(D21:D23)</f>
        <v>134941400</v>
      </c>
      <c r="E24" s="158">
        <f>+D24-C24</f>
        <v>-20410619</v>
      </c>
      <c r="F24" s="159">
        <f>IF(C24=0,0,E24/C24)</f>
        <v>-0.1313830301748444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317013</v>
      </c>
      <c r="D27" s="157">
        <v>738573</v>
      </c>
      <c r="E27" s="157">
        <f>+D27-C27</f>
        <v>421560</v>
      </c>
      <c r="F27" s="161">
        <f>IF(C27=0,0,E27/C27)</f>
        <v>1.3297877374113996</v>
      </c>
    </row>
    <row r="28" spans="1:6" ht="15" customHeight="1" x14ac:dyDescent="0.2">
      <c r="A28" s="147">
        <v>2</v>
      </c>
      <c r="B28" s="160" t="s">
        <v>167</v>
      </c>
      <c r="C28" s="157">
        <v>49772864</v>
      </c>
      <c r="D28" s="157">
        <v>54386076</v>
      </c>
      <c r="E28" s="157">
        <f>+D28-C28</f>
        <v>4613212</v>
      </c>
      <c r="F28" s="161">
        <f>IF(C28=0,0,E28/C28)</f>
        <v>9.268528329010764E-2</v>
      </c>
    </row>
    <row r="29" spans="1:6" ht="15" customHeight="1" x14ac:dyDescent="0.2">
      <c r="A29" s="147">
        <v>3</v>
      </c>
      <c r="B29" s="160" t="s">
        <v>168</v>
      </c>
      <c r="C29" s="157">
        <v>4377105</v>
      </c>
      <c r="D29" s="157">
        <v>4126273</v>
      </c>
      <c r="E29" s="157">
        <f>+D29-C29</f>
        <v>-250832</v>
      </c>
      <c r="F29" s="161">
        <f>IF(C29=0,0,E29/C29)</f>
        <v>-5.7305456460377352E-2</v>
      </c>
    </row>
    <row r="30" spans="1:6" ht="15.75" customHeight="1" x14ac:dyDescent="0.25">
      <c r="A30" s="147"/>
      <c r="B30" s="162" t="s">
        <v>169</v>
      </c>
      <c r="C30" s="158">
        <f>SUM(C27:C29)</f>
        <v>54466982</v>
      </c>
      <c r="D30" s="158">
        <f>SUM(D27:D29)</f>
        <v>59250922</v>
      </c>
      <c r="E30" s="158">
        <f>+D30-C30</f>
        <v>4783940</v>
      </c>
      <c r="F30" s="159">
        <f>IF(C30=0,0,E30/C30)</f>
        <v>8.7831927239882687E-2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110160619</v>
      </c>
      <c r="D33" s="157">
        <v>117098778</v>
      </c>
      <c r="E33" s="157">
        <f>+D33-C33</f>
        <v>6938159</v>
      </c>
      <c r="F33" s="161">
        <f>IF(C33=0,0,E33/C33)</f>
        <v>6.2982207825103095E-2</v>
      </c>
    </row>
    <row r="34" spans="1:6" ht="15" customHeight="1" x14ac:dyDescent="0.2">
      <c r="A34" s="147">
        <v>2</v>
      </c>
      <c r="B34" s="160" t="s">
        <v>173</v>
      </c>
      <c r="C34" s="157">
        <v>27978868</v>
      </c>
      <c r="D34" s="157">
        <v>32241403</v>
      </c>
      <c r="E34" s="157">
        <f>+D34-C34</f>
        <v>4262535</v>
      </c>
      <c r="F34" s="161">
        <f>IF(C34=0,0,E34/C34)</f>
        <v>0.15234837235016085</v>
      </c>
    </row>
    <row r="35" spans="1:6" ht="15.75" customHeight="1" x14ac:dyDescent="0.25">
      <c r="A35" s="147"/>
      <c r="B35" s="162" t="s">
        <v>174</v>
      </c>
      <c r="C35" s="158">
        <f>SUM(C33:C34)</f>
        <v>138139487</v>
      </c>
      <c r="D35" s="158">
        <f>SUM(D33:D34)</f>
        <v>149340181</v>
      </c>
      <c r="E35" s="158">
        <f>+D35-C35</f>
        <v>11200694</v>
      </c>
      <c r="F35" s="159">
        <f>IF(C35=0,0,E35/C35)</f>
        <v>8.1082493089032537E-2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22432877</v>
      </c>
      <c r="D38" s="157">
        <v>23361700</v>
      </c>
      <c r="E38" s="157">
        <f>+D38-C38</f>
        <v>928823</v>
      </c>
      <c r="F38" s="161">
        <f>IF(C38=0,0,E38/C38)</f>
        <v>4.1404542092394123E-2</v>
      </c>
    </row>
    <row r="39" spans="1:6" ht="15" customHeight="1" x14ac:dyDescent="0.2">
      <c r="A39" s="147">
        <v>2</v>
      </c>
      <c r="B39" s="160" t="s">
        <v>178</v>
      </c>
      <c r="C39" s="157">
        <v>25983966</v>
      </c>
      <c r="D39" s="157">
        <v>25231711</v>
      </c>
      <c r="E39" s="157">
        <f>+D39-C39</f>
        <v>-752255</v>
      </c>
      <c r="F39" s="161">
        <f>IF(C39=0,0,E39/C39)</f>
        <v>-2.8950738313004258E-2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48416843</v>
      </c>
      <c r="D41" s="158">
        <f>SUM(D38:D40)</f>
        <v>48593411</v>
      </c>
      <c r="E41" s="158">
        <f>+D41-C41</f>
        <v>176568</v>
      </c>
      <c r="F41" s="159">
        <f>IF(C41=0,0,E41/C41)</f>
        <v>3.6468300917513355E-3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5704487</v>
      </c>
      <c r="D47" s="157">
        <v>8386515</v>
      </c>
      <c r="E47" s="157">
        <f>+D47-C47</f>
        <v>2682028</v>
      </c>
      <c r="F47" s="161">
        <f>IF(C47=0,0,E47/C47)</f>
        <v>0.47016112053546621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7770477</v>
      </c>
      <c r="D50" s="157">
        <v>8573872</v>
      </c>
      <c r="E50" s="157">
        <f>+D50-C50</f>
        <v>803395</v>
      </c>
      <c r="F50" s="161">
        <f>IF(C50=0,0,E50/C50)</f>
        <v>0.10339069274640411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1016491</v>
      </c>
      <c r="D53" s="157">
        <v>1962824</v>
      </c>
      <c r="E53" s="157">
        <f t="shared" ref="E53:E59" si="0">+D53-C53</f>
        <v>946333</v>
      </c>
      <c r="F53" s="161">
        <f t="shared" ref="F53:F59" si="1">IF(C53=0,0,E53/C53)</f>
        <v>0.93098020543221727</v>
      </c>
    </row>
    <row r="54" spans="1:6" ht="15" customHeight="1" x14ac:dyDescent="0.2">
      <c r="A54" s="147">
        <v>2</v>
      </c>
      <c r="B54" s="160" t="s">
        <v>189</v>
      </c>
      <c r="C54" s="157">
        <v>3716701</v>
      </c>
      <c r="D54" s="157">
        <v>4599565</v>
      </c>
      <c r="E54" s="157">
        <f t="shared" si="0"/>
        <v>882864</v>
      </c>
      <c r="F54" s="161">
        <f t="shared" si="1"/>
        <v>0.23753968909524872</v>
      </c>
    </row>
    <row r="55" spans="1:6" ht="15" customHeight="1" x14ac:dyDescent="0.2">
      <c r="A55" s="147">
        <v>3</v>
      </c>
      <c r="B55" s="160" t="s">
        <v>190</v>
      </c>
      <c r="C55" s="157">
        <v>112154</v>
      </c>
      <c r="D55" s="157">
        <v>101798</v>
      </c>
      <c r="E55" s="157">
        <f t="shared" si="0"/>
        <v>-10356</v>
      </c>
      <c r="F55" s="161">
        <f t="shared" si="1"/>
        <v>-9.2337321896677788E-2</v>
      </c>
    </row>
    <row r="56" spans="1:6" ht="15" customHeight="1" x14ac:dyDescent="0.2">
      <c r="A56" s="147">
        <v>4</v>
      </c>
      <c r="B56" s="160" t="s">
        <v>191</v>
      </c>
      <c r="C56" s="157">
        <v>8942965</v>
      </c>
      <c r="D56" s="157">
        <v>9677008</v>
      </c>
      <c r="E56" s="157">
        <f t="shared" si="0"/>
        <v>734043</v>
      </c>
      <c r="F56" s="161">
        <f t="shared" si="1"/>
        <v>8.2080495674533002E-2</v>
      </c>
    </row>
    <row r="57" spans="1:6" ht="15" customHeight="1" x14ac:dyDescent="0.2">
      <c r="A57" s="147">
        <v>5</v>
      </c>
      <c r="B57" s="160" t="s">
        <v>192</v>
      </c>
      <c r="C57" s="157">
        <v>2852651</v>
      </c>
      <c r="D57" s="157">
        <v>777144</v>
      </c>
      <c r="E57" s="157">
        <f t="shared" si="0"/>
        <v>-2075507</v>
      </c>
      <c r="F57" s="161">
        <f t="shared" si="1"/>
        <v>-0.72757130122121494</v>
      </c>
    </row>
    <row r="58" spans="1:6" ht="15" customHeight="1" x14ac:dyDescent="0.2">
      <c r="A58" s="147">
        <v>6</v>
      </c>
      <c r="B58" s="160" t="s">
        <v>193</v>
      </c>
      <c r="C58" s="157">
        <v>1794060</v>
      </c>
      <c r="D58" s="157">
        <v>707217</v>
      </c>
      <c r="E58" s="157">
        <f t="shared" si="0"/>
        <v>-1086843</v>
      </c>
      <c r="F58" s="161">
        <f t="shared" si="1"/>
        <v>-0.60580080933748037</v>
      </c>
    </row>
    <row r="59" spans="1:6" ht="15.75" customHeight="1" x14ac:dyDescent="0.25">
      <c r="A59" s="147"/>
      <c r="B59" s="162" t="s">
        <v>194</v>
      </c>
      <c r="C59" s="158">
        <f>SUM(C53:C58)</f>
        <v>18435022</v>
      </c>
      <c r="D59" s="158">
        <f>SUM(D53:D58)</f>
        <v>17825556</v>
      </c>
      <c r="E59" s="158">
        <f t="shared" si="0"/>
        <v>-609466</v>
      </c>
      <c r="F59" s="159">
        <f t="shared" si="1"/>
        <v>-3.3060226345268263E-2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330637</v>
      </c>
      <c r="D62" s="157">
        <v>524000</v>
      </c>
      <c r="E62" s="157">
        <f t="shared" ref="E62:E90" si="2">+D62-C62</f>
        <v>193363</v>
      </c>
      <c r="F62" s="161">
        <f t="shared" ref="F62:F90" si="3">IF(C62=0,0,E62/C62)</f>
        <v>0.58481960579124537</v>
      </c>
    </row>
    <row r="63" spans="1:6" ht="15" customHeight="1" x14ac:dyDescent="0.2">
      <c r="A63" s="147">
        <v>2</v>
      </c>
      <c r="B63" s="160" t="s">
        <v>198</v>
      </c>
      <c r="C63" s="157">
        <v>573960</v>
      </c>
      <c r="D63" s="157">
        <v>1206723</v>
      </c>
      <c r="E63" s="157">
        <f t="shared" si="2"/>
        <v>632763</v>
      </c>
      <c r="F63" s="161">
        <f t="shared" si="3"/>
        <v>1.1024513903407902</v>
      </c>
    </row>
    <row r="64" spans="1:6" ht="15" customHeight="1" x14ac:dyDescent="0.2">
      <c r="A64" s="147">
        <v>3</v>
      </c>
      <c r="B64" s="160" t="s">
        <v>199</v>
      </c>
      <c r="C64" s="157">
        <v>5536365</v>
      </c>
      <c r="D64" s="157">
        <v>7800222</v>
      </c>
      <c r="E64" s="157">
        <f t="shared" si="2"/>
        <v>2263857</v>
      </c>
      <c r="F64" s="161">
        <f t="shared" si="3"/>
        <v>0.40890674657469295</v>
      </c>
    </row>
    <row r="65" spans="1:6" ht="15" customHeight="1" x14ac:dyDescent="0.2">
      <c r="A65" s="147">
        <v>4</v>
      </c>
      <c r="B65" s="160" t="s">
        <v>200</v>
      </c>
      <c r="C65" s="157">
        <v>3036270</v>
      </c>
      <c r="D65" s="157">
        <v>3617205</v>
      </c>
      <c r="E65" s="157">
        <f t="shared" si="2"/>
        <v>580935</v>
      </c>
      <c r="F65" s="161">
        <f t="shared" si="3"/>
        <v>0.19133179855546442</v>
      </c>
    </row>
    <row r="66" spans="1:6" ht="15" customHeight="1" x14ac:dyDescent="0.2">
      <c r="A66" s="147">
        <v>5</v>
      </c>
      <c r="B66" s="160" t="s">
        <v>201</v>
      </c>
      <c r="C66" s="157">
        <v>5403306</v>
      </c>
      <c r="D66" s="157">
        <v>7302518</v>
      </c>
      <c r="E66" s="157">
        <f t="shared" si="2"/>
        <v>1899212</v>
      </c>
      <c r="F66" s="161">
        <f t="shared" si="3"/>
        <v>0.35149073548675569</v>
      </c>
    </row>
    <row r="67" spans="1:6" ht="15" customHeight="1" x14ac:dyDescent="0.2">
      <c r="A67" s="147">
        <v>6</v>
      </c>
      <c r="B67" s="160" t="s">
        <v>202</v>
      </c>
      <c r="C67" s="157">
        <v>9559902</v>
      </c>
      <c r="D67" s="157">
        <v>10156414</v>
      </c>
      <c r="E67" s="157">
        <f t="shared" si="2"/>
        <v>596512</v>
      </c>
      <c r="F67" s="161">
        <f t="shared" si="3"/>
        <v>6.2397292357181069E-2</v>
      </c>
    </row>
    <row r="68" spans="1:6" ht="15" customHeight="1" x14ac:dyDescent="0.2">
      <c r="A68" s="147">
        <v>7</v>
      </c>
      <c r="B68" s="160" t="s">
        <v>203</v>
      </c>
      <c r="C68" s="157">
        <v>10558879</v>
      </c>
      <c r="D68" s="157">
        <v>14065684</v>
      </c>
      <c r="E68" s="157">
        <f t="shared" si="2"/>
        <v>3506805</v>
      </c>
      <c r="F68" s="161">
        <f t="shared" si="3"/>
        <v>0.33211906301795863</v>
      </c>
    </row>
    <row r="69" spans="1:6" ht="15" customHeight="1" x14ac:dyDescent="0.2">
      <c r="A69" s="147">
        <v>8</v>
      </c>
      <c r="B69" s="160" t="s">
        <v>204</v>
      </c>
      <c r="C69" s="157">
        <v>1664112</v>
      </c>
      <c r="D69" s="157">
        <v>1443133</v>
      </c>
      <c r="E69" s="157">
        <f t="shared" si="2"/>
        <v>-220979</v>
      </c>
      <c r="F69" s="161">
        <f t="shared" si="3"/>
        <v>-0.13279094195582988</v>
      </c>
    </row>
    <row r="70" spans="1:6" ht="15" customHeight="1" x14ac:dyDescent="0.2">
      <c r="A70" s="147">
        <v>9</v>
      </c>
      <c r="B70" s="160" t="s">
        <v>205</v>
      </c>
      <c r="C70" s="157">
        <v>1317883</v>
      </c>
      <c r="D70" s="157">
        <v>1140628</v>
      </c>
      <c r="E70" s="157">
        <f t="shared" si="2"/>
        <v>-177255</v>
      </c>
      <c r="F70" s="161">
        <f t="shared" si="3"/>
        <v>-0.13449980005812351</v>
      </c>
    </row>
    <row r="71" spans="1:6" ht="15" customHeight="1" x14ac:dyDescent="0.2">
      <c r="A71" s="147">
        <v>10</v>
      </c>
      <c r="B71" s="160" t="s">
        <v>206</v>
      </c>
      <c r="C71" s="157">
        <v>323726</v>
      </c>
      <c r="D71" s="157">
        <v>103612</v>
      </c>
      <c r="E71" s="157">
        <f t="shared" si="2"/>
        <v>-220114</v>
      </c>
      <c r="F71" s="161">
        <f t="shared" si="3"/>
        <v>-0.67993920784861273</v>
      </c>
    </row>
    <row r="72" spans="1:6" ht="15" customHeight="1" x14ac:dyDescent="0.2">
      <c r="A72" s="147">
        <v>11</v>
      </c>
      <c r="B72" s="160" t="s">
        <v>207</v>
      </c>
      <c r="C72" s="157">
        <v>249668</v>
      </c>
      <c r="D72" s="157">
        <v>325517</v>
      </c>
      <c r="E72" s="157">
        <f t="shared" si="2"/>
        <v>75849</v>
      </c>
      <c r="F72" s="161">
        <f t="shared" si="3"/>
        <v>0.30379944566384159</v>
      </c>
    </row>
    <row r="73" spans="1:6" ht="15" customHeight="1" x14ac:dyDescent="0.2">
      <c r="A73" s="147">
        <v>12</v>
      </c>
      <c r="B73" s="160" t="s">
        <v>208</v>
      </c>
      <c r="C73" s="157">
        <v>6760660</v>
      </c>
      <c r="D73" s="157">
        <v>5428622</v>
      </c>
      <c r="E73" s="157">
        <f t="shared" si="2"/>
        <v>-1332038</v>
      </c>
      <c r="F73" s="161">
        <f t="shared" si="3"/>
        <v>-0.19702780497762054</v>
      </c>
    </row>
    <row r="74" spans="1:6" ht="15" customHeight="1" x14ac:dyDescent="0.2">
      <c r="A74" s="147">
        <v>13</v>
      </c>
      <c r="B74" s="160" t="s">
        <v>209</v>
      </c>
      <c r="C74" s="157">
        <v>455035</v>
      </c>
      <c r="D74" s="157">
        <v>480295</v>
      </c>
      <c r="E74" s="157">
        <f t="shared" si="2"/>
        <v>25260</v>
      </c>
      <c r="F74" s="161">
        <f t="shared" si="3"/>
        <v>5.5512213346226115E-2</v>
      </c>
    </row>
    <row r="75" spans="1:6" ht="15" customHeight="1" x14ac:dyDescent="0.2">
      <c r="A75" s="147">
        <v>14</v>
      </c>
      <c r="B75" s="160" t="s">
        <v>210</v>
      </c>
      <c r="C75" s="157">
        <v>687007</v>
      </c>
      <c r="D75" s="157">
        <v>629948</v>
      </c>
      <c r="E75" s="157">
        <f t="shared" si="2"/>
        <v>-57059</v>
      </c>
      <c r="F75" s="161">
        <f t="shared" si="3"/>
        <v>-8.3054466693934709E-2</v>
      </c>
    </row>
    <row r="76" spans="1:6" ht="15" customHeight="1" x14ac:dyDescent="0.2">
      <c r="A76" s="147">
        <v>15</v>
      </c>
      <c r="B76" s="160" t="s">
        <v>211</v>
      </c>
      <c r="C76" s="157">
        <v>3183672</v>
      </c>
      <c r="D76" s="157">
        <v>2162949</v>
      </c>
      <c r="E76" s="157">
        <f t="shared" si="2"/>
        <v>-1020723</v>
      </c>
      <c r="F76" s="161">
        <f t="shared" si="3"/>
        <v>-0.32061185951316595</v>
      </c>
    </row>
    <row r="77" spans="1:6" ht="15" customHeight="1" x14ac:dyDescent="0.2">
      <c r="A77" s="147">
        <v>16</v>
      </c>
      <c r="B77" s="160" t="s">
        <v>212</v>
      </c>
      <c r="C77" s="157">
        <v>14538604</v>
      </c>
      <c r="D77" s="157">
        <v>20302038</v>
      </c>
      <c r="E77" s="157">
        <f t="shared" si="2"/>
        <v>5763434</v>
      </c>
      <c r="F77" s="161">
        <f t="shared" si="3"/>
        <v>0.39642279272480357</v>
      </c>
    </row>
    <row r="78" spans="1:6" ht="15" customHeight="1" x14ac:dyDescent="0.2">
      <c r="A78" s="147">
        <v>17</v>
      </c>
      <c r="B78" s="160" t="s">
        <v>213</v>
      </c>
      <c r="C78" s="157">
        <v>2903656</v>
      </c>
      <c r="D78" s="157">
        <v>650047</v>
      </c>
      <c r="E78" s="157">
        <f t="shared" si="2"/>
        <v>-2253609</v>
      </c>
      <c r="F78" s="161">
        <f t="shared" si="3"/>
        <v>-0.77612809506360259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4378717</v>
      </c>
      <c r="D80" s="157">
        <v>4633347</v>
      </c>
      <c r="E80" s="157">
        <f t="shared" si="2"/>
        <v>254630</v>
      </c>
      <c r="F80" s="161">
        <f t="shared" si="3"/>
        <v>5.8151737141267638E-2</v>
      </c>
    </row>
    <row r="81" spans="1:6" ht="15" customHeight="1" x14ac:dyDescent="0.2">
      <c r="A81" s="147">
        <v>20</v>
      </c>
      <c r="B81" s="160" t="s">
        <v>216</v>
      </c>
      <c r="C81" s="157">
        <v>27056699</v>
      </c>
      <c r="D81" s="157">
        <v>26115253</v>
      </c>
      <c r="E81" s="157">
        <f t="shared" si="2"/>
        <v>-941446</v>
      </c>
      <c r="F81" s="161">
        <f t="shared" si="3"/>
        <v>-3.4795301525880895E-2</v>
      </c>
    </row>
    <row r="82" spans="1:6" ht="15" customHeight="1" x14ac:dyDescent="0.2">
      <c r="A82" s="147">
        <v>21</v>
      </c>
      <c r="B82" s="160" t="s">
        <v>217</v>
      </c>
      <c r="C82" s="157">
        <v>1575717</v>
      </c>
      <c r="D82" s="157">
        <v>61726</v>
      </c>
      <c r="E82" s="157">
        <f t="shared" si="2"/>
        <v>-1513991</v>
      </c>
      <c r="F82" s="161">
        <f t="shared" si="3"/>
        <v>-0.96082672205732378</v>
      </c>
    </row>
    <row r="83" spans="1:6" ht="15" customHeight="1" x14ac:dyDescent="0.2">
      <c r="A83" s="147">
        <v>22</v>
      </c>
      <c r="B83" s="160" t="s">
        <v>218</v>
      </c>
      <c r="C83" s="157">
        <v>1183868</v>
      </c>
      <c r="D83" s="157">
        <v>896745</v>
      </c>
      <c r="E83" s="157">
        <f t="shared" si="2"/>
        <v>-287123</v>
      </c>
      <c r="F83" s="161">
        <f t="shared" si="3"/>
        <v>-0.24252957255369686</v>
      </c>
    </row>
    <row r="84" spans="1:6" ht="15" customHeight="1" x14ac:dyDescent="0.2">
      <c r="A84" s="147">
        <v>23</v>
      </c>
      <c r="B84" s="160" t="s">
        <v>219</v>
      </c>
      <c r="C84" s="157">
        <v>2034284</v>
      </c>
      <c r="D84" s="157">
        <v>2774926</v>
      </c>
      <c r="E84" s="157">
        <f t="shared" si="2"/>
        <v>740642</v>
      </c>
      <c r="F84" s="161">
        <f t="shared" si="3"/>
        <v>0.36407994164040025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1887151</v>
      </c>
      <c r="D86" s="157">
        <v>1500243</v>
      </c>
      <c r="E86" s="157">
        <f t="shared" si="2"/>
        <v>-386908</v>
      </c>
      <c r="F86" s="161">
        <f t="shared" si="3"/>
        <v>-0.20502227961620453</v>
      </c>
    </row>
    <row r="87" spans="1:6" ht="15" customHeight="1" x14ac:dyDescent="0.2">
      <c r="A87" s="147">
        <v>26</v>
      </c>
      <c r="B87" s="160" t="s">
        <v>222</v>
      </c>
      <c r="C87" s="157">
        <v>2602707</v>
      </c>
      <c r="D87" s="157">
        <v>2302572</v>
      </c>
      <c r="E87" s="157">
        <f t="shared" si="2"/>
        <v>-300135</v>
      </c>
      <c r="F87" s="161">
        <f t="shared" si="3"/>
        <v>-0.11531647626874635</v>
      </c>
    </row>
    <row r="88" spans="1:6" ht="15" customHeight="1" x14ac:dyDescent="0.2">
      <c r="A88" s="147">
        <v>27</v>
      </c>
      <c r="B88" s="160" t="s">
        <v>223</v>
      </c>
      <c r="C88" s="157">
        <v>34764</v>
      </c>
      <c r="D88" s="157">
        <v>23748</v>
      </c>
      <c r="E88" s="157">
        <f t="shared" si="2"/>
        <v>-11016</v>
      </c>
      <c r="F88" s="161">
        <f t="shared" si="3"/>
        <v>-0.31687953054884366</v>
      </c>
    </row>
    <row r="89" spans="1:6" ht="15" customHeight="1" x14ac:dyDescent="0.2">
      <c r="A89" s="147">
        <v>28</v>
      </c>
      <c r="B89" s="160" t="s">
        <v>224</v>
      </c>
      <c r="C89" s="157">
        <v>10512907</v>
      </c>
      <c r="D89" s="157">
        <v>36720083</v>
      </c>
      <c r="E89" s="157">
        <f t="shared" si="2"/>
        <v>26207176</v>
      </c>
      <c r="F89" s="161">
        <f t="shared" si="3"/>
        <v>2.492857208762524</v>
      </c>
    </row>
    <row r="90" spans="1:6" ht="15.75" customHeight="1" x14ac:dyDescent="0.25">
      <c r="A90" s="147"/>
      <c r="B90" s="162" t="s">
        <v>225</v>
      </c>
      <c r="C90" s="158">
        <f>SUM(C62:C89)</f>
        <v>118350156</v>
      </c>
      <c r="D90" s="158">
        <f>SUM(D62:D89)</f>
        <v>152368198</v>
      </c>
      <c r="E90" s="158">
        <f t="shared" si="2"/>
        <v>34018042</v>
      </c>
      <c r="F90" s="159">
        <f t="shared" si="3"/>
        <v>0.28743554845842367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13897619</v>
      </c>
      <c r="D93" s="157">
        <v>14626549</v>
      </c>
      <c r="E93" s="157">
        <f>+D93-C93</f>
        <v>728930</v>
      </c>
      <c r="F93" s="161">
        <f>IF(C93=0,0,E93/C93)</f>
        <v>5.2449991613671379E-2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998381093</v>
      </c>
      <c r="D95" s="158">
        <f>+D93+D90+D59+D50+D47+D44+D41+D35+D30+D24+D18</f>
        <v>1022794910</v>
      </c>
      <c r="E95" s="158">
        <f>+D95-C95</f>
        <v>24413817</v>
      </c>
      <c r="F95" s="159">
        <f>IF(C95=0,0,E95/C95)</f>
        <v>2.4453404788185428E-2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151593486</v>
      </c>
      <c r="D103" s="157">
        <v>165228552</v>
      </c>
      <c r="E103" s="157">
        <f t="shared" ref="E103:E121" si="4">D103-C103</f>
        <v>13635066</v>
      </c>
      <c r="F103" s="161">
        <f t="shared" ref="F103:F121" si="5">IF(C103=0,0,E103/C103)</f>
        <v>8.9944933385858017E-2</v>
      </c>
    </row>
    <row r="104" spans="1:6" ht="15" customHeight="1" x14ac:dyDescent="0.2">
      <c r="A104" s="147">
        <v>2</v>
      </c>
      <c r="B104" s="169" t="s">
        <v>234</v>
      </c>
      <c r="C104" s="157">
        <v>15937599</v>
      </c>
      <c r="D104" s="157">
        <v>15364954</v>
      </c>
      <c r="E104" s="157">
        <f t="shared" si="4"/>
        <v>-572645</v>
      </c>
      <c r="F104" s="161">
        <f t="shared" si="5"/>
        <v>-3.593044347520602E-2</v>
      </c>
    </row>
    <row r="105" spans="1:6" ht="15" customHeight="1" x14ac:dyDescent="0.2">
      <c r="A105" s="147">
        <v>3</v>
      </c>
      <c r="B105" s="169" t="s">
        <v>235</v>
      </c>
      <c r="C105" s="157">
        <v>24262552</v>
      </c>
      <c r="D105" s="157">
        <v>27081841</v>
      </c>
      <c r="E105" s="157">
        <f t="shared" si="4"/>
        <v>2819289</v>
      </c>
      <c r="F105" s="161">
        <f t="shared" si="5"/>
        <v>0.11619919454474534</v>
      </c>
    </row>
    <row r="106" spans="1:6" ht="15" customHeight="1" x14ac:dyDescent="0.2">
      <c r="A106" s="147">
        <v>4</v>
      </c>
      <c r="B106" s="169" t="s">
        <v>236</v>
      </c>
      <c r="C106" s="157">
        <v>5364033</v>
      </c>
      <c r="D106" s="157">
        <v>4908581</v>
      </c>
      <c r="E106" s="157">
        <f t="shared" si="4"/>
        <v>-455452</v>
      </c>
      <c r="F106" s="161">
        <f t="shared" si="5"/>
        <v>-8.4908500749342891E-2</v>
      </c>
    </row>
    <row r="107" spans="1:6" ht="15" customHeight="1" x14ac:dyDescent="0.2">
      <c r="A107" s="147">
        <v>5</v>
      </c>
      <c r="B107" s="169" t="s">
        <v>237</v>
      </c>
      <c r="C107" s="157">
        <v>43402674</v>
      </c>
      <c r="D107" s="157">
        <v>35937481</v>
      </c>
      <c r="E107" s="157">
        <f t="shared" si="4"/>
        <v>-7465193</v>
      </c>
      <c r="F107" s="161">
        <f t="shared" si="5"/>
        <v>-0.17199845797519295</v>
      </c>
    </row>
    <row r="108" spans="1:6" ht="15" customHeight="1" x14ac:dyDescent="0.2">
      <c r="A108" s="147">
        <v>6</v>
      </c>
      <c r="B108" s="169" t="s">
        <v>238</v>
      </c>
      <c r="C108" s="157">
        <v>4012024</v>
      </c>
      <c r="D108" s="157">
        <v>1164776</v>
      </c>
      <c r="E108" s="157">
        <f t="shared" si="4"/>
        <v>-2847248</v>
      </c>
      <c r="F108" s="161">
        <f t="shared" si="5"/>
        <v>-0.7096787058103341</v>
      </c>
    </row>
    <row r="109" spans="1:6" ht="15" customHeight="1" x14ac:dyDescent="0.2">
      <c r="A109" s="147">
        <v>7</v>
      </c>
      <c r="B109" s="169" t="s">
        <v>239</v>
      </c>
      <c r="C109" s="157">
        <v>16354920</v>
      </c>
      <c r="D109" s="157">
        <v>13383021</v>
      </c>
      <c r="E109" s="157">
        <f t="shared" si="4"/>
        <v>-2971899</v>
      </c>
      <c r="F109" s="161">
        <f t="shared" si="5"/>
        <v>-0.1817128423740379</v>
      </c>
    </row>
    <row r="110" spans="1:6" ht="15" customHeight="1" x14ac:dyDescent="0.2">
      <c r="A110" s="147">
        <v>8</v>
      </c>
      <c r="B110" s="169" t="s">
        <v>240</v>
      </c>
      <c r="C110" s="157">
        <v>6877770</v>
      </c>
      <c r="D110" s="157">
        <v>4311887</v>
      </c>
      <c r="E110" s="157">
        <f t="shared" si="4"/>
        <v>-2565883</v>
      </c>
      <c r="F110" s="161">
        <f t="shared" si="5"/>
        <v>-0.37306903254979451</v>
      </c>
    </row>
    <row r="111" spans="1:6" ht="15" customHeight="1" x14ac:dyDescent="0.2">
      <c r="A111" s="147">
        <v>9</v>
      </c>
      <c r="B111" s="169" t="s">
        <v>241</v>
      </c>
      <c r="C111" s="157">
        <v>3463304</v>
      </c>
      <c r="D111" s="157">
        <v>3106654</v>
      </c>
      <c r="E111" s="157">
        <f t="shared" si="4"/>
        <v>-356650</v>
      </c>
      <c r="F111" s="161">
        <f t="shared" si="5"/>
        <v>-0.10297969799936708</v>
      </c>
    </row>
    <row r="112" spans="1:6" ht="15" customHeight="1" x14ac:dyDescent="0.2">
      <c r="A112" s="147">
        <v>10</v>
      </c>
      <c r="B112" s="169" t="s">
        <v>242</v>
      </c>
      <c r="C112" s="157">
        <v>12649591</v>
      </c>
      <c r="D112" s="157">
        <v>12686710</v>
      </c>
      <c r="E112" s="157">
        <f t="shared" si="4"/>
        <v>37119</v>
      </c>
      <c r="F112" s="161">
        <f t="shared" si="5"/>
        <v>2.9344031755651231E-3</v>
      </c>
    </row>
    <row r="113" spans="1:6" ht="15" customHeight="1" x14ac:dyDescent="0.2">
      <c r="A113" s="147">
        <v>11</v>
      </c>
      <c r="B113" s="169" t="s">
        <v>243</v>
      </c>
      <c r="C113" s="157">
        <v>12130376</v>
      </c>
      <c r="D113" s="157">
        <v>11762769</v>
      </c>
      <c r="E113" s="157">
        <f t="shared" si="4"/>
        <v>-367607</v>
      </c>
      <c r="F113" s="161">
        <f t="shared" si="5"/>
        <v>-3.0304666565982786E-2</v>
      </c>
    </row>
    <row r="114" spans="1:6" ht="15" customHeight="1" x14ac:dyDescent="0.2">
      <c r="A114" s="147">
        <v>12</v>
      </c>
      <c r="B114" s="169" t="s">
        <v>244</v>
      </c>
      <c r="C114" s="157">
        <v>5553058</v>
      </c>
      <c r="D114" s="157">
        <v>6371316</v>
      </c>
      <c r="E114" s="157">
        <f t="shared" si="4"/>
        <v>818258</v>
      </c>
      <c r="F114" s="161">
        <f t="shared" si="5"/>
        <v>0.14735268387256176</v>
      </c>
    </row>
    <row r="115" spans="1:6" ht="15" customHeight="1" x14ac:dyDescent="0.2">
      <c r="A115" s="147">
        <v>13</v>
      </c>
      <c r="B115" s="169" t="s">
        <v>245</v>
      </c>
      <c r="C115" s="157">
        <v>21559008</v>
      </c>
      <c r="D115" s="157">
        <v>24117177</v>
      </c>
      <c r="E115" s="157">
        <f t="shared" si="4"/>
        <v>2558169</v>
      </c>
      <c r="F115" s="161">
        <f t="shared" si="5"/>
        <v>0.11865893829623329</v>
      </c>
    </row>
    <row r="116" spans="1:6" ht="15" customHeight="1" x14ac:dyDescent="0.2">
      <c r="A116" s="147">
        <v>14</v>
      </c>
      <c r="B116" s="169" t="s">
        <v>246</v>
      </c>
      <c r="C116" s="157">
        <v>5298018</v>
      </c>
      <c r="D116" s="157">
        <v>5309620</v>
      </c>
      <c r="E116" s="157">
        <f t="shared" si="4"/>
        <v>11602</v>
      </c>
      <c r="F116" s="161">
        <f t="shared" si="5"/>
        <v>2.1898755345867078E-3</v>
      </c>
    </row>
    <row r="117" spans="1:6" ht="15" customHeight="1" x14ac:dyDescent="0.2">
      <c r="A117" s="147">
        <v>15</v>
      </c>
      <c r="B117" s="169" t="s">
        <v>203</v>
      </c>
      <c r="C117" s="157">
        <v>12866335</v>
      </c>
      <c r="D117" s="157">
        <v>13633195</v>
      </c>
      <c r="E117" s="157">
        <f t="shared" si="4"/>
        <v>766860</v>
      </c>
      <c r="F117" s="161">
        <f t="shared" si="5"/>
        <v>5.9602054508918041E-2</v>
      </c>
    </row>
    <row r="118" spans="1:6" ht="15" customHeight="1" x14ac:dyDescent="0.2">
      <c r="A118" s="147">
        <v>16</v>
      </c>
      <c r="B118" s="169" t="s">
        <v>247</v>
      </c>
      <c r="C118" s="157">
        <v>3963454</v>
      </c>
      <c r="D118" s="157">
        <v>4334936</v>
      </c>
      <c r="E118" s="157">
        <f t="shared" si="4"/>
        <v>371482</v>
      </c>
      <c r="F118" s="161">
        <f t="shared" si="5"/>
        <v>9.3726835230079616E-2</v>
      </c>
    </row>
    <row r="119" spans="1:6" ht="15" customHeight="1" x14ac:dyDescent="0.2">
      <c r="A119" s="147">
        <v>17</v>
      </c>
      <c r="B119" s="169" t="s">
        <v>248</v>
      </c>
      <c r="C119" s="157">
        <v>33473889</v>
      </c>
      <c r="D119" s="157">
        <v>36381749</v>
      </c>
      <c r="E119" s="157">
        <f t="shared" si="4"/>
        <v>2907860</v>
      </c>
      <c r="F119" s="161">
        <f t="shared" si="5"/>
        <v>8.686949998549616E-2</v>
      </c>
    </row>
    <row r="120" spans="1:6" ht="15" customHeight="1" x14ac:dyDescent="0.2">
      <c r="A120" s="147">
        <v>18</v>
      </c>
      <c r="B120" s="169" t="s">
        <v>249</v>
      </c>
      <c r="C120" s="157">
        <v>13148330</v>
      </c>
      <c r="D120" s="157">
        <v>14133072</v>
      </c>
      <c r="E120" s="157">
        <f t="shared" si="4"/>
        <v>984742</v>
      </c>
      <c r="F120" s="161">
        <f t="shared" si="5"/>
        <v>7.4894834553133366E-2</v>
      </c>
    </row>
    <row r="121" spans="1:6" ht="15.75" customHeight="1" x14ac:dyDescent="0.25">
      <c r="A121" s="147"/>
      <c r="B121" s="165" t="s">
        <v>250</v>
      </c>
      <c r="C121" s="158">
        <f>SUM(C103:C120)</f>
        <v>391910421</v>
      </c>
      <c r="D121" s="158">
        <f>SUM(D103:D120)</f>
        <v>399218291</v>
      </c>
      <c r="E121" s="158">
        <f t="shared" si="4"/>
        <v>7307870</v>
      </c>
      <c r="F121" s="159">
        <f t="shared" si="5"/>
        <v>1.8646786633928266E-2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3056088</v>
      </c>
      <c r="D124" s="157">
        <v>6779411</v>
      </c>
      <c r="E124" s="157">
        <f t="shared" ref="E124:E130" si="6">D124-C124</f>
        <v>3723323</v>
      </c>
      <c r="F124" s="161">
        <f t="shared" ref="F124:F130" si="7">IF(C124=0,0,E124/C124)</f>
        <v>1.2183297732264253</v>
      </c>
    </row>
    <row r="125" spans="1:6" ht="15" customHeight="1" x14ac:dyDescent="0.2">
      <c r="A125" s="147">
        <v>2</v>
      </c>
      <c r="B125" s="169" t="s">
        <v>253</v>
      </c>
      <c r="C125" s="157">
        <v>28973323</v>
      </c>
      <c r="D125" s="157">
        <v>30950589</v>
      </c>
      <c r="E125" s="157">
        <f t="shared" si="6"/>
        <v>1977266</v>
      </c>
      <c r="F125" s="161">
        <f t="shared" si="7"/>
        <v>6.824436396197979E-2</v>
      </c>
    </row>
    <row r="126" spans="1:6" ht="15" customHeight="1" x14ac:dyDescent="0.2">
      <c r="A126" s="147">
        <v>3</v>
      </c>
      <c r="B126" s="169" t="s">
        <v>254</v>
      </c>
      <c r="C126" s="157">
        <v>20343190</v>
      </c>
      <c r="D126" s="157">
        <v>20927717</v>
      </c>
      <c r="E126" s="157">
        <f t="shared" si="6"/>
        <v>584527</v>
      </c>
      <c r="F126" s="161">
        <f t="shared" si="7"/>
        <v>2.8733300922814956E-2</v>
      </c>
    </row>
    <row r="127" spans="1:6" ht="15" customHeight="1" x14ac:dyDescent="0.2">
      <c r="A127" s="147">
        <v>4</v>
      </c>
      <c r="B127" s="169" t="s">
        <v>255</v>
      </c>
      <c r="C127" s="157">
        <v>8270041</v>
      </c>
      <c r="D127" s="157">
        <v>3788830</v>
      </c>
      <c r="E127" s="157">
        <f t="shared" si="6"/>
        <v>-4481211</v>
      </c>
      <c r="F127" s="161">
        <f t="shared" si="7"/>
        <v>-0.54186079609520676</v>
      </c>
    </row>
    <row r="128" spans="1:6" ht="15" customHeight="1" x14ac:dyDescent="0.2">
      <c r="A128" s="147">
        <v>5</v>
      </c>
      <c r="B128" s="169" t="s">
        <v>256</v>
      </c>
      <c r="C128" s="157">
        <v>1725806</v>
      </c>
      <c r="D128" s="157">
        <v>1812356</v>
      </c>
      <c r="E128" s="157">
        <f t="shared" si="6"/>
        <v>86550</v>
      </c>
      <c r="F128" s="161">
        <f t="shared" si="7"/>
        <v>5.0150480413209825E-2</v>
      </c>
    </row>
    <row r="129" spans="1:6" ht="15" customHeight="1" x14ac:dyDescent="0.2">
      <c r="A129" s="147">
        <v>6</v>
      </c>
      <c r="B129" s="169" t="s">
        <v>257</v>
      </c>
      <c r="C129" s="157">
        <v>2229526</v>
      </c>
      <c r="D129" s="157">
        <v>1844761</v>
      </c>
      <c r="E129" s="157">
        <f t="shared" si="6"/>
        <v>-384765</v>
      </c>
      <c r="F129" s="161">
        <f t="shared" si="7"/>
        <v>-0.17257704103921639</v>
      </c>
    </row>
    <row r="130" spans="1:6" ht="15.75" customHeight="1" x14ac:dyDescent="0.25">
      <c r="A130" s="147"/>
      <c r="B130" s="165" t="s">
        <v>258</v>
      </c>
      <c r="C130" s="158">
        <f>SUM(C124:C129)</f>
        <v>64597974</v>
      </c>
      <c r="D130" s="158">
        <f>SUM(D124:D129)</f>
        <v>66103664</v>
      </c>
      <c r="E130" s="158">
        <f t="shared" si="6"/>
        <v>1505690</v>
      </c>
      <c r="F130" s="159">
        <f t="shared" si="7"/>
        <v>2.3308625747302848E-2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76011714</v>
      </c>
      <c r="D133" s="157">
        <v>79721660</v>
      </c>
      <c r="E133" s="157">
        <f t="shared" ref="E133:E167" si="8">D133-C133</f>
        <v>3709946</v>
      </c>
      <c r="F133" s="161">
        <f t="shared" ref="F133:F167" si="9">IF(C133=0,0,E133/C133)</f>
        <v>4.8807556161672663E-2</v>
      </c>
    </row>
    <row r="134" spans="1:6" ht="15" customHeight="1" x14ac:dyDescent="0.2">
      <c r="A134" s="147">
        <v>2</v>
      </c>
      <c r="B134" s="169" t="s">
        <v>261</v>
      </c>
      <c r="C134" s="157">
        <v>3112663</v>
      </c>
      <c r="D134" s="157">
        <v>3859443</v>
      </c>
      <c r="E134" s="157">
        <f t="shared" si="8"/>
        <v>746780</v>
      </c>
      <c r="F134" s="161">
        <f t="shared" si="9"/>
        <v>0.23991675295398185</v>
      </c>
    </row>
    <row r="135" spans="1:6" ht="15" customHeight="1" x14ac:dyDescent="0.2">
      <c r="A135" s="147">
        <v>3</v>
      </c>
      <c r="B135" s="169" t="s">
        <v>262</v>
      </c>
      <c r="C135" s="157">
        <v>4749403</v>
      </c>
      <c r="D135" s="157">
        <v>5069749</v>
      </c>
      <c r="E135" s="157">
        <f t="shared" si="8"/>
        <v>320346</v>
      </c>
      <c r="F135" s="161">
        <f t="shared" si="9"/>
        <v>6.7449740525282867E-2</v>
      </c>
    </row>
    <row r="136" spans="1:6" ht="15" customHeight="1" x14ac:dyDescent="0.2">
      <c r="A136" s="147">
        <v>4</v>
      </c>
      <c r="B136" s="169" t="s">
        <v>263</v>
      </c>
      <c r="C136" s="157">
        <v>11373422</v>
      </c>
      <c r="D136" s="157">
        <v>11765056</v>
      </c>
      <c r="E136" s="157">
        <f t="shared" si="8"/>
        <v>391634</v>
      </c>
      <c r="F136" s="161">
        <f t="shared" si="9"/>
        <v>3.4434139522827867E-2</v>
      </c>
    </row>
    <row r="137" spans="1:6" ht="15" customHeight="1" x14ac:dyDescent="0.2">
      <c r="A137" s="147">
        <v>5</v>
      </c>
      <c r="B137" s="169" t="s">
        <v>264</v>
      </c>
      <c r="C137" s="157">
        <v>20385981</v>
      </c>
      <c r="D137" s="157">
        <v>20347597</v>
      </c>
      <c r="E137" s="157">
        <f t="shared" si="8"/>
        <v>-38384</v>
      </c>
      <c r="F137" s="161">
        <f t="shared" si="9"/>
        <v>-1.8828625416652748E-3</v>
      </c>
    </row>
    <row r="138" spans="1:6" ht="15" customHeight="1" x14ac:dyDescent="0.2">
      <c r="A138" s="147">
        <v>6</v>
      </c>
      <c r="B138" s="169" t="s">
        <v>265</v>
      </c>
      <c r="C138" s="157">
        <v>954331</v>
      </c>
      <c r="D138" s="157">
        <v>1006542</v>
      </c>
      <c r="E138" s="157">
        <f t="shared" si="8"/>
        <v>52211</v>
      </c>
      <c r="F138" s="161">
        <f t="shared" si="9"/>
        <v>5.4709529502866408E-2</v>
      </c>
    </row>
    <row r="139" spans="1:6" ht="15" customHeight="1" x14ac:dyDescent="0.2">
      <c r="A139" s="147">
        <v>7</v>
      </c>
      <c r="B139" s="169" t="s">
        <v>266</v>
      </c>
      <c r="C139" s="157">
        <v>12650666</v>
      </c>
      <c r="D139" s="157">
        <v>13535862</v>
      </c>
      <c r="E139" s="157">
        <f t="shared" si="8"/>
        <v>885196</v>
      </c>
      <c r="F139" s="161">
        <f t="shared" si="9"/>
        <v>6.9972284463126283E-2</v>
      </c>
    </row>
    <row r="140" spans="1:6" ht="15" customHeight="1" x14ac:dyDescent="0.2">
      <c r="A140" s="147">
        <v>8</v>
      </c>
      <c r="B140" s="169" t="s">
        <v>267</v>
      </c>
      <c r="C140" s="157">
        <v>2488349</v>
      </c>
      <c r="D140" s="157">
        <v>2167133</v>
      </c>
      <c r="E140" s="157">
        <f t="shared" si="8"/>
        <v>-321216</v>
      </c>
      <c r="F140" s="161">
        <f t="shared" si="9"/>
        <v>-0.12908800172323096</v>
      </c>
    </row>
    <row r="141" spans="1:6" ht="15" customHeight="1" x14ac:dyDescent="0.2">
      <c r="A141" s="147">
        <v>9</v>
      </c>
      <c r="B141" s="169" t="s">
        <v>268</v>
      </c>
      <c r="C141" s="157">
        <v>2821574</v>
      </c>
      <c r="D141" s="157">
        <v>2754111</v>
      </c>
      <c r="E141" s="157">
        <f t="shared" si="8"/>
        <v>-67463</v>
      </c>
      <c r="F141" s="161">
        <f t="shared" si="9"/>
        <v>-2.3909704299798624E-2</v>
      </c>
    </row>
    <row r="142" spans="1:6" ht="15" customHeight="1" x14ac:dyDescent="0.2">
      <c r="A142" s="147">
        <v>10</v>
      </c>
      <c r="B142" s="169" t="s">
        <v>269</v>
      </c>
      <c r="C142" s="157">
        <v>25368555</v>
      </c>
      <c r="D142" s="157">
        <v>24673587</v>
      </c>
      <c r="E142" s="157">
        <f t="shared" si="8"/>
        <v>-694968</v>
      </c>
      <c r="F142" s="161">
        <f t="shared" si="9"/>
        <v>-2.7394859502245988E-2</v>
      </c>
    </row>
    <row r="143" spans="1:6" ht="15" customHeight="1" x14ac:dyDescent="0.2">
      <c r="A143" s="147">
        <v>11</v>
      </c>
      <c r="B143" s="169" t="s">
        <v>270</v>
      </c>
      <c r="C143" s="157">
        <v>9966976</v>
      </c>
      <c r="D143" s="157">
        <v>11014891</v>
      </c>
      <c r="E143" s="157">
        <f t="shared" si="8"/>
        <v>1047915</v>
      </c>
      <c r="F143" s="161">
        <f t="shared" si="9"/>
        <v>0.10513871007615549</v>
      </c>
    </row>
    <row r="144" spans="1:6" ht="15" customHeight="1" x14ac:dyDescent="0.2">
      <c r="A144" s="147">
        <v>12</v>
      </c>
      <c r="B144" s="169" t="s">
        <v>271</v>
      </c>
      <c r="C144" s="157">
        <v>6631391</v>
      </c>
      <c r="D144" s="157">
        <v>6089605</v>
      </c>
      <c r="E144" s="157">
        <f t="shared" si="8"/>
        <v>-541786</v>
      </c>
      <c r="F144" s="161">
        <f t="shared" si="9"/>
        <v>-8.1700204376427207E-2</v>
      </c>
    </row>
    <row r="145" spans="1:6" ht="15" customHeight="1" x14ac:dyDescent="0.2">
      <c r="A145" s="147">
        <v>13</v>
      </c>
      <c r="B145" s="169" t="s">
        <v>272</v>
      </c>
      <c r="C145" s="157">
        <v>1335755</v>
      </c>
      <c r="D145" s="157">
        <v>1223662</v>
      </c>
      <c r="E145" s="157">
        <f t="shared" si="8"/>
        <v>-112093</v>
      </c>
      <c r="F145" s="161">
        <f t="shared" si="9"/>
        <v>-8.3917335140051882E-2</v>
      </c>
    </row>
    <row r="146" spans="1:6" ht="15" customHeight="1" x14ac:dyDescent="0.2">
      <c r="A146" s="147">
        <v>14</v>
      </c>
      <c r="B146" s="169" t="s">
        <v>273</v>
      </c>
      <c r="C146" s="157">
        <v>678312</v>
      </c>
      <c r="D146" s="157">
        <v>549811</v>
      </c>
      <c r="E146" s="157">
        <f t="shared" si="8"/>
        <v>-128501</v>
      </c>
      <c r="F146" s="161">
        <f t="shared" si="9"/>
        <v>-0.18944232152755663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598971</v>
      </c>
      <c r="D148" s="157">
        <v>621211</v>
      </c>
      <c r="E148" s="157">
        <f t="shared" si="8"/>
        <v>22240</v>
      </c>
      <c r="F148" s="161">
        <f t="shared" si="9"/>
        <v>3.7130345208699587E-2</v>
      </c>
    </row>
    <row r="149" spans="1:6" ht="15" customHeight="1" x14ac:dyDescent="0.2">
      <c r="A149" s="147">
        <v>17</v>
      </c>
      <c r="B149" s="169" t="s">
        <v>276</v>
      </c>
      <c r="C149" s="157">
        <v>98196</v>
      </c>
      <c r="D149" s="157">
        <v>13473</v>
      </c>
      <c r="E149" s="157">
        <f t="shared" si="8"/>
        <v>-84723</v>
      </c>
      <c r="F149" s="161">
        <f t="shared" si="9"/>
        <v>-0.86279481852621287</v>
      </c>
    </row>
    <row r="150" spans="1:6" ht="15" customHeight="1" x14ac:dyDescent="0.2">
      <c r="A150" s="147">
        <v>18</v>
      </c>
      <c r="B150" s="169" t="s">
        <v>277</v>
      </c>
      <c r="C150" s="157">
        <v>7234600</v>
      </c>
      <c r="D150" s="157">
        <v>7351004</v>
      </c>
      <c r="E150" s="157">
        <f t="shared" si="8"/>
        <v>116404</v>
      </c>
      <c r="F150" s="161">
        <f t="shared" si="9"/>
        <v>1.6089901307605119E-2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1633605</v>
      </c>
      <c r="D152" s="157">
        <v>1530921</v>
      </c>
      <c r="E152" s="157">
        <f t="shared" si="8"/>
        <v>-102684</v>
      </c>
      <c r="F152" s="161">
        <f t="shared" si="9"/>
        <v>-6.2857300265364027E-2</v>
      </c>
    </row>
    <row r="153" spans="1:6" ht="15" customHeight="1" x14ac:dyDescent="0.2">
      <c r="A153" s="147">
        <v>21</v>
      </c>
      <c r="B153" s="169" t="s">
        <v>280</v>
      </c>
      <c r="C153" s="157">
        <v>710413</v>
      </c>
      <c r="D153" s="157">
        <v>737490</v>
      </c>
      <c r="E153" s="157">
        <f t="shared" si="8"/>
        <v>27077</v>
      </c>
      <c r="F153" s="161">
        <f t="shared" si="9"/>
        <v>3.8114448919149849E-2</v>
      </c>
    </row>
    <row r="154" spans="1:6" ht="15" customHeight="1" x14ac:dyDescent="0.2">
      <c r="A154" s="147">
        <v>22</v>
      </c>
      <c r="B154" s="169" t="s">
        <v>281</v>
      </c>
      <c r="C154" s="157">
        <v>14893726</v>
      </c>
      <c r="D154" s="157">
        <v>15261957</v>
      </c>
      <c r="E154" s="157">
        <f t="shared" si="8"/>
        <v>368231</v>
      </c>
      <c r="F154" s="161">
        <f t="shared" si="9"/>
        <v>2.4723900520259336E-2</v>
      </c>
    </row>
    <row r="155" spans="1:6" ht="15" customHeight="1" x14ac:dyDescent="0.2">
      <c r="A155" s="147">
        <v>23</v>
      </c>
      <c r="B155" s="169" t="s">
        <v>282</v>
      </c>
      <c r="C155" s="157">
        <v>6868917</v>
      </c>
      <c r="D155" s="157">
        <v>7288069</v>
      </c>
      <c r="E155" s="157">
        <f t="shared" si="8"/>
        <v>419152</v>
      </c>
      <c r="F155" s="161">
        <f t="shared" si="9"/>
        <v>6.1021555508677716E-2</v>
      </c>
    </row>
    <row r="156" spans="1:6" ht="15" customHeight="1" x14ac:dyDescent="0.2">
      <c r="A156" s="147">
        <v>24</v>
      </c>
      <c r="B156" s="169" t="s">
        <v>283</v>
      </c>
      <c r="C156" s="157">
        <v>27852467</v>
      </c>
      <c r="D156" s="157">
        <v>29861160</v>
      </c>
      <c r="E156" s="157">
        <f t="shared" si="8"/>
        <v>2008693</v>
      </c>
      <c r="F156" s="161">
        <f t="shared" si="9"/>
        <v>7.211903347735768E-2</v>
      </c>
    </row>
    <row r="157" spans="1:6" ht="15" customHeight="1" x14ac:dyDescent="0.2">
      <c r="A157" s="147">
        <v>25</v>
      </c>
      <c r="B157" s="169" t="s">
        <v>284</v>
      </c>
      <c r="C157" s="157">
        <v>2121669</v>
      </c>
      <c r="D157" s="157">
        <v>1994775</v>
      </c>
      <c r="E157" s="157">
        <f t="shared" si="8"/>
        <v>-126894</v>
      </c>
      <c r="F157" s="161">
        <f t="shared" si="9"/>
        <v>-5.9808575230160782E-2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221246</v>
      </c>
      <c r="D159" s="157">
        <v>429443</v>
      </c>
      <c r="E159" s="157">
        <f t="shared" si="8"/>
        <v>208197</v>
      </c>
      <c r="F159" s="161">
        <f t="shared" si="9"/>
        <v>0.94102040262874809</v>
      </c>
    </row>
    <row r="160" spans="1:6" ht="15" customHeight="1" x14ac:dyDescent="0.2">
      <c r="A160" s="147">
        <v>28</v>
      </c>
      <c r="B160" s="169" t="s">
        <v>287</v>
      </c>
      <c r="C160" s="157">
        <v>4768146</v>
      </c>
      <c r="D160" s="157">
        <v>5598594</v>
      </c>
      <c r="E160" s="157">
        <f t="shared" si="8"/>
        <v>830448</v>
      </c>
      <c r="F160" s="161">
        <f t="shared" si="9"/>
        <v>0.17416580784229341</v>
      </c>
    </row>
    <row r="161" spans="1:6" ht="15" customHeight="1" x14ac:dyDescent="0.2">
      <c r="A161" s="147">
        <v>29</v>
      </c>
      <c r="B161" s="169" t="s">
        <v>288</v>
      </c>
      <c r="C161" s="157">
        <v>2135321</v>
      </c>
      <c r="D161" s="157">
        <v>1856612</v>
      </c>
      <c r="E161" s="157">
        <f t="shared" si="8"/>
        <v>-278709</v>
      </c>
      <c r="F161" s="161">
        <f t="shared" si="9"/>
        <v>-0.1305232328066834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25278924</v>
      </c>
      <c r="D163" s="157">
        <v>24425329</v>
      </c>
      <c r="E163" s="157">
        <f t="shared" si="8"/>
        <v>-853595</v>
      </c>
      <c r="F163" s="161">
        <f t="shared" si="9"/>
        <v>-3.3767062237300922E-2</v>
      </c>
    </row>
    <row r="164" spans="1:6" ht="15" customHeight="1" x14ac:dyDescent="0.2">
      <c r="A164" s="147">
        <v>32</v>
      </c>
      <c r="B164" s="169" t="s">
        <v>291</v>
      </c>
      <c r="C164" s="157">
        <v>27187925</v>
      </c>
      <c r="D164" s="157">
        <v>28664634</v>
      </c>
      <c r="E164" s="157">
        <f t="shared" si="8"/>
        <v>1476709</v>
      </c>
      <c r="F164" s="161">
        <f t="shared" si="9"/>
        <v>5.4314884273073433E-2</v>
      </c>
    </row>
    <row r="165" spans="1:6" ht="15" customHeight="1" x14ac:dyDescent="0.2">
      <c r="A165" s="147">
        <v>33</v>
      </c>
      <c r="B165" s="169" t="s">
        <v>292</v>
      </c>
      <c r="C165" s="157">
        <v>1015004</v>
      </c>
      <c r="D165" s="157">
        <v>1059580</v>
      </c>
      <c r="E165" s="157">
        <f t="shared" si="8"/>
        <v>44576</v>
      </c>
      <c r="F165" s="161">
        <f t="shared" si="9"/>
        <v>4.3917068307119972E-2</v>
      </c>
    </row>
    <row r="166" spans="1:6" ht="15" customHeight="1" x14ac:dyDescent="0.2">
      <c r="A166" s="147">
        <v>34</v>
      </c>
      <c r="B166" s="169" t="s">
        <v>293</v>
      </c>
      <c r="C166" s="157">
        <v>20924788</v>
      </c>
      <c r="D166" s="157">
        <v>23681268</v>
      </c>
      <c r="E166" s="157">
        <f t="shared" si="8"/>
        <v>2756480</v>
      </c>
      <c r="F166" s="161">
        <f t="shared" si="9"/>
        <v>0.13173275638443743</v>
      </c>
    </row>
    <row r="167" spans="1:6" ht="15.75" customHeight="1" x14ac:dyDescent="0.25">
      <c r="A167" s="147"/>
      <c r="B167" s="165" t="s">
        <v>294</v>
      </c>
      <c r="C167" s="158">
        <f>SUM(C133:C166)</f>
        <v>322073010</v>
      </c>
      <c r="D167" s="158">
        <f>SUM(D133:D166)</f>
        <v>334154229</v>
      </c>
      <c r="E167" s="158">
        <f t="shared" si="8"/>
        <v>12081219</v>
      </c>
      <c r="F167" s="159">
        <f t="shared" si="9"/>
        <v>3.7510808496495872E-2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109637637</v>
      </c>
      <c r="D170" s="157">
        <v>113708749</v>
      </c>
      <c r="E170" s="157">
        <f t="shared" ref="E170:E183" si="10">D170-C170</f>
        <v>4071112</v>
      </c>
      <c r="F170" s="161">
        <f t="shared" ref="F170:F183" si="11">IF(C170=0,0,E170/C170)</f>
        <v>3.7132431082950099E-2</v>
      </c>
    </row>
    <row r="171" spans="1:6" ht="15" customHeight="1" x14ac:dyDescent="0.2">
      <c r="A171" s="147">
        <v>2</v>
      </c>
      <c r="B171" s="169" t="s">
        <v>297</v>
      </c>
      <c r="C171" s="157">
        <v>23438364</v>
      </c>
      <c r="D171" s="157">
        <v>23138300</v>
      </c>
      <c r="E171" s="157">
        <f t="shared" si="10"/>
        <v>-300064</v>
      </c>
      <c r="F171" s="161">
        <f t="shared" si="11"/>
        <v>-1.2802258724201057E-2</v>
      </c>
    </row>
    <row r="172" spans="1:6" ht="15" customHeight="1" x14ac:dyDescent="0.2">
      <c r="A172" s="147">
        <v>3</v>
      </c>
      <c r="B172" s="169" t="s">
        <v>298</v>
      </c>
      <c r="C172" s="157">
        <v>4557581</v>
      </c>
      <c r="D172" s="157">
        <v>4285923</v>
      </c>
      <c r="E172" s="157">
        <f t="shared" si="10"/>
        <v>-271658</v>
      </c>
      <c r="F172" s="161">
        <f t="shared" si="11"/>
        <v>-5.9605742607756175E-2</v>
      </c>
    </row>
    <row r="173" spans="1:6" ht="15" customHeight="1" x14ac:dyDescent="0.2">
      <c r="A173" s="147">
        <v>4</v>
      </c>
      <c r="B173" s="169" t="s">
        <v>299</v>
      </c>
      <c r="C173" s="157">
        <v>21659953</v>
      </c>
      <c r="D173" s="157">
        <v>21351885</v>
      </c>
      <c r="E173" s="157">
        <f t="shared" si="10"/>
        <v>-308068</v>
      </c>
      <c r="F173" s="161">
        <f t="shared" si="11"/>
        <v>-1.4222930215961226E-2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4332463</v>
      </c>
      <c r="D175" s="157">
        <v>4195452</v>
      </c>
      <c r="E175" s="157">
        <f t="shared" si="10"/>
        <v>-137011</v>
      </c>
      <c r="F175" s="161">
        <f t="shared" si="11"/>
        <v>-3.1624274690862909E-2</v>
      </c>
    </row>
    <row r="176" spans="1:6" ht="15" customHeight="1" x14ac:dyDescent="0.2">
      <c r="A176" s="147">
        <v>7</v>
      </c>
      <c r="B176" s="169" t="s">
        <v>302</v>
      </c>
      <c r="C176" s="157">
        <v>3544742</v>
      </c>
      <c r="D176" s="157">
        <v>3432652</v>
      </c>
      <c r="E176" s="157">
        <f t="shared" si="10"/>
        <v>-112090</v>
      </c>
      <c r="F176" s="161">
        <f t="shared" si="11"/>
        <v>-3.1621483312466746E-2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12940459</v>
      </c>
      <c r="D179" s="157">
        <v>13611741</v>
      </c>
      <c r="E179" s="157">
        <f t="shared" si="10"/>
        <v>671282</v>
      </c>
      <c r="F179" s="161">
        <f t="shared" si="11"/>
        <v>5.1874666887781959E-2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13801888</v>
      </c>
      <c r="D181" s="157">
        <v>13636596</v>
      </c>
      <c r="E181" s="157">
        <f t="shared" si="10"/>
        <v>-165292</v>
      </c>
      <c r="F181" s="161">
        <f t="shared" si="11"/>
        <v>-1.1976042697926544E-2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193913087</v>
      </c>
      <c r="D183" s="158">
        <f>SUM(D170:D182)</f>
        <v>197361298</v>
      </c>
      <c r="E183" s="158">
        <f t="shared" si="10"/>
        <v>3448211</v>
      </c>
      <c r="F183" s="159">
        <f t="shared" si="11"/>
        <v>1.7782250044835808E-2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25886601</v>
      </c>
      <c r="D186" s="157">
        <v>25957428</v>
      </c>
      <c r="E186" s="157">
        <f>D186-C186</f>
        <v>70827</v>
      </c>
      <c r="F186" s="161">
        <f>IF(C186=0,0,E186/C186)</f>
        <v>2.7360486608496806E-3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998381093</v>
      </c>
      <c r="D188" s="158">
        <f>+D186+D183+D167+D130+D121</f>
        <v>1022794910</v>
      </c>
      <c r="E188" s="158">
        <f>D188-C188</f>
        <v>24413817</v>
      </c>
      <c r="F188" s="159">
        <f>IF(C188=0,0,E188/C188)</f>
        <v>2.4453404788185428E-2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FILING&amp;RHARTFORD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926633051</v>
      </c>
      <c r="D11" s="183">
        <v>903784775</v>
      </c>
      <c r="E11" s="76">
        <v>976155739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171975203</v>
      </c>
      <c r="D12" s="185">
        <v>89734457</v>
      </c>
      <c r="E12" s="185">
        <v>82924357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1098608254</v>
      </c>
      <c r="D13" s="76">
        <f>+D11+D12</f>
        <v>993519232</v>
      </c>
      <c r="E13" s="76">
        <f>+E11+E12</f>
        <v>1059080096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1046001610</v>
      </c>
      <c r="D14" s="185">
        <v>998381093</v>
      </c>
      <c r="E14" s="185">
        <v>1022794910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52606644</v>
      </c>
      <c r="D15" s="76">
        <f>+D13-D14</f>
        <v>-4861861</v>
      </c>
      <c r="E15" s="76">
        <f>+E13-E14</f>
        <v>36285186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38750468</v>
      </c>
      <c r="D16" s="185">
        <v>29320979</v>
      </c>
      <c r="E16" s="185">
        <v>16343412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91357112</v>
      </c>
      <c r="D17" s="76">
        <f>D15+D16</f>
        <v>24459118</v>
      </c>
      <c r="E17" s="76">
        <f>E15+E16</f>
        <v>52628598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4.6253343806511027E-2</v>
      </c>
      <c r="D20" s="189">
        <f>IF(+D27=0,0,+D24/+D27)</f>
        <v>-4.7532947450772446E-3</v>
      </c>
      <c r="E20" s="189">
        <f>IF(+E27=0,0,+E24/+E27)</f>
        <v>3.3740369008187984E-2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3.4070577075154304E-2</v>
      </c>
      <c r="D21" s="189">
        <f>IF(D27=0,0,+D26/D27)</f>
        <v>2.8666236118478138E-2</v>
      </c>
      <c r="E21" s="189">
        <f>IF(E27=0,0,+E26/E27)</f>
        <v>1.5197186855617814E-2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8.0323920881665331E-2</v>
      </c>
      <c r="D22" s="189">
        <f>IF(D27=0,0,+D28/D27)</f>
        <v>2.3912941373400894E-2</v>
      </c>
      <c r="E22" s="189">
        <f>IF(E27=0,0,+E28/E27)</f>
        <v>4.8937555863805798E-2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52606644</v>
      </c>
      <c r="D24" s="76">
        <f>+D15</f>
        <v>-4861861</v>
      </c>
      <c r="E24" s="76">
        <f>+E15</f>
        <v>36285186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1098608254</v>
      </c>
      <c r="D25" s="76">
        <f>+D13</f>
        <v>993519232</v>
      </c>
      <c r="E25" s="76">
        <f>+E13</f>
        <v>1059080096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38750468</v>
      </c>
      <c r="D26" s="76">
        <f>+D16</f>
        <v>29320979</v>
      </c>
      <c r="E26" s="76">
        <f>+E16</f>
        <v>16343412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1137358722</v>
      </c>
      <c r="D27" s="76">
        <f>+D25+D26</f>
        <v>1022840211</v>
      </c>
      <c r="E27" s="76">
        <f>+E25+E26</f>
        <v>1075423508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91357112</v>
      </c>
      <c r="D28" s="76">
        <f>+D17</f>
        <v>24459118</v>
      </c>
      <c r="E28" s="76">
        <f>+E17</f>
        <v>52628598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169620159</v>
      </c>
      <c r="D31" s="76">
        <v>201002168</v>
      </c>
      <c r="E31" s="76">
        <v>135104064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440709105</v>
      </c>
      <c r="D32" s="76">
        <v>494445108</v>
      </c>
      <c r="E32" s="76">
        <v>444215909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38216921</v>
      </c>
      <c r="D33" s="76">
        <f>+D32-C32</f>
        <v>53736003</v>
      </c>
      <c r="E33" s="76">
        <f>+E32-D32</f>
        <v>-50229199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1.0949</v>
      </c>
      <c r="D34" s="193">
        <f>IF(C32=0,0,+D33/C32)</f>
        <v>0.1219307756303333</v>
      </c>
      <c r="E34" s="193">
        <f>IF(D32=0,0,+E33/D32)</f>
        <v>-0.10158700771289661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0.43216745478450624</v>
      </c>
      <c r="D38" s="195">
        <f>IF((D40+D41)=0,0,+D39/(D40+D41))</f>
        <v>0.38829065038051913</v>
      </c>
      <c r="E38" s="195">
        <f>IF((E40+E41)=0,0,+E39/(E40+E41))</f>
        <v>0.38903356010105139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1046001610</v>
      </c>
      <c r="D39" s="76">
        <v>998381093</v>
      </c>
      <c r="E39" s="196">
        <v>1022794910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2255761188</v>
      </c>
      <c r="D40" s="76">
        <v>2411937032</v>
      </c>
      <c r="E40" s="196">
        <v>2554085582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164600638</v>
      </c>
      <c r="D41" s="76">
        <v>159284016</v>
      </c>
      <c r="E41" s="196">
        <v>74980429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1.291566330412697</v>
      </c>
      <c r="D43" s="197">
        <f>IF(D38=0,0,IF((D46-D47)=0,0,((+D44-D45)/(D46-D47)/D38)))</f>
        <v>1.4776533385985295</v>
      </c>
      <c r="E43" s="197">
        <f>IF(E38=0,0,IF((E46-E47)=0,0,((+E44-E45)/(E46-E47)/E38)))</f>
        <v>1.483909162837727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441268811</v>
      </c>
      <c r="D44" s="76">
        <v>462375671</v>
      </c>
      <c r="E44" s="196">
        <v>473999558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6173871</v>
      </c>
      <c r="D45" s="76">
        <v>4123179</v>
      </c>
      <c r="E45" s="196">
        <v>1722815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828903453</v>
      </c>
      <c r="D46" s="76">
        <v>846819231</v>
      </c>
      <c r="E46" s="196">
        <v>874205121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49404997</v>
      </c>
      <c r="D47" s="76">
        <v>48134572</v>
      </c>
      <c r="E47" s="76">
        <v>56113065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0.88327129064445919</v>
      </c>
      <c r="D49" s="198">
        <f>IF(D38=0,0,IF(D51=0,0,(D50/D51)/D38))</f>
        <v>0.84810493562295597</v>
      </c>
      <c r="E49" s="198">
        <f>IF(E38=0,0,IF(E51=0,0,(E50/E51)/E38))</f>
        <v>0.93653384649356042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381926073</v>
      </c>
      <c r="D50" s="199">
        <v>360811496</v>
      </c>
      <c r="E50" s="199">
        <v>424421835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1000536956</v>
      </c>
      <c r="D51" s="199">
        <v>1095655044</v>
      </c>
      <c r="E51" s="199">
        <v>1164896053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0.65156930263656265</v>
      </c>
      <c r="D53" s="198">
        <f>IF(D38=0,0,IF(D55=0,0,(D54/D55)/D38))</f>
        <v>0.63100070511275008</v>
      </c>
      <c r="E53" s="198">
        <f>IF(E38=0,0,IF(E55=0,0,(E54/E55)/E38))</f>
        <v>0.67125996567241963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117063703</v>
      </c>
      <c r="D54" s="199">
        <v>112176963</v>
      </c>
      <c r="E54" s="199">
        <v>131175003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415728295</v>
      </c>
      <c r="D55" s="199">
        <v>457843339</v>
      </c>
      <c r="E55" s="199">
        <v>502311671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20089338.276886702</v>
      </c>
      <c r="D57" s="88">
        <f>+D60*D38</f>
        <v>17089212.412122626</v>
      </c>
      <c r="E57" s="88">
        <f>+E60*E38</f>
        <v>21493944.691823449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23839114</v>
      </c>
      <c r="D58" s="199">
        <v>26543780</v>
      </c>
      <c r="E58" s="199">
        <v>30609202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22645965</v>
      </c>
      <c r="D59" s="199">
        <v>17467613</v>
      </c>
      <c r="E59" s="199">
        <v>24640388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46485079</v>
      </c>
      <c r="D60" s="76">
        <v>44011393</v>
      </c>
      <c r="E60" s="201">
        <v>55249590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1.920583877197541E-2</v>
      </c>
      <c r="D62" s="202">
        <f>IF(D63=0,0,+D57/D63)</f>
        <v>1.7116923118778077E-2</v>
      </c>
      <c r="E62" s="202">
        <f>IF(E63=0,0,+E57/E63)</f>
        <v>2.1014911671611125E-2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1046001610</v>
      </c>
      <c r="D63" s="199">
        <v>998381093</v>
      </c>
      <c r="E63" s="199">
        <v>1022794910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1.8101804991348118</v>
      </c>
      <c r="D67" s="203">
        <f>IF(D69=0,0,D68/D69)</f>
        <v>1.0731439871427773</v>
      </c>
      <c r="E67" s="203">
        <f>IF(E69=0,0,E68/E69)</f>
        <v>1.5538104157705013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303878914</v>
      </c>
      <c r="D68" s="204">
        <v>239118747</v>
      </c>
      <c r="E68" s="204">
        <v>206280426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167872162</v>
      </c>
      <c r="D69" s="204">
        <v>222820749</v>
      </c>
      <c r="E69" s="204">
        <v>132757783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31.648737761662517</v>
      </c>
      <c r="D71" s="203">
        <f>IF((D77/365)=0,0,+D74/(D77/365))</f>
        <v>5.1692407687973523</v>
      </c>
      <c r="E71" s="203">
        <f>IF((E77/365)=0,0,+E74/(E77/365))</f>
        <v>3.1137651739540182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86685189</v>
      </c>
      <c r="D72" s="183">
        <v>13453682</v>
      </c>
      <c r="E72" s="183">
        <v>8310780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86685189</v>
      </c>
      <c r="D74" s="204">
        <f>+D72+D73</f>
        <v>13453682</v>
      </c>
      <c r="E74" s="204">
        <f>+E72+E73</f>
        <v>8310780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1046001610</v>
      </c>
      <c r="D75" s="204">
        <f>+D14</f>
        <v>998381093</v>
      </c>
      <c r="E75" s="204">
        <f>+E14</f>
        <v>1022794910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46274726</v>
      </c>
      <c r="D76" s="204">
        <v>48416843</v>
      </c>
      <c r="E76" s="204">
        <v>48593411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999726884</v>
      </c>
      <c r="D77" s="204">
        <f>+D75-D76</f>
        <v>949964250</v>
      </c>
      <c r="E77" s="204">
        <f>+E75-E76</f>
        <v>974201499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57.642424671079425</v>
      </c>
      <c r="D79" s="203">
        <f>IF((D84/365)=0,0,+D83/(D84/365))</f>
        <v>55.090324718072395</v>
      </c>
      <c r="E79" s="203">
        <f>IF((E84/365)=0,0,+E83/(E84/365))</f>
        <v>40.987676229807015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149897688</v>
      </c>
      <c r="D80" s="212">
        <v>149495353</v>
      </c>
      <c r="E80" s="212">
        <v>128300658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3559672</v>
      </c>
      <c r="D82" s="212">
        <v>13084951</v>
      </c>
      <c r="E82" s="212">
        <v>18683246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146338016</v>
      </c>
      <c r="D83" s="212">
        <f>+D80+D81-D82</f>
        <v>136410402</v>
      </c>
      <c r="E83" s="212">
        <f>+E80+E81-E82</f>
        <v>109617412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926633051</v>
      </c>
      <c r="D84" s="204">
        <f>+D11</f>
        <v>903784775</v>
      </c>
      <c r="E84" s="204">
        <f>+E11</f>
        <v>976155739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61.290078431060785</v>
      </c>
      <c r="D86" s="203">
        <f>IF((D90/365)=0,0,+D87/(D90/365))</f>
        <v>85.61329901098911</v>
      </c>
      <c r="E86" s="203">
        <f>IF((E90/365)=0,0,+E87/(E90/365))</f>
        <v>49.73980315647205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167872162</v>
      </c>
      <c r="D87" s="76">
        <f>+D69</f>
        <v>222820749</v>
      </c>
      <c r="E87" s="76">
        <f>+E69</f>
        <v>132757783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1046001610</v>
      </c>
      <c r="D88" s="76">
        <f t="shared" si="0"/>
        <v>998381093</v>
      </c>
      <c r="E88" s="76">
        <f t="shared" si="0"/>
        <v>1022794910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46274726</v>
      </c>
      <c r="D89" s="201">
        <f t="shared" si="0"/>
        <v>48416843</v>
      </c>
      <c r="E89" s="201">
        <f t="shared" si="0"/>
        <v>48593411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999726884</v>
      </c>
      <c r="D90" s="76">
        <f>+D88-D89</f>
        <v>949964250</v>
      </c>
      <c r="E90" s="76">
        <f>+E88-E89</f>
        <v>974201499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36.375351412929689</v>
      </c>
      <c r="D94" s="214">
        <f>IF(D96=0,0,(D95/D96)*100)</f>
        <v>41.739138935119144</v>
      </c>
      <c r="E94" s="214">
        <f>IF(E96=0,0,(E95/E96)*100)</f>
        <v>38.291003306191627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440709105</v>
      </c>
      <c r="D95" s="76">
        <f>+D32</f>
        <v>494445108</v>
      </c>
      <c r="E95" s="76">
        <f>+E32</f>
        <v>444215909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1211559718</v>
      </c>
      <c r="D96" s="76">
        <v>1184607830</v>
      </c>
      <c r="E96" s="76">
        <v>1160105170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38.58659430909136</v>
      </c>
      <c r="D98" s="214">
        <f>IF(D104=0,0,(D101/D104)*100)</f>
        <v>16.800489745742194</v>
      </c>
      <c r="E98" s="214">
        <f>IF(E104=0,0,(E101/E104)*100)</f>
        <v>24.109730959226027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91357112</v>
      </c>
      <c r="D99" s="76">
        <f>+D28</f>
        <v>24459118</v>
      </c>
      <c r="E99" s="76">
        <f>+E28</f>
        <v>52628598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46274726</v>
      </c>
      <c r="D100" s="201">
        <f>+D76</f>
        <v>48416843</v>
      </c>
      <c r="E100" s="201">
        <f>+E76</f>
        <v>48593411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137631838</v>
      </c>
      <c r="D101" s="76">
        <f>+D99+D100</f>
        <v>72875961</v>
      </c>
      <c r="E101" s="76">
        <f>+E99+E100</f>
        <v>101222009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167872162</v>
      </c>
      <c r="D102" s="204">
        <f>+D69</f>
        <v>222820749</v>
      </c>
      <c r="E102" s="204">
        <f>+E69</f>
        <v>132757783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188810879</v>
      </c>
      <c r="D103" s="216">
        <v>210952088</v>
      </c>
      <c r="E103" s="216">
        <v>287081033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356683041</v>
      </c>
      <c r="D104" s="204">
        <f>+D102+D103</f>
        <v>433772837</v>
      </c>
      <c r="E104" s="204">
        <f>+E102+E103</f>
        <v>419838816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29.992833237840465</v>
      </c>
      <c r="D106" s="214">
        <f>IF(D109=0,0,(D107/D109)*100)</f>
        <v>29.90543330710943</v>
      </c>
      <c r="E106" s="214">
        <f>IF(E109=0,0,(E107/E109)*100)</f>
        <v>39.256424649455184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188810879</v>
      </c>
      <c r="D107" s="204">
        <f>+D103</f>
        <v>210952088</v>
      </c>
      <c r="E107" s="204">
        <f>+E103</f>
        <v>287081033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440709105</v>
      </c>
      <c r="D108" s="204">
        <f>+D32</f>
        <v>494445108</v>
      </c>
      <c r="E108" s="204">
        <f>+E32</f>
        <v>444215909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629519984</v>
      </c>
      <c r="D109" s="204">
        <f>+D107+D108</f>
        <v>705397196</v>
      </c>
      <c r="E109" s="204">
        <f>+E107+E108</f>
        <v>731296942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18.007319656192401</v>
      </c>
      <c r="D111" s="214">
        <f>IF((+D113+D115)=0,0,((+D112+D113+D114)/(+D113+D115)))</f>
        <v>6.7301860828459086</v>
      </c>
      <c r="E111" s="214">
        <f>IF((+E113+E115)=0,0,((+E112+E113+E114)/(+E113+E115)))</f>
        <v>1.132632598280942</v>
      </c>
    </row>
    <row r="112" spans="1:6" ht="24" customHeight="1" x14ac:dyDescent="0.2">
      <c r="A112" s="85">
        <v>16</v>
      </c>
      <c r="B112" s="75" t="s">
        <v>373</v>
      </c>
      <c r="C112" s="218">
        <f>+C17</f>
        <v>91357112</v>
      </c>
      <c r="D112" s="76">
        <f>+D17</f>
        <v>24459118</v>
      </c>
      <c r="E112" s="76">
        <f>+E17</f>
        <v>52628598</v>
      </c>
    </row>
    <row r="113" spans="1:8" ht="24" customHeight="1" x14ac:dyDescent="0.2">
      <c r="A113" s="85">
        <v>17</v>
      </c>
      <c r="B113" s="75" t="s">
        <v>88</v>
      </c>
      <c r="C113" s="218">
        <v>4517043</v>
      </c>
      <c r="D113" s="76">
        <v>5704487</v>
      </c>
      <c r="E113" s="76">
        <v>8386515</v>
      </c>
    </row>
    <row r="114" spans="1:8" ht="24" customHeight="1" x14ac:dyDescent="0.2">
      <c r="A114" s="85">
        <v>18</v>
      </c>
      <c r="B114" s="75" t="s">
        <v>374</v>
      </c>
      <c r="C114" s="218">
        <v>46274726</v>
      </c>
      <c r="D114" s="76">
        <v>48416843</v>
      </c>
      <c r="E114" s="76">
        <v>48593411</v>
      </c>
    </row>
    <row r="115" spans="1:8" ht="24" customHeight="1" x14ac:dyDescent="0.2">
      <c r="A115" s="85">
        <v>19</v>
      </c>
      <c r="B115" s="75" t="s">
        <v>104</v>
      </c>
      <c r="C115" s="218">
        <v>3376907</v>
      </c>
      <c r="D115" s="76">
        <v>5971334</v>
      </c>
      <c r="E115" s="76">
        <v>88386723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13.804824171190122</v>
      </c>
      <c r="D119" s="214">
        <f>IF(+D121=0,0,(+D120)/(+D121))</f>
        <v>14.13200150203928</v>
      </c>
      <c r="E119" s="214">
        <f>IF(+E121=0,0,(+E120)/(+E121))</f>
        <v>15.074538541861159</v>
      </c>
    </row>
    <row r="120" spans="1:8" ht="24" customHeight="1" x14ac:dyDescent="0.2">
      <c r="A120" s="85">
        <v>21</v>
      </c>
      <c r="B120" s="75" t="s">
        <v>378</v>
      </c>
      <c r="C120" s="218">
        <v>638814456</v>
      </c>
      <c r="D120" s="218">
        <v>684226898</v>
      </c>
      <c r="E120" s="218">
        <v>732523247</v>
      </c>
    </row>
    <row r="121" spans="1:8" ht="24" customHeight="1" x14ac:dyDescent="0.2">
      <c r="A121" s="85">
        <v>22</v>
      </c>
      <c r="B121" s="75" t="s">
        <v>374</v>
      </c>
      <c r="C121" s="218">
        <v>46274726</v>
      </c>
      <c r="D121" s="218">
        <v>48416843</v>
      </c>
      <c r="E121" s="218">
        <v>48593411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233332</v>
      </c>
      <c r="D124" s="218">
        <v>235012</v>
      </c>
      <c r="E124" s="218">
        <v>233240</v>
      </c>
    </row>
    <row r="125" spans="1:8" ht="24" customHeight="1" x14ac:dyDescent="0.2">
      <c r="A125" s="85">
        <v>2</v>
      </c>
      <c r="B125" s="75" t="s">
        <v>381</v>
      </c>
      <c r="C125" s="218">
        <v>41251</v>
      </c>
      <c r="D125" s="218">
        <v>41809</v>
      </c>
      <c r="E125" s="218">
        <v>42755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5.6563962085767621</v>
      </c>
      <c r="D126" s="219">
        <f>IF(D125=0,0,D124/D125)</f>
        <v>5.6210863689636206</v>
      </c>
      <c r="E126" s="219">
        <f>IF(E125=0,0,E124/E125)</f>
        <v>5.4552683896620282</v>
      </c>
    </row>
    <row r="127" spans="1:8" ht="24" customHeight="1" x14ac:dyDescent="0.2">
      <c r="A127" s="85">
        <v>4</v>
      </c>
      <c r="B127" s="75" t="s">
        <v>383</v>
      </c>
      <c r="C127" s="218">
        <v>667</v>
      </c>
      <c r="D127" s="218">
        <v>647</v>
      </c>
      <c r="E127" s="218">
        <v>673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809</v>
      </c>
      <c r="E128" s="218">
        <v>818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802</v>
      </c>
      <c r="D129" s="218">
        <v>867</v>
      </c>
      <c r="E129" s="218">
        <v>867</v>
      </c>
    </row>
    <row r="130" spans="1:7" ht="24" customHeight="1" x14ac:dyDescent="0.2">
      <c r="A130" s="85">
        <v>7</v>
      </c>
      <c r="B130" s="75" t="s">
        <v>386</v>
      </c>
      <c r="C130" s="193">
        <v>0.95840000000000003</v>
      </c>
      <c r="D130" s="193">
        <v>0.99509999999999998</v>
      </c>
      <c r="E130" s="193">
        <v>0.94950000000000001</v>
      </c>
    </row>
    <row r="131" spans="1:7" ht="24" customHeight="1" x14ac:dyDescent="0.2">
      <c r="A131" s="85">
        <v>8</v>
      </c>
      <c r="B131" s="75" t="s">
        <v>387</v>
      </c>
      <c r="C131" s="193">
        <v>0.79700000000000004</v>
      </c>
      <c r="D131" s="193">
        <v>0.79579999999999995</v>
      </c>
      <c r="E131" s="193">
        <v>0.78110000000000002</v>
      </c>
    </row>
    <row r="132" spans="1:7" ht="24" customHeight="1" x14ac:dyDescent="0.2">
      <c r="A132" s="85">
        <v>9</v>
      </c>
      <c r="B132" s="75" t="s">
        <v>388</v>
      </c>
      <c r="C132" s="219">
        <v>6033.5</v>
      </c>
      <c r="D132" s="219">
        <v>6124.9</v>
      </c>
      <c r="E132" s="219">
        <v>5807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0.34555894486823663</v>
      </c>
      <c r="D135" s="227">
        <f>IF(D149=0,0,D143/D149)</f>
        <v>0.3311382711918161</v>
      </c>
      <c r="E135" s="227">
        <f>IF(E149=0,0,E143/E149)</f>
        <v>0.32030722140461149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0.44354737607977673</v>
      </c>
      <c r="D136" s="227">
        <f>IF(D149=0,0,D144/D149)</f>
        <v>0.45426353568255179</v>
      </c>
      <c r="E136" s="227">
        <f>IF(E149=0,0,E144/E149)</f>
        <v>0.45609123719645195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0.18429623543997248</v>
      </c>
      <c r="D137" s="227">
        <f>IF(D149=0,0,D145/D149)</f>
        <v>0.18982391867019521</v>
      </c>
      <c r="E137" s="227">
        <f>IF(E149=0,0,E145/E149)</f>
        <v>0.19666986671866346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2.1901696537213407E-2</v>
      </c>
      <c r="D139" s="227">
        <f>IF(D149=0,0,D147/D149)</f>
        <v>1.9956811210816053E-2</v>
      </c>
      <c r="E139" s="227">
        <f>IF(E149=0,0,E147/E149)</f>
        <v>2.1969923559123711E-2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4.6957470748007213E-3</v>
      </c>
      <c r="D140" s="227">
        <f>IF(D149=0,0,D148/D149)</f>
        <v>4.8174632446208905E-3</v>
      </c>
      <c r="E140" s="227">
        <f>IF(E149=0,0,E148/E149)</f>
        <v>4.961751121149393E-3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1</v>
      </c>
      <c r="E141" s="227">
        <f>SUM(E135:E140)</f>
        <v>1.0000000000000002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779498456</v>
      </c>
      <c r="D143" s="229">
        <f>+D46-D147</f>
        <v>798684659</v>
      </c>
      <c r="E143" s="229">
        <f>+E46-E147</f>
        <v>818092056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1000536956</v>
      </c>
      <c r="D144" s="229">
        <f>+D51</f>
        <v>1095655044</v>
      </c>
      <c r="E144" s="229">
        <f>+E51</f>
        <v>1164896053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415728295</v>
      </c>
      <c r="D145" s="229">
        <f>+D55</f>
        <v>457843339</v>
      </c>
      <c r="E145" s="229">
        <f>+E55</f>
        <v>502311671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49404997</v>
      </c>
      <c r="D147" s="229">
        <f>+D47</f>
        <v>48134572</v>
      </c>
      <c r="E147" s="229">
        <f>+E47</f>
        <v>56113065</v>
      </c>
    </row>
    <row r="148" spans="1:7" ht="20.100000000000001" customHeight="1" x14ac:dyDescent="0.2">
      <c r="A148" s="226">
        <v>13</v>
      </c>
      <c r="B148" s="224" t="s">
        <v>402</v>
      </c>
      <c r="C148" s="230">
        <v>10592484</v>
      </c>
      <c r="D148" s="229">
        <v>11619418</v>
      </c>
      <c r="E148" s="229">
        <v>12672737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2255761188</v>
      </c>
      <c r="D149" s="229">
        <f>SUM(D143:D148)</f>
        <v>2411937032</v>
      </c>
      <c r="E149" s="229">
        <f>SUM(E143:E148)</f>
        <v>2554085582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0.46113653670596993</v>
      </c>
      <c r="D152" s="227">
        <f>IF(D166=0,0,D160/D166)</f>
        <v>0.48772911822152143</v>
      </c>
      <c r="E152" s="227">
        <f>IF(E166=0,0,E160/E166)</f>
        <v>0.45638727984371752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0.40478537070767007</v>
      </c>
      <c r="D153" s="227">
        <f>IF(D166=0,0,D161/D166)</f>
        <v>0.38402032909898065</v>
      </c>
      <c r="E153" s="227">
        <f>IF(E166=0,0,E161/E166)</f>
        <v>0.41014242105487098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0.12407027894968456</v>
      </c>
      <c r="D154" s="227">
        <f>IF(D166=0,0,D162/D166)</f>
        <v>0.1193926322363747</v>
      </c>
      <c r="E154" s="227">
        <f>IF(E166=0,0,E162/E166)</f>
        <v>0.1267616999778062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6.5433937039337288E-3</v>
      </c>
      <c r="D156" s="227">
        <f>IF(D166=0,0,D164/D166)</f>
        <v>4.3883983023479001E-3</v>
      </c>
      <c r="E156" s="227">
        <f>IF(E166=0,0,E164/E166)</f>
        <v>1.6648519394145862E-3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3.4644199327417066E-3</v>
      </c>
      <c r="D157" s="227">
        <f>IF(D166=0,0,D165/D166)</f>
        <v>4.4695221407753021E-3</v>
      </c>
      <c r="E157" s="227">
        <f>IF(E166=0,0,E165/E166)</f>
        <v>5.0437471841907472E-3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435094940</v>
      </c>
      <c r="D160" s="229">
        <f>+D44-D164</f>
        <v>458252492</v>
      </c>
      <c r="E160" s="229">
        <f>+E44-E164</f>
        <v>472276743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381926073</v>
      </c>
      <c r="D161" s="229">
        <f>+D50</f>
        <v>360811496</v>
      </c>
      <c r="E161" s="229">
        <f>+E50</f>
        <v>424421835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117063703</v>
      </c>
      <c r="D162" s="229">
        <f>+D54</f>
        <v>112176963</v>
      </c>
      <c r="E162" s="229">
        <f>+E54</f>
        <v>131175003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6173871</v>
      </c>
      <c r="D164" s="229">
        <f>+D45</f>
        <v>4123179</v>
      </c>
      <c r="E164" s="229">
        <f>+E45</f>
        <v>1722815</v>
      </c>
    </row>
    <row r="165" spans="1:6" ht="20.100000000000001" customHeight="1" x14ac:dyDescent="0.2">
      <c r="A165" s="226">
        <v>13</v>
      </c>
      <c r="B165" s="224" t="s">
        <v>417</v>
      </c>
      <c r="C165" s="230">
        <v>3268775</v>
      </c>
      <c r="D165" s="229">
        <v>4199400</v>
      </c>
      <c r="E165" s="229">
        <v>5219349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943527362</v>
      </c>
      <c r="D166" s="229">
        <f>SUM(D160:D165)</f>
        <v>939563530</v>
      </c>
      <c r="E166" s="229">
        <f>SUM(E160:E165)</f>
        <v>1034815745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15151</v>
      </c>
      <c r="D169" s="218">
        <v>14784</v>
      </c>
      <c r="E169" s="218">
        <v>14754</v>
      </c>
    </row>
    <row r="170" spans="1:6" ht="20.100000000000001" customHeight="1" x14ac:dyDescent="0.2">
      <c r="A170" s="226">
        <v>2</v>
      </c>
      <c r="B170" s="224" t="s">
        <v>420</v>
      </c>
      <c r="C170" s="218">
        <v>16556</v>
      </c>
      <c r="D170" s="218">
        <v>17247</v>
      </c>
      <c r="E170" s="218">
        <v>17602</v>
      </c>
    </row>
    <row r="171" spans="1:6" ht="20.100000000000001" customHeight="1" x14ac:dyDescent="0.2">
      <c r="A171" s="226">
        <v>3</v>
      </c>
      <c r="B171" s="224" t="s">
        <v>421</v>
      </c>
      <c r="C171" s="218">
        <v>9311</v>
      </c>
      <c r="D171" s="218">
        <v>9578</v>
      </c>
      <c r="E171" s="218">
        <v>10142</v>
      </c>
    </row>
    <row r="172" spans="1:6" ht="20.100000000000001" customHeight="1" x14ac:dyDescent="0.2">
      <c r="A172" s="226">
        <v>4</v>
      </c>
      <c r="B172" s="224" t="s">
        <v>422</v>
      </c>
      <c r="C172" s="218">
        <v>9311</v>
      </c>
      <c r="D172" s="218">
        <v>9578</v>
      </c>
      <c r="E172" s="218">
        <v>10142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233</v>
      </c>
      <c r="D174" s="218">
        <v>200</v>
      </c>
      <c r="E174" s="218">
        <v>257</v>
      </c>
    </row>
    <row r="175" spans="1:6" ht="20.100000000000001" customHeight="1" x14ac:dyDescent="0.2">
      <c r="A175" s="226">
        <v>7</v>
      </c>
      <c r="B175" s="224" t="s">
        <v>425</v>
      </c>
      <c r="C175" s="218">
        <v>453</v>
      </c>
      <c r="D175" s="218">
        <v>357</v>
      </c>
      <c r="E175" s="218">
        <v>549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41251</v>
      </c>
      <c r="D176" s="218">
        <f>+D169+D170+D171+D174</f>
        <v>41809</v>
      </c>
      <c r="E176" s="218">
        <f>+E169+E170+E171+E174</f>
        <v>42755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1.4435</v>
      </c>
      <c r="D179" s="231">
        <v>1.45099</v>
      </c>
      <c r="E179" s="231">
        <v>1.4782999999999999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1.8946000000000001</v>
      </c>
      <c r="D180" s="231">
        <v>1.8692200000000001</v>
      </c>
      <c r="E180" s="231">
        <v>1.86389</v>
      </c>
    </row>
    <row r="181" spans="1:6" ht="20.100000000000001" customHeight="1" x14ac:dyDescent="0.2">
      <c r="A181" s="226">
        <v>3</v>
      </c>
      <c r="B181" s="224" t="s">
        <v>421</v>
      </c>
      <c r="C181" s="231">
        <v>1.2188000000000001</v>
      </c>
      <c r="D181" s="231">
        <v>1.23159</v>
      </c>
      <c r="E181" s="231">
        <v>1.2605200000000001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1.2188000000000001</v>
      </c>
      <c r="D182" s="231">
        <v>1.23159</v>
      </c>
      <c r="E182" s="231">
        <v>1.2605200000000001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1.0606</v>
      </c>
      <c r="D184" s="231">
        <v>1.1076299999999999</v>
      </c>
      <c r="E184" s="231">
        <v>1.29735</v>
      </c>
    </row>
    <row r="185" spans="1:6" ht="20.100000000000001" customHeight="1" x14ac:dyDescent="0.2">
      <c r="A185" s="226">
        <v>7</v>
      </c>
      <c r="B185" s="224" t="s">
        <v>425</v>
      </c>
      <c r="C185" s="231">
        <v>1.3722000000000001</v>
      </c>
      <c r="D185" s="231">
        <v>1.3452500000000001</v>
      </c>
      <c r="E185" s="231">
        <v>1.4432499999999999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1.571666</v>
      </c>
      <c r="D186" s="231">
        <v>1.5716129999999999</v>
      </c>
      <c r="E186" s="231">
        <v>1.5842970000000001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20588</v>
      </c>
      <c r="D189" s="218">
        <v>22296</v>
      </c>
      <c r="E189" s="218">
        <v>23512</v>
      </c>
    </row>
    <row r="190" spans="1:6" ht="20.100000000000001" customHeight="1" x14ac:dyDescent="0.2">
      <c r="A190" s="226">
        <v>2</v>
      </c>
      <c r="B190" s="224" t="s">
        <v>433</v>
      </c>
      <c r="C190" s="218">
        <v>79223</v>
      </c>
      <c r="D190" s="218">
        <v>78503</v>
      </c>
      <c r="E190" s="218">
        <v>79877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99811</v>
      </c>
      <c r="D191" s="218">
        <f>+D190+D189</f>
        <v>100799</v>
      </c>
      <c r="E191" s="218">
        <f>+E190+E189</f>
        <v>103389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FILING&amp;RHARTFORD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9337418</v>
      </c>
      <c r="D14" s="258">
        <v>5864912</v>
      </c>
      <c r="E14" s="258">
        <f t="shared" ref="E14:E24" si="0">D14-C14</f>
        <v>-3472506</v>
      </c>
      <c r="F14" s="259">
        <f t="shared" ref="F14:F24" si="1">IF(C14=0,0,E14/C14)</f>
        <v>-0.37189145864520579</v>
      </c>
    </row>
    <row r="15" spans="1:7" ht="20.25" customHeight="1" x14ac:dyDescent="0.3">
      <c r="A15" s="256">
        <v>2</v>
      </c>
      <c r="B15" s="257" t="s">
        <v>442</v>
      </c>
      <c r="C15" s="258">
        <v>3068875</v>
      </c>
      <c r="D15" s="258">
        <v>2071173</v>
      </c>
      <c r="E15" s="258">
        <f t="shared" si="0"/>
        <v>-997702</v>
      </c>
      <c r="F15" s="259">
        <f t="shared" si="1"/>
        <v>-0.32510349883915113</v>
      </c>
    </row>
    <row r="16" spans="1:7" ht="20.25" customHeight="1" x14ac:dyDescent="0.3">
      <c r="A16" s="256">
        <v>3</v>
      </c>
      <c r="B16" s="257" t="s">
        <v>443</v>
      </c>
      <c r="C16" s="258">
        <v>4815633</v>
      </c>
      <c r="D16" s="258">
        <v>3295801</v>
      </c>
      <c r="E16" s="258">
        <f t="shared" si="0"/>
        <v>-1519832</v>
      </c>
      <c r="F16" s="259">
        <f t="shared" si="1"/>
        <v>-0.31560378459072774</v>
      </c>
    </row>
    <row r="17" spans="1:6" ht="20.25" customHeight="1" x14ac:dyDescent="0.3">
      <c r="A17" s="256">
        <v>4</v>
      </c>
      <c r="B17" s="257" t="s">
        <v>444</v>
      </c>
      <c r="C17" s="258">
        <v>1939850</v>
      </c>
      <c r="D17" s="258">
        <v>1280318</v>
      </c>
      <c r="E17" s="258">
        <f t="shared" si="0"/>
        <v>-659532</v>
      </c>
      <c r="F17" s="259">
        <f t="shared" si="1"/>
        <v>-0.33999123643580687</v>
      </c>
    </row>
    <row r="18" spans="1:6" ht="20.25" customHeight="1" x14ac:dyDescent="0.3">
      <c r="A18" s="256">
        <v>5</v>
      </c>
      <c r="B18" s="257" t="s">
        <v>381</v>
      </c>
      <c r="C18" s="260">
        <v>211</v>
      </c>
      <c r="D18" s="260">
        <v>127</v>
      </c>
      <c r="E18" s="260">
        <f t="shared" si="0"/>
        <v>-84</v>
      </c>
      <c r="F18" s="259">
        <f t="shared" si="1"/>
        <v>-0.3981042654028436</v>
      </c>
    </row>
    <row r="19" spans="1:6" ht="20.25" customHeight="1" x14ac:dyDescent="0.3">
      <c r="A19" s="256">
        <v>6</v>
      </c>
      <c r="B19" s="257" t="s">
        <v>380</v>
      </c>
      <c r="C19" s="260">
        <v>1229</v>
      </c>
      <c r="D19" s="260">
        <v>797</v>
      </c>
      <c r="E19" s="260">
        <f t="shared" si="0"/>
        <v>-432</v>
      </c>
      <c r="F19" s="259">
        <f t="shared" si="1"/>
        <v>-0.35150528885272581</v>
      </c>
    </row>
    <row r="20" spans="1:6" ht="20.25" customHeight="1" x14ac:dyDescent="0.3">
      <c r="A20" s="256">
        <v>7</v>
      </c>
      <c r="B20" s="257" t="s">
        <v>445</v>
      </c>
      <c r="C20" s="260">
        <v>753</v>
      </c>
      <c r="D20" s="260">
        <v>564</v>
      </c>
      <c r="E20" s="260">
        <f t="shared" si="0"/>
        <v>-189</v>
      </c>
      <c r="F20" s="259">
        <f t="shared" si="1"/>
        <v>-0.25099601593625498</v>
      </c>
    </row>
    <row r="21" spans="1:6" ht="20.25" customHeight="1" x14ac:dyDescent="0.3">
      <c r="A21" s="256">
        <v>8</v>
      </c>
      <c r="B21" s="257" t="s">
        <v>446</v>
      </c>
      <c r="C21" s="260">
        <v>235</v>
      </c>
      <c r="D21" s="260">
        <v>115</v>
      </c>
      <c r="E21" s="260">
        <f t="shared" si="0"/>
        <v>-120</v>
      </c>
      <c r="F21" s="259">
        <f t="shared" si="1"/>
        <v>-0.51063829787234039</v>
      </c>
    </row>
    <row r="22" spans="1:6" ht="20.25" customHeight="1" x14ac:dyDescent="0.3">
      <c r="A22" s="256">
        <v>9</v>
      </c>
      <c r="B22" s="257" t="s">
        <v>447</v>
      </c>
      <c r="C22" s="260">
        <v>135</v>
      </c>
      <c r="D22" s="260">
        <v>8</v>
      </c>
      <c r="E22" s="260">
        <f t="shared" si="0"/>
        <v>-127</v>
      </c>
      <c r="F22" s="259">
        <f t="shared" si="1"/>
        <v>-0.94074074074074077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14153051</v>
      </c>
      <c r="D23" s="263">
        <f>+D14+D16</f>
        <v>9160713</v>
      </c>
      <c r="E23" s="263">
        <f t="shared" si="0"/>
        <v>-4992338</v>
      </c>
      <c r="F23" s="264">
        <f t="shared" si="1"/>
        <v>-0.35273934927529055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5008725</v>
      </c>
      <c r="D24" s="263">
        <f>+D15+D17</f>
        <v>3351491</v>
      </c>
      <c r="E24" s="263">
        <f t="shared" si="0"/>
        <v>-1657234</v>
      </c>
      <c r="F24" s="264">
        <f t="shared" si="1"/>
        <v>-0.33086943283969472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54918959</v>
      </c>
      <c r="D40" s="258">
        <v>61036954</v>
      </c>
      <c r="E40" s="258">
        <f t="shared" ref="E40:E50" si="4">D40-C40</f>
        <v>6117995</v>
      </c>
      <c r="F40" s="259">
        <f t="shared" ref="F40:F50" si="5">IF(C40=0,0,E40/C40)</f>
        <v>0.11140041820530502</v>
      </c>
    </row>
    <row r="41" spans="1:6" ht="20.25" customHeight="1" x14ac:dyDescent="0.3">
      <c r="A41" s="256">
        <v>2</v>
      </c>
      <c r="B41" s="257" t="s">
        <v>442</v>
      </c>
      <c r="C41" s="258">
        <v>19553974</v>
      </c>
      <c r="D41" s="258">
        <v>23704432</v>
      </c>
      <c r="E41" s="258">
        <f t="shared" si="4"/>
        <v>4150458</v>
      </c>
      <c r="F41" s="259">
        <f t="shared" si="5"/>
        <v>0.21225649578955152</v>
      </c>
    </row>
    <row r="42" spans="1:6" ht="20.25" customHeight="1" x14ac:dyDescent="0.3">
      <c r="A42" s="256">
        <v>3</v>
      </c>
      <c r="B42" s="257" t="s">
        <v>443</v>
      </c>
      <c r="C42" s="258">
        <v>23899562</v>
      </c>
      <c r="D42" s="258">
        <v>29525610</v>
      </c>
      <c r="E42" s="258">
        <f t="shared" si="4"/>
        <v>5626048</v>
      </c>
      <c r="F42" s="259">
        <f t="shared" si="5"/>
        <v>0.23540381200291452</v>
      </c>
    </row>
    <row r="43" spans="1:6" ht="20.25" customHeight="1" x14ac:dyDescent="0.3">
      <c r="A43" s="256">
        <v>4</v>
      </c>
      <c r="B43" s="257" t="s">
        <v>444</v>
      </c>
      <c r="C43" s="258">
        <v>6977780</v>
      </c>
      <c r="D43" s="258">
        <v>8408935</v>
      </c>
      <c r="E43" s="258">
        <f t="shared" si="4"/>
        <v>1431155</v>
      </c>
      <c r="F43" s="259">
        <f t="shared" si="5"/>
        <v>0.20510176589115736</v>
      </c>
    </row>
    <row r="44" spans="1:6" ht="20.25" customHeight="1" x14ac:dyDescent="0.3">
      <c r="A44" s="256">
        <v>5</v>
      </c>
      <c r="B44" s="257" t="s">
        <v>381</v>
      </c>
      <c r="C44" s="260">
        <v>1078</v>
      </c>
      <c r="D44" s="260">
        <v>1165</v>
      </c>
      <c r="E44" s="260">
        <f t="shared" si="4"/>
        <v>87</v>
      </c>
      <c r="F44" s="259">
        <f t="shared" si="5"/>
        <v>8.0705009276437853E-2</v>
      </c>
    </row>
    <row r="45" spans="1:6" ht="20.25" customHeight="1" x14ac:dyDescent="0.3">
      <c r="A45" s="256">
        <v>6</v>
      </c>
      <c r="B45" s="257" t="s">
        <v>380</v>
      </c>
      <c r="C45" s="260">
        <v>6654</v>
      </c>
      <c r="D45" s="260">
        <v>7117</v>
      </c>
      <c r="E45" s="260">
        <f t="shared" si="4"/>
        <v>463</v>
      </c>
      <c r="F45" s="259">
        <f t="shared" si="5"/>
        <v>6.9582206191764348E-2</v>
      </c>
    </row>
    <row r="46" spans="1:6" ht="20.25" customHeight="1" x14ac:dyDescent="0.3">
      <c r="A46" s="256">
        <v>7</v>
      </c>
      <c r="B46" s="257" t="s">
        <v>445</v>
      </c>
      <c r="C46" s="260">
        <v>4320</v>
      </c>
      <c r="D46" s="260">
        <v>4499</v>
      </c>
      <c r="E46" s="260">
        <f t="shared" si="4"/>
        <v>179</v>
      </c>
      <c r="F46" s="259">
        <f t="shared" si="5"/>
        <v>4.1435185185185186E-2</v>
      </c>
    </row>
    <row r="47" spans="1:6" ht="20.25" customHeight="1" x14ac:dyDescent="0.3">
      <c r="A47" s="256">
        <v>8</v>
      </c>
      <c r="B47" s="257" t="s">
        <v>446</v>
      </c>
      <c r="C47" s="260">
        <v>566</v>
      </c>
      <c r="D47" s="260">
        <v>648</v>
      </c>
      <c r="E47" s="260">
        <f t="shared" si="4"/>
        <v>82</v>
      </c>
      <c r="F47" s="259">
        <f t="shared" si="5"/>
        <v>0.14487632508833923</v>
      </c>
    </row>
    <row r="48" spans="1:6" ht="20.25" customHeight="1" x14ac:dyDescent="0.3">
      <c r="A48" s="256">
        <v>9</v>
      </c>
      <c r="B48" s="257" t="s">
        <v>447</v>
      </c>
      <c r="C48" s="260">
        <v>605</v>
      </c>
      <c r="D48" s="260">
        <v>661</v>
      </c>
      <c r="E48" s="260">
        <f t="shared" si="4"/>
        <v>56</v>
      </c>
      <c r="F48" s="259">
        <f t="shared" si="5"/>
        <v>9.2561983471074374E-2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78818521</v>
      </c>
      <c r="D49" s="263">
        <f>+D40+D42</f>
        <v>90562564</v>
      </c>
      <c r="E49" s="263">
        <f t="shared" si="4"/>
        <v>11744043</v>
      </c>
      <c r="F49" s="264">
        <f t="shared" si="5"/>
        <v>0.14900105775900058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26531754</v>
      </c>
      <c r="D50" s="263">
        <f>+D41+D43</f>
        <v>32113367</v>
      </c>
      <c r="E50" s="263">
        <f t="shared" si="4"/>
        <v>5581613</v>
      </c>
      <c r="F50" s="264">
        <f t="shared" si="5"/>
        <v>0.21037482105404717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4369668</v>
      </c>
      <c r="D66" s="258">
        <v>7716055</v>
      </c>
      <c r="E66" s="258">
        <f t="shared" ref="E66:E76" si="8">D66-C66</f>
        <v>3346387</v>
      </c>
      <c r="F66" s="259">
        <f t="shared" ref="F66:F76" si="9">IF(C66=0,0,E66/C66)</f>
        <v>0.7658217969877803</v>
      </c>
    </row>
    <row r="67" spans="1:6" ht="20.25" customHeight="1" x14ac:dyDescent="0.3">
      <c r="A67" s="256">
        <v>2</v>
      </c>
      <c r="B67" s="257" t="s">
        <v>442</v>
      </c>
      <c r="C67" s="258">
        <v>1494147</v>
      </c>
      <c r="D67" s="258">
        <v>2558719</v>
      </c>
      <c r="E67" s="258">
        <f t="shared" si="8"/>
        <v>1064572</v>
      </c>
      <c r="F67" s="259">
        <f t="shared" si="9"/>
        <v>0.71249482146000365</v>
      </c>
    </row>
    <row r="68" spans="1:6" ht="20.25" customHeight="1" x14ac:dyDescent="0.3">
      <c r="A68" s="256">
        <v>3</v>
      </c>
      <c r="B68" s="257" t="s">
        <v>443</v>
      </c>
      <c r="C68" s="258">
        <v>986782</v>
      </c>
      <c r="D68" s="258">
        <v>1024372</v>
      </c>
      <c r="E68" s="258">
        <f t="shared" si="8"/>
        <v>37590</v>
      </c>
      <c r="F68" s="259">
        <f t="shared" si="9"/>
        <v>3.8093520149333898E-2</v>
      </c>
    </row>
    <row r="69" spans="1:6" ht="20.25" customHeight="1" x14ac:dyDescent="0.3">
      <c r="A69" s="256">
        <v>4</v>
      </c>
      <c r="B69" s="257" t="s">
        <v>444</v>
      </c>
      <c r="C69" s="258">
        <v>240989</v>
      </c>
      <c r="D69" s="258">
        <v>275115</v>
      </c>
      <c r="E69" s="258">
        <f t="shared" si="8"/>
        <v>34126</v>
      </c>
      <c r="F69" s="259">
        <f t="shared" si="9"/>
        <v>0.14160812319234489</v>
      </c>
    </row>
    <row r="70" spans="1:6" ht="20.25" customHeight="1" x14ac:dyDescent="0.3">
      <c r="A70" s="256">
        <v>5</v>
      </c>
      <c r="B70" s="257" t="s">
        <v>381</v>
      </c>
      <c r="C70" s="260">
        <v>85</v>
      </c>
      <c r="D70" s="260">
        <v>181</v>
      </c>
      <c r="E70" s="260">
        <f t="shared" si="8"/>
        <v>96</v>
      </c>
      <c r="F70" s="259">
        <f t="shared" si="9"/>
        <v>1.1294117647058823</v>
      </c>
    </row>
    <row r="71" spans="1:6" ht="20.25" customHeight="1" x14ac:dyDescent="0.3">
      <c r="A71" s="256">
        <v>6</v>
      </c>
      <c r="B71" s="257" t="s">
        <v>380</v>
      </c>
      <c r="C71" s="260">
        <v>452</v>
      </c>
      <c r="D71" s="260">
        <v>1598</v>
      </c>
      <c r="E71" s="260">
        <f t="shared" si="8"/>
        <v>1146</v>
      </c>
      <c r="F71" s="259">
        <f t="shared" si="9"/>
        <v>2.5353982300884956</v>
      </c>
    </row>
    <row r="72" spans="1:6" ht="20.25" customHeight="1" x14ac:dyDescent="0.3">
      <c r="A72" s="256">
        <v>7</v>
      </c>
      <c r="B72" s="257" t="s">
        <v>445</v>
      </c>
      <c r="C72" s="260">
        <v>96</v>
      </c>
      <c r="D72" s="260">
        <v>125</v>
      </c>
      <c r="E72" s="260">
        <f t="shared" si="8"/>
        <v>29</v>
      </c>
      <c r="F72" s="259">
        <f t="shared" si="9"/>
        <v>0.30208333333333331</v>
      </c>
    </row>
    <row r="73" spans="1:6" ht="20.25" customHeight="1" x14ac:dyDescent="0.3">
      <c r="A73" s="256">
        <v>8</v>
      </c>
      <c r="B73" s="257" t="s">
        <v>446</v>
      </c>
      <c r="C73" s="260">
        <v>121</v>
      </c>
      <c r="D73" s="260">
        <v>127</v>
      </c>
      <c r="E73" s="260">
        <f t="shared" si="8"/>
        <v>6</v>
      </c>
      <c r="F73" s="259">
        <f t="shared" si="9"/>
        <v>4.9586776859504134E-2</v>
      </c>
    </row>
    <row r="74" spans="1:6" ht="20.25" customHeight="1" x14ac:dyDescent="0.3">
      <c r="A74" s="256">
        <v>9</v>
      </c>
      <c r="B74" s="257" t="s">
        <v>447</v>
      </c>
      <c r="C74" s="260">
        <v>68</v>
      </c>
      <c r="D74" s="260">
        <v>153</v>
      </c>
      <c r="E74" s="260">
        <f t="shared" si="8"/>
        <v>85</v>
      </c>
      <c r="F74" s="259">
        <f t="shared" si="9"/>
        <v>1.25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5356450</v>
      </c>
      <c r="D75" s="263">
        <f>+D66+D68</f>
        <v>8740427</v>
      </c>
      <c r="E75" s="263">
        <f t="shared" si="8"/>
        <v>3383977</v>
      </c>
      <c r="F75" s="264">
        <f t="shared" si="9"/>
        <v>0.63175741395887197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1735136</v>
      </c>
      <c r="D76" s="263">
        <f>+D67+D69</f>
        <v>2833834</v>
      </c>
      <c r="E76" s="263">
        <f t="shared" si="8"/>
        <v>1098698</v>
      </c>
      <c r="F76" s="264">
        <f t="shared" si="9"/>
        <v>0.63320569684451244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60831339</v>
      </c>
      <c r="D92" s="258">
        <v>56710698</v>
      </c>
      <c r="E92" s="258">
        <f t="shared" ref="E92:E102" si="12">D92-C92</f>
        <v>-4120641</v>
      </c>
      <c r="F92" s="259">
        <f t="shared" ref="F92:F102" si="13">IF(C92=0,0,E92/C92)</f>
        <v>-6.7738785102198718E-2</v>
      </c>
    </row>
    <row r="93" spans="1:6" ht="20.25" customHeight="1" x14ac:dyDescent="0.3">
      <c r="A93" s="256">
        <v>2</v>
      </c>
      <c r="B93" s="257" t="s">
        <v>442</v>
      </c>
      <c r="C93" s="258">
        <v>20657804</v>
      </c>
      <c r="D93" s="258">
        <v>21540987</v>
      </c>
      <c r="E93" s="258">
        <f t="shared" si="12"/>
        <v>883183</v>
      </c>
      <c r="F93" s="259">
        <f t="shared" si="13"/>
        <v>4.2752995429717507E-2</v>
      </c>
    </row>
    <row r="94" spans="1:6" ht="20.25" customHeight="1" x14ac:dyDescent="0.3">
      <c r="A94" s="256">
        <v>3</v>
      </c>
      <c r="B94" s="257" t="s">
        <v>443</v>
      </c>
      <c r="C94" s="258">
        <v>22131662</v>
      </c>
      <c r="D94" s="258">
        <v>28944614</v>
      </c>
      <c r="E94" s="258">
        <f t="shared" si="12"/>
        <v>6812952</v>
      </c>
      <c r="F94" s="259">
        <f t="shared" si="13"/>
        <v>0.30783734181373273</v>
      </c>
    </row>
    <row r="95" spans="1:6" ht="20.25" customHeight="1" x14ac:dyDescent="0.3">
      <c r="A95" s="256">
        <v>4</v>
      </c>
      <c r="B95" s="257" t="s">
        <v>444</v>
      </c>
      <c r="C95" s="258">
        <v>6962697</v>
      </c>
      <c r="D95" s="258">
        <v>8183416</v>
      </c>
      <c r="E95" s="258">
        <f t="shared" si="12"/>
        <v>1220719</v>
      </c>
      <c r="F95" s="259">
        <f t="shared" si="13"/>
        <v>0.1753227233642366</v>
      </c>
    </row>
    <row r="96" spans="1:6" ht="20.25" customHeight="1" x14ac:dyDescent="0.3">
      <c r="A96" s="256">
        <v>5</v>
      </c>
      <c r="B96" s="257" t="s">
        <v>381</v>
      </c>
      <c r="C96" s="260">
        <v>1220</v>
      </c>
      <c r="D96" s="260">
        <v>1251</v>
      </c>
      <c r="E96" s="260">
        <f t="shared" si="12"/>
        <v>31</v>
      </c>
      <c r="F96" s="259">
        <f t="shared" si="13"/>
        <v>2.540983606557377E-2</v>
      </c>
    </row>
    <row r="97" spans="1:6" ht="20.25" customHeight="1" x14ac:dyDescent="0.3">
      <c r="A97" s="256">
        <v>6</v>
      </c>
      <c r="B97" s="257" t="s">
        <v>380</v>
      </c>
      <c r="C97" s="260">
        <v>8127</v>
      </c>
      <c r="D97" s="260">
        <v>7146</v>
      </c>
      <c r="E97" s="260">
        <f t="shared" si="12"/>
        <v>-981</v>
      </c>
      <c r="F97" s="259">
        <f t="shared" si="13"/>
        <v>-0.12070874861572536</v>
      </c>
    </row>
    <row r="98" spans="1:6" ht="20.25" customHeight="1" x14ac:dyDescent="0.3">
      <c r="A98" s="256">
        <v>7</v>
      </c>
      <c r="B98" s="257" t="s">
        <v>445</v>
      </c>
      <c r="C98" s="260">
        <v>3978</v>
      </c>
      <c r="D98" s="260">
        <v>4476</v>
      </c>
      <c r="E98" s="260">
        <f t="shared" si="12"/>
        <v>498</v>
      </c>
      <c r="F98" s="259">
        <f t="shared" si="13"/>
        <v>0.12518853695324283</v>
      </c>
    </row>
    <row r="99" spans="1:6" ht="20.25" customHeight="1" x14ac:dyDescent="0.3">
      <c r="A99" s="256">
        <v>8</v>
      </c>
      <c r="B99" s="257" t="s">
        <v>446</v>
      </c>
      <c r="C99" s="260">
        <v>1247</v>
      </c>
      <c r="D99" s="260">
        <v>1387</v>
      </c>
      <c r="E99" s="260">
        <f t="shared" si="12"/>
        <v>140</v>
      </c>
      <c r="F99" s="259">
        <f t="shared" si="13"/>
        <v>0.11226944667201283</v>
      </c>
    </row>
    <row r="100" spans="1:6" ht="20.25" customHeight="1" x14ac:dyDescent="0.3">
      <c r="A100" s="256">
        <v>9</v>
      </c>
      <c r="B100" s="257" t="s">
        <v>447</v>
      </c>
      <c r="C100" s="260">
        <v>859</v>
      </c>
      <c r="D100" s="260">
        <v>889</v>
      </c>
      <c r="E100" s="260">
        <f t="shared" si="12"/>
        <v>30</v>
      </c>
      <c r="F100" s="259">
        <f t="shared" si="13"/>
        <v>3.4924330616996506E-2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82963001</v>
      </c>
      <c r="D101" s="263">
        <f>+D92+D94</f>
        <v>85655312</v>
      </c>
      <c r="E101" s="263">
        <f t="shared" si="12"/>
        <v>2692311</v>
      </c>
      <c r="F101" s="264">
        <f t="shared" si="13"/>
        <v>3.2451948067789879E-2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27620501</v>
      </c>
      <c r="D102" s="263">
        <f>+D93+D95</f>
        <v>29724403</v>
      </c>
      <c r="E102" s="263">
        <f t="shared" si="12"/>
        <v>2103902</v>
      </c>
      <c r="F102" s="264">
        <f t="shared" si="13"/>
        <v>7.6171753727421521E-2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13182760</v>
      </c>
      <c r="D105" s="258">
        <v>20753353</v>
      </c>
      <c r="E105" s="258">
        <f t="shared" ref="E105:E115" si="14">D105-C105</f>
        <v>7570593</v>
      </c>
      <c r="F105" s="259">
        <f t="shared" ref="F105:F115" si="15">IF(C105=0,0,E105/C105)</f>
        <v>0.57427981697307695</v>
      </c>
    </row>
    <row r="106" spans="1:6" ht="20.25" customHeight="1" x14ac:dyDescent="0.3">
      <c r="A106" s="256">
        <v>2</v>
      </c>
      <c r="B106" s="257" t="s">
        <v>442</v>
      </c>
      <c r="C106" s="258">
        <v>4590213</v>
      </c>
      <c r="D106" s="258">
        <v>7613565</v>
      </c>
      <c r="E106" s="258">
        <f t="shared" si="14"/>
        <v>3023352</v>
      </c>
      <c r="F106" s="259">
        <f t="shared" si="15"/>
        <v>0.65865178805427982</v>
      </c>
    </row>
    <row r="107" spans="1:6" ht="20.25" customHeight="1" x14ac:dyDescent="0.3">
      <c r="A107" s="256">
        <v>3</v>
      </c>
      <c r="B107" s="257" t="s">
        <v>443</v>
      </c>
      <c r="C107" s="258">
        <v>5936479</v>
      </c>
      <c r="D107" s="258">
        <v>10401750</v>
      </c>
      <c r="E107" s="258">
        <f t="shared" si="14"/>
        <v>4465271</v>
      </c>
      <c r="F107" s="259">
        <f t="shared" si="15"/>
        <v>0.75217498453207698</v>
      </c>
    </row>
    <row r="108" spans="1:6" ht="20.25" customHeight="1" x14ac:dyDescent="0.3">
      <c r="A108" s="256">
        <v>4</v>
      </c>
      <c r="B108" s="257" t="s">
        <v>444</v>
      </c>
      <c r="C108" s="258">
        <v>1566746</v>
      </c>
      <c r="D108" s="258">
        <v>2762686</v>
      </c>
      <c r="E108" s="258">
        <f t="shared" si="14"/>
        <v>1195940</v>
      </c>
      <c r="F108" s="259">
        <f t="shared" si="15"/>
        <v>0.763327303851422</v>
      </c>
    </row>
    <row r="109" spans="1:6" ht="20.25" customHeight="1" x14ac:dyDescent="0.3">
      <c r="A109" s="256">
        <v>5</v>
      </c>
      <c r="B109" s="257" t="s">
        <v>381</v>
      </c>
      <c r="C109" s="260">
        <v>349</v>
      </c>
      <c r="D109" s="260">
        <v>482</v>
      </c>
      <c r="E109" s="260">
        <f t="shared" si="14"/>
        <v>133</v>
      </c>
      <c r="F109" s="259">
        <f t="shared" si="15"/>
        <v>0.38108882521489973</v>
      </c>
    </row>
    <row r="110" spans="1:6" ht="20.25" customHeight="1" x14ac:dyDescent="0.3">
      <c r="A110" s="256">
        <v>6</v>
      </c>
      <c r="B110" s="257" t="s">
        <v>380</v>
      </c>
      <c r="C110" s="260">
        <v>1959</v>
      </c>
      <c r="D110" s="260">
        <v>3321</v>
      </c>
      <c r="E110" s="260">
        <f t="shared" si="14"/>
        <v>1362</v>
      </c>
      <c r="F110" s="259">
        <f t="shared" si="15"/>
        <v>0.69525267993874429</v>
      </c>
    </row>
    <row r="111" spans="1:6" ht="20.25" customHeight="1" x14ac:dyDescent="0.3">
      <c r="A111" s="256">
        <v>7</v>
      </c>
      <c r="B111" s="257" t="s">
        <v>445</v>
      </c>
      <c r="C111" s="260">
        <v>1159</v>
      </c>
      <c r="D111" s="260">
        <v>1922</v>
      </c>
      <c r="E111" s="260">
        <f t="shared" si="14"/>
        <v>763</v>
      </c>
      <c r="F111" s="259">
        <f t="shared" si="15"/>
        <v>0.65832614322691974</v>
      </c>
    </row>
    <row r="112" spans="1:6" ht="20.25" customHeight="1" x14ac:dyDescent="0.3">
      <c r="A112" s="256">
        <v>8</v>
      </c>
      <c r="B112" s="257" t="s">
        <v>446</v>
      </c>
      <c r="C112" s="260">
        <v>721</v>
      </c>
      <c r="D112" s="260">
        <v>1127</v>
      </c>
      <c r="E112" s="260">
        <f t="shared" si="14"/>
        <v>406</v>
      </c>
      <c r="F112" s="259">
        <f t="shared" si="15"/>
        <v>0.56310679611650483</v>
      </c>
    </row>
    <row r="113" spans="1:6" ht="20.25" customHeight="1" x14ac:dyDescent="0.3">
      <c r="A113" s="256">
        <v>9</v>
      </c>
      <c r="B113" s="257" t="s">
        <v>447</v>
      </c>
      <c r="C113" s="260">
        <v>273</v>
      </c>
      <c r="D113" s="260">
        <v>392</v>
      </c>
      <c r="E113" s="260">
        <f t="shared" si="14"/>
        <v>119</v>
      </c>
      <c r="F113" s="259">
        <f t="shared" si="15"/>
        <v>0.4358974358974359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19119239</v>
      </c>
      <c r="D114" s="263">
        <f>+D105+D107</f>
        <v>31155103</v>
      </c>
      <c r="E114" s="263">
        <f t="shared" si="14"/>
        <v>12035864</v>
      </c>
      <c r="F114" s="264">
        <f t="shared" si="15"/>
        <v>0.62951585050011671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6156959</v>
      </c>
      <c r="D115" s="263">
        <f>+D106+D108</f>
        <v>10376251</v>
      </c>
      <c r="E115" s="263">
        <f t="shared" si="14"/>
        <v>4219292</v>
      </c>
      <c r="F115" s="264">
        <f t="shared" si="15"/>
        <v>0.68528830547677844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24091661</v>
      </c>
      <c r="D118" s="258">
        <v>26756579</v>
      </c>
      <c r="E118" s="258">
        <f t="shared" ref="E118:E128" si="16">D118-C118</f>
        <v>2664918</v>
      </c>
      <c r="F118" s="259">
        <f t="shared" ref="F118:F128" si="17">IF(C118=0,0,E118/C118)</f>
        <v>0.11061578527109442</v>
      </c>
    </row>
    <row r="119" spans="1:6" ht="20.25" customHeight="1" x14ac:dyDescent="0.3">
      <c r="A119" s="256">
        <v>2</v>
      </c>
      <c r="B119" s="257" t="s">
        <v>442</v>
      </c>
      <c r="C119" s="258">
        <v>8708560</v>
      </c>
      <c r="D119" s="258">
        <v>10638442</v>
      </c>
      <c r="E119" s="258">
        <f t="shared" si="16"/>
        <v>1929882</v>
      </c>
      <c r="F119" s="259">
        <f t="shared" si="17"/>
        <v>0.22160747586282922</v>
      </c>
    </row>
    <row r="120" spans="1:6" ht="20.25" customHeight="1" x14ac:dyDescent="0.3">
      <c r="A120" s="256">
        <v>3</v>
      </c>
      <c r="B120" s="257" t="s">
        <v>443</v>
      </c>
      <c r="C120" s="258">
        <v>11330521</v>
      </c>
      <c r="D120" s="258">
        <v>13746294</v>
      </c>
      <c r="E120" s="258">
        <f t="shared" si="16"/>
        <v>2415773</v>
      </c>
      <c r="F120" s="259">
        <f t="shared" si="17"/>
        <v>0.21320934844920195</v>
      </c>
    </row>
    <row r="121" spans="1:6" ht="20.25" customHeight="1" x14ac:dyDescent="0.3">
      <c r="A121" s="256">
        <v>4</v>
      </c>
      <c r="B121" s="257" t="s">
        <v>444</v>
      </c>
      <c r="C121" s="258">
        <v>3086604</v>
      </c>
      <c r="D121" s="258">
        <v>3936713</v>
      </c>
      <c r="E121" s="258">
        <f t="shared" si="16"/>
        <v>850109</v>
      </c>
      <c r="F121" s="259">
        <f t="shared" si="17"/>
        <v>0.2754188745948622</v>
      </c>
    </row>
    <row r="122" spans="1:6" ht="20.25" customHeight="1" x14ac:dyDescent="0.3">
      <c r="A122" s="256">
        <v>5</v>
      </c>
      <c r="B122" s="257" t="s">
        <v>381</v>
      </c>
      <c r="C122" s="260">
        <v>483</v>
      </c>
      <c r="D122" s="260">
        <v>634</v>
      </c>
      <c r="E122" s="260">
        <f t="shared" si="16"/>
        <v>151</v>
      </c>
      <c r="F122" s="259">
        <f t="shared" si="17"/>
        <v>0.31262939958592134</v>
      </c>
    </row>
    <row r="123" spans="1:6" ht="20.25" customHeight="1" x14ac:dyDescent="0.3">
      <c r="A123" s="256">
        <v>6</v>
      </c>
      <c r="B123" s="257" t="s">
        <v>380</v>
      </c>
      <c r="C123" s="260">
        <v>3305</v>
      </c>
      <c r="D123" s="260">
        <v>3625</v>
      </c>
      <c r="E123" s="260">
        <f t="shared" si="16"/>
        <v>320</v>
      </c>
      <c r="F123" s="259">
        <f t="shared" si="17"/>
        <v>9.682299546142209E-2</v>
      </c>
    </row>
    <row r="124" spans="1:6" ht="20.25" customHeight="1" x14ac:dyDescent="0.3">
      <c r="A124" s="256">
        <v>7</v>
      </c>
      <c r="B124" s="257" t="s">
        <v>445</v>
      </c>
      <c r="C124" s="260">
        <v>1774</v>
      </c>
      <c r="D124" s="260">
        <v>2434</v>
      </c>
      <c r="E124" s="260">
        <f t="shared" si="16"/>
        <v>660</v>
      </c>
      <c r="F124" s="259">
        <f t="shared" si="17"/>
        <v>0.37204058624577224</v>
      </c>
    </row>
    <row r="125" spans="1:6" ht="20.25" customHeight="1" x14ac:dyDescent="0.3">
      <c r="A125" s="256">
        <v>8</v>
      </c>
      <c r="B125" s="257" t="s">
        <v>446</v>
      </c>
      <c r="C125" s="260">
        <v>397</v>
      </c>
      <c r="D125" s="260">
        <v>499</v>
      </c>
      <c r="E125" s="260">
        <f t="shared" si="16"/>
        <v>102</v>
      </c>
      <c r="F125" s="259">
        <f t="shared" si="17"/>
        <v>0.25692695214105793</v>
      </c>
    </row>
    <row r="126" spans="1:6" ht="20.25" customHeight="1" x14ac:dyDescent="0.3">
      <c r="A126" s="256">
        <v>9</v>
      </c>
      <c r="B126" s="257" t="s">
        <v>447</v>
      </c>
      <c r="C126" s="260">
        <v>339</v>
      </c>
      <c r="D126" s="260">
        <v>429</v>
      </c>
      <c r="E126" s="260">
        <f t="shared" si="16"/>
        <v>90</v>
      </c>
      <c r="F126" s="259">
        <f t="shared" si="17"/>
        <v>0.26548672566371684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35422182</v>
      </c>
      <c r="D127" s="263">
        <f>+D118+D120</f>
        <v>40502873</v>
      </c>
      <c r="E127" s="263">
        <f t="shared" si="16"/>
        <v>5080691</v>
      </c>
      <c r="F127" s="264">
        <f t="shared" si="17"/>
        <v>0.14343246838944027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11795164</v>
      </c>
      <c r="D128" s="263">
        <f>+D119+D121</f>
        <v>14575155</v>
      </c>
      <c r="E128" s="263">
        <f t="shared" si="16"/>
        <v>2779991</v>
      </c>
      <c r="F128" s="264">
        <f t="shared" si="17"/>
        <v>0.23568905019040007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166731805</v>
      </c>
      <c r="D198" s="263">
        <f t="shared" si="28"/>
        <v>178838551</v>
      </c>
      <c r="E198" s="263">
        <f t="shared" ref="E198:E208" si="29">D198-C198</f>
        <v>12106746</v>
      </c>
      <c r="F198" s="273">
        <f t="shared" ref="F198:F208" si="30">IF(C198=0,0,E198/C198)</f>
        <v>7.2612097014123966E-2</v>
      </c>
    </row>
    <row r="199" spans="1:9" ht="20.25" customHeight="1" x14ac:dyDescent="0.3">
      <c r="A199" s="271"/>
      <c r="B199" s="272" t="s">
        <v>466</v>
      </c>
      <c r="C199" s="263">
        <f t="shared" si="28"/>
        <v>58073573</v>
      </c>
      <c r="D199" s="263">
        <f t="shared" si="28"/>
        <v>68127318</v>
      </c>
      <c r="E199" s="263">
        <f t="shared" si="29"/>
        <v>10053745</v>
      </c>
      <c r="F199" s="273">
        <f t="shared" si="30"/>
        <v>0.17312082726509698</v>
      </c>
    </row>
    <row r="200" spans="1:9" ht="20.25" customHeight="1" x14ac:dyDescent="0.3">
      <c r="A200" s="271"/>
      <c r="B200" s="272" t="s">
        <v>467</v>
      </c>
      <c r="C200" s="263">
        <f t="shared" si="28"/>
        <v>69100639</v>
      </c>
      <c r="D200" s="263">
        <f t="shared" si="28"/>
        <v>86938441</v>
      </c>
      <c r="E200" s="263">
        <f t="shared" si="29"/>
        <v>17837802</v>
      </c>
      <c r="F200" s="273">
        <f t="shared" si="30"/>
        <v>0.2581423595807848</v>
      </c>
    </row>
    <row r="201" spans="1:9" ht="20.25" customHeight="1" x14ac:dyDescent="0.3">
      <c r="A201" s="271"/>
      <c r="B201" s="272" t="s">
        <v>468</v>
      </c>
      <c r="C201" s="263">
        <f t="shared" si="28"/>
        <v>20774666</v>
      </c>
      <c r="D201" s="263">
        <f t="shared" si="28"/>
        <v>24847183</v>
      </c>
      <c r="E201" s="263">
        <f t="shared" si="29"/>
        <v>4072517</v>
      </c>
      <c r="F201" s="273">
        <f t="shared" si="30"/>
        <v>0.19603285078085009</v>
      </c>
    </row>
    <row r="202" spans="1:9" ht="20.25" customHeight="1" x14ac:dyDescent="0.3">
      <c r="A202" s="271"/>
      <c r="B202" s="272" t="s">
        <v>138</v>
      </c>
      <c r="C202" s="274">
        <f t="shared" si="28"/>
        <v>3426</v>
      </c>
      <c r="D202" s="274">
        <f t="shared" si="28"/>
        <v>3840</v>
      </c>
      <c r="E202" s="274">
        <f t="shared" si="29"/>
        <v>414</v>
      </c>
      <c r="F202" s="273">
        <f t="shared" si="30"/>
        <v>0.12084063047285463</v>
      </c>
    </row>
    <row r="203" spans="1:9" ht="20.25" customHeight="1" x14ac:dyDescent="0.3">
      <c r="A203" s="271"/>
      <c r="B203" s="272" t="s">
        <v>140</v>
      </c>
      <c r="C203" s="274">
        <f t="shared" si="28"/>
        <v>21726</v>
      </c>
      <c r="D203" s="274">
        <f t="shared" si="28"/>
        <v>23604</v>
      </c>
      <c r="E203" s="274">
        <f t="shared" si="29"/>
        <v>1878</v>
      </c>
      <c r="F203" s="273">
        <f t="shared" si="30"/>
        <v>8.6440209886771605E-2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12080</v>
      </c>
      <c r="D204" s="274">
        <f t="shared" si="28"/>
        <v>14020</v>
      </c>
      <c r="E204" s="274">
        <f t="shared" si="29"/>
        <v>1940</v>
      </c>
      <c r="F204" s="273">
        <f t="shared" si="30"/>
        <v>0.16059602649006621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3287</v>
      </c>
      <c r="D205" s="274">
        <f t="shared" si="28"/>
        <v>3903</v>
      </c>
      <c r="E205" s="274">
        <f t="shared" si="29"/>
        <v>616</v>
      </c>
      <c r="F205" s="273">
        <f t="shared" si="30"/>
        <v>0.18740492850623669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2279</v>
      </c>
      <c r="D206" s="274">
        <f t="shared" si="28"/>
        <v>2532</v>
      </c>
      <c r="E206" s="274">
        <f t="shared" si="29"/>
        <v>253</v>
      </c>
      <c r="F206" s="273">
        <f t="shared" si="30"/>
        <v>0.11101360245721807</v>
      </c>
    </row>
    <row r="207" spans="1:9" ht="20.25" customHeight="1" x14ac:dyDescent="0.3">
      <c r="A207" s="271"/>
      <c r="B207" s="262" t="s">
        <v>471</v>
      </c>
      <c r="C207" s="263">
        <f>+C198+C200</f>
        <v>235832444</v>
      </c>
      <c r="D207" s="263">
        <f>+D198+D200</f>
        <v>265776992</v>
      </c>
      <c r="E207" s="263">
        <f t="shared" si="29"/>
        <v>29944548</v>
      </c>
      <c r="F207" s="273">
        <f t="shared" si="30"/>
        <v>0.12697382723133718</v>
      </c>
    </row>
    <row r="208" spans="1:9" ht="20.25" customHeight="1" x14ac:dyDescent="0.3">
      <c r="A208" s="271"/>
      <c r="B208" s="262" t="s">
        <v>472</v>
      </c>
      <c r="C208" s="263">
        <f>+C199+C201</f>
        <v>78848239</v>
      </c>
      <c r="D208" s="263">
        <f>+D199+D201</f>
        <v>92974501</v>
      </c>
      <c r="E208" s="263">
        <f t="shared" si="29"/>
        <v>14126262</v>
      </c>
      <c r="F208" s="273">
        <f t="shared" si="30"/>
        <v>0.17915760934115471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FILING&amp;RHARTFORD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FILING&amp;RHARTFORD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293544000</v>
      </c>
      <c r="D13" s="22">
        <v>423879000</v>
      </c>
      <c r="E13" s="22">
        <f t="shared" ref="E13:E22" si="0">D13-C13</f>
        <v>130335000</v>
      </c>
      <c r="F13" s="306">
        <f t="shared" ref="F13:F22" si="1">IF(C13=0,0,E13/C13)</f>
        <v>0.44400498732728311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310228000</v>
      </c>
      <c r="D15" s="22">
        <v>292535000</v>
      </c>
      <c r="E15" s="22">
        <f t="shared" si="0"/>
        <v>-17693000</v>
      </c>
      <c r="F15" s="306">
        <f t="shared" si="1"/>
        <v>-5.7032247250409375E-2</v>
      </c>
    </row>
    <row r="16" spans="1:8" ht="35.1" customHeight="1" x14ac:dyDescent="0.2">
      <c r="A16" s="304">
        <v>4</v>
      </c>
      <c r="B16" s="305" t="s">
        <v>19</v>
      </c>
      <c r="C16" s="22">
        <v>7521000</v>
      </c>
      <c r="D16" s="22">
        <v>3850000</v>
      </c>
      <c r="E16" s="22">
        <f t="shared" si="0"/>
        <v>-3671000</v>
      </c>
      <c r="F16" s="306">
        <f t="shared" si="1"/>
        <v>-0.48809998670389576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25942000</v>
      </c>
      <c r="D19" s="22">
        <v>28782000</v>
      </c>
      <c r="E19" s="22">
        <f t="shared" si="0"/>
        <v>2840000</v>
      </c>
      <c r="F19" s="306">
        <f t="shared" si="1"/>
        <v>0.1094749826536119</v>
      </c>
    </row>
    <row r="20" spans="1:11" ht="24" customHeight="1" x14ac:dyDescent="0.2">
      <c r="A20" s="304">
        <v>8</v>
      </c>
      <c r="B20" s="305" t="s">
        <v>23</v>
      </c>
      <c r="C20" s="22">
        <v>27712000</v>
      </c>
      <c r="D20" s="22">
        <v>24158000</v>
      </c>
      <c r="E20" s="22">
        <f t="shared" si="0"/>
        <v>-3554000</v>
      </c>
      <c r="F20" s="306">
        <f t="shared" si="1"/>
        <v>-0.12824769053117782</v>
      </c>
    </row>
    <row r="21" spans="1:11" ht="24" customHeight="1" x14ac:dyDescent="0.2">
      <c r="A21" s="304">
        <v>9</v>
      </c>
      <c r="B21" s="305" t="s">
        <v>24</v>
      </c>
      <c r="C21" s="22">
        <v>70598000</v>
      </c>
      <c r="D21" s="22">
        <v>40049000</v>
      </c>
      <c r="E21" s="22">
        <f t="shared" si="0"/>
        <v>-30549000</v>
      </c>
      <c r="F21" s="306">
        <f t="shared" si="1"/>
        <v>-0.4327176407263662</v>
      </c>
    </row>
    <row r="22" spans="1:11" ht="24" customHeight="1" x14ac:dyDescent="0.25">
      <c r="A22" s="307"/>
      <c r="B22" s="308" t="s">
        <v>25</v>
      </c>
      <c r="C22" s="309">
        <f>SUM(C13:C21)</f>
        <v>735545000</v>
      </c>
      <c r="D22" s="309">
        <f>SUM(D13:D21)</f>
        <v>813253000</v>
      </c>
      <c r="E22" s="309">
        <f t="shared" si="0"/>
        <v>77708000</v>
      </c>
      <c r="F22" s="310">
        <f t="shared" si="1"/>
        <v>0.10564683330047787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178081000</v>
      </c>
      <c r="D25" s="22">
        <v>184764000</v>
      </c>
      <c r="E25" s="22">
        <f>D25-C25</f>
        <v>6683000</v>
      </c>
      <c r="F25" s="306">
        <f>IF(C25=0,0,E25/C25)</f>
        <v>3.7527866532645254E-2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11768000</v>
      </c>
      <c r="D27" s="22">
        <v>8311000</v>
      </c>
      <c r="E27" s="22">
        <f>D27-C27</f>
        <v>-3457000</v>
      </c>
      <c r="F27" s="306">
        <f>IF(C27=0,0,E27/C27)</f>
        <v>-0.29376274643099931</v>
      </c>
    </row>
    <row r="28" spans="1:11" ht="35.1" customHeight="1" x14ac:dyDescent="0.2">
      <c r="A28" s="304">
        <v>4</v>
      </c>
      <c r="B28" s="305" t="s">
        <v>31</v>
      </c>
      <c r="C28" s="22">
        <v>1045092000</v>
      </c>
      <c r="D28" s="22">
        <v>1132311000</v>
      </c>
      <c r="E28" s="22">
        <f>D28-C28</f>
        <v>87219000</v>
      </c>
      <c r="F28" s="306">
        <f>IF(C28=0,0,E28/C28)</f>
        <v>8.3455810588924234E-2</v>
      </c>
    </row>
    <row r="29" spans="1:11" ht="35.1" customHeight="1" x14ac:dyDescent="0.25">
      <c r="A29" s="307"/>
      <c r="B29" s="308" t="s">
        <v>32</v>
      </c>
      <c r="C29" s="309">
        <f>SUM(C25:C28)</f>
        <v>1234941000</v>
      </c>
      <c r="D29" s="309">
        <f>SUM(D25:D28)</f>
        <v>1325386000</v>
      </c>
      <c r="E29" s="309">
        <f>D29-C29</f>
        <v>90445000</v>
      </c>
      <c r="F29" s="310">
        <f>IF(C29=0,0,E29/C29)</f>
        <v>7.323831664832571E-2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0</v>
      </c>
      <c r="D32" s="22">
        <v>0</v>
      </c>
      <c r="E32" s="22">
        <f>D32-C32</f>
        <v>0</v>
      </c>
      <c r="F32" s="306">
        <f>IF(C32=0,0,E32/C32)</f>
        <v>0</v>
      </c>
    </row>
    <row r="33" spans="1:8" ht="24" customHeight="1" x14ac:dyDescent="0.2">
      <c r="A33" s="304">
        <v>7</v>
      </c>
      <c r="B33" s="305" t="s">
        <v>35</v>
      </c>
      <c r="C33" s="22">
        <v>113591000</v>
      </c>
      <c r="D33" s="22">
        <v>146357000</v>
      </c>
      <c r="E33" s="22">
        <f>D33-C33</f>
        <v>32766000</v>
      </c>
      <c r="F33" s="306">
        <f>IF(C33=0,0,E33/C33)</f>
        <v>0.28845595161588505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2309713000</v>
      </c>
      <c r="D36" s="22">
        <v>2378857000</v>
      </c>
      <c r="E36" s="22">
        <f>D36-C36</f>
        <v>69144000</v>
      </c>
      <c r="F36" s="306">
        <f>IF(C36=0,0,E36/C36)</f>
        <v>2.9936186876897693E-2</v>
      </c>
    </row>
    <row r="37" spans="1:8" ht="24" customHeight="1" x14ac:dyDescent="0.2">
      <c r="A37" s="304">
        <v>2</v>
      </c>
      <c r="B37" s="305" t="s">
        <v>39</v>
      </c>
      <c r="C37" s="22">
        <v>1426722000</v>
      </c>
      <c r="D37" s="22">
        <v>1536318000</v>
      </c>
      <c r="E37" s="22">
        <f>D37-C37</f>
        <v>109596000</v>
      </c>
      <c r="F37" s="22">
        <f>IF(C37=0,0,E37/C37)</f>
        <v>7.6816646830987392E-2</v>
      </c>
    </row>
    <row r="38" spans="1:8" ht="24" customHeight="1" x14ac:dyDescent="0.25">
      <c r="A38" s="307"/>
      <c r="B38" s="308" t="s">
        <v>40</v>
      </c>
      <c r="C38" s="309">
        <f>C36-C37</f>
        <v>882991000</v>
      </c>
      <c r="D38" s="309">
        <f>D36-D37</f>
        <v>842539000</v>
      </c>
      <c r="E38" s="309">
        <f>D38-C38</f>
        <v>-40452000</v>
      </c>
      <c r="F38" s="310">
        <f>IF(C38=0,0,E38/C38)</f>
        <v>-4.5812471474794191E-2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114378000</v>
      </c>
      <c r="D40" s="22">
        <v>187661000</v>
      </c>
      <c r="E40" s="22">
        <f>D40-C40</f>
        <v>73283000</v>
      </c>
      <c r="F40" s="306">
        <f>IF(C40=0,0,E40/C40)</f>
        <v>0.64070887758135309</v>
      </c>
    </row>
    <row r="41" spans="1:8" ht="24" customHeight="1" x14ac:dyDescent="0.25">
      <c r="A41" s="307"/>
      <c r="B41" s="308" t="s">
        <v>42</v>
      </c>
      <c r="C41" s="309">
        <f>+C38+C40</f>
        <v>997369000</v>
      </c>
      <c r="D41" s="309">
        <f>+D38+D40</f>
        <v>1030200000</v>
      </c>
      <c r="E41" s="309">
        <f>D41-C41</f>
        <v>32831000</v>
      </c>
      <c r="F41" s="310">
        <f>IF(C41=0,0,E41/C41)</f>
        <v>3.291760622197E-2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3081446000</v>
      </c>
      <c r="D43" s="309">
        <f>D22+D29+D31+D32+D33+D41</f>
        <v>3315196000</v>
      </c>
      <c r="E43" s="309">
        <f>D43-C43</f>
        <v>233750000</v>
      </c>
      <c r="F43" s="310">
        <f>IF(C43=0,0,E43/C43)</f>
        <v>7.5857243644704461E-2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42742000</v>
      </c>
      <c r="D49" s="22">
        <v>60131000</v>
      </c>
      <c r="E49" s="22">
        <f t="shared" ref="E49:E56" si="2">D49-C49</f>
        <v>17389000</v>
      </c>
      <c r="F49" s="306">
        <f t="shared" ref="F49:F56" si="3">IF(C49=0,0,E49/C49)</f>
        <v>0.40683636703944598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74218000</v>
      </c>
      <c r="D50" s="22">
        <v>87910000</v>
      </c>
      <c r="E50" s="22">
        <f t="shared" si="2"/>
        <v>13692000</v>
      </c>
      <c r="F50" s="306">
        <f t="shared" si="3"/>
        <v>0.18448354846533185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45547000</v>
      </c>
      <c r="D51" s="22">
        <v>57206000</v>
      </c>
      <c r="E51" s="22">
        <f t="shared" si="2"/>
        <v>11659000</v>
      </c>
      <c r="F51" s="306">
        <f t="shared" si="3"/>
        <v>0.25597734208619666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0</v>
      </c>
      <c r="D53" s="22">
        <v>0</v>
      </c>
      <c r="E53" s="22">
        <f t="shared" si="2"/>
        <v>0</v>
      </c>
      <c r="F53" s="306">
        <f t="shared" si="3"/>
        <v>0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128644000</v>
      </c>
      <c r="D54" s="22">
        <v>56638000</v>
      </c>
      <c r="E54" s="22">
        <f t="shared" si="2"/>
        <v>-72006000</v>
      </c>
      <c r="F54" s="306">
        <f t="shared" si="3"/>
        <v>-0.55973072976586546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154804000</v>
      </c>
      <c r="D55" s="22">
        <v>133999000</v>
      </c>
      <c r="E55" s="22">
        <f t="shared" si="2"/>
        <v>-20805000</v>
      </c>
      <c r="F55" s="306">
        <f t="shared" si="3"/>
        <v>-0.1343957520477507</v>
      </c>
    </row>
    <row r="56" spans="1:6" ht="24" customHeight="1" x14ac:dyDescent="0.25">
      <c r="A56" s="307"/>
      <c r="B56" s="308" t="s">
        <v>54</v>
      </c>
      <c r="C56" s="309">
        <f>SUM(C49:C55)</f>
        <v>445955000</v>
      </c>
      <c r="D56" s="309">
        <f>SUM(D49:D55)</f>
        <v>395884000</v>
      </c>
      <c r="E56" s="309">
        <f t="shared" si="2"/>
        <v>-50071000</v>
      </c>
      <c r="F56" s="310">
        <f t="shared" si="3"/>
        <v>-0.11227814465585093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437820000</v>
      </c>
      <c r="D59" s="22">
        <v>620015000</v>
      </c>
      <c r="E59" s="22">
        <f>D59-C59</f>
        <v>182195000</v>
      </c>
      <c r="F59" s="306">
        <f>IF(C59=0,0,E59/C59)</f>
        <v>0.41614133662235619</v>
      </c>
    </row>
    <row r="60" spans="1:6" ht="24" customHeight="1" x14ac:dyDescent="0.2">
      <c r="A60" s="304">
        <v>2</v>
      </c>
      <c r="B60" s="305" t="s">
        <v>57</v>
      </c>
      <c r="C60" s="22">
        <v>37869000</v>
      </c>
      <c r="D60" s="22">
        <v>34005000</v>
      </c>
      <c r="E60" s="22">
        <f>D60-C60</f>
        <v>-3864000</v>
      </c>
      <c r="F60" s="306">
        <f>IF(C60=0,0,E60/C60)</f>
        <v>-0.1020359660936386</v>
      </c>
    </row>
    <row r="61" spans="1:6" ht="24" customHeight="1" x14ac:dyDescent="0.25">
      <c r="A61" s="307"/>
      <c r="B61" s="308" t="s">
        <v>58</v>
      </c>
      <c r="C61" s="309">
        <f>SUM(C59:C60)</f>
        <v>475689000</v>
      </c>
      <c r="D61" s="309">
        <f>SUM(D59:D60)</f>
        <v>654020000</v>
      </c>
      <c r="E61" s="309">
        <f>D61-C61</f>
        <v>178331000</v>
      </c>
      <c r="F61" s="310">
        <f>IF(C61=0,0,E61/C61)</f>
        <v>0.37488989655005689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369051000</v>
      </c>
      <c r="D63" s="22">
        <v>511386000</v>
      </c>
      <c r="E63" s="22">
        <f>D63-C63</f>
        <v>142335000</v>
      </c>
      <c r="F63" s="306">
        <f>IF(C63=0,0,E63/C63)</f>
        <v>0.38567840217205751</v>
      </c>
    </row>
    <row r="64" spans="1:6" ht="24" customHeight="1" x14ac:dyDescent="0.2">
      <c r="A64" s="304">
        <v>4</v>
      </c>
      <c r="B64" s="305" t="s">
        <v>60</v>
      </c>
      <c r="C64" s="22">
        <v>181170000</v>
      </c>
      <c r="D64" s="22">
        <v>177917000</v>
      </c>
      <c r="E64" s="22">
        <f>D64-C64</f>
        <v>-3253000</v>
      </c>
      <c r="F64" s="306">
        <f>IF(C64=0,0,E64/C64)</f>
        <v>-1.7955511398134349E-2</v>
      </c>
    </row>
    <row r="65" spans="1:6" ht="24" customHeight="1" x14ac:dyDescent="0.25">
      <c r="A65" s="307"/>
      <c r="B65" s="308" t="s">
        <v>61</v>
      </c>
      <c r="C65" s="309">
        <f>SUM(C61:C64)</f>
        <v>1025910000</v>
      </c>
      <c r="D65" s="309">
        <f>SUM(D61:D64)</f>
        <v>1343323000</v>
      </c>
      <c r="E65" s="309">
        <f>D65-C65</f>
        <v>317413000</v>
      </c>
      <c r="F65" s="310">
        <f>IF(C65=0,0,E65/C65)</f>
        <v>0.30939653575849735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1160932000</v>
      </c>
      <c r="D70" s="22">
        <v>1104267000</v>
      </c>
      <c r="E70" s="22">
        <f>D70-C70</f>
        <v>-56665000</v>
      </c>
      <c r="F70" s="306">
        <f>IF(C70=0,0,E70/C70)</f>
        <v>-4.8809921683612818E-2</v>
      </c>
    </row>
    <row r="71" spans="1:6" ht="24" customHeight="1" x14ac:dyDescent="0.2">
      <c r="A71" s="304">
        <v>2</v>
      </c>
      <c r="B71" s="305" t="s">
        <v>65</v>
      </c>
      <c r="C71" s="22">
        <v>170523000</v>
      </c>
      <c r="D71" s="22">
        <v>184811000</v>
      </c>
      <c r="E71" s="22">
        <f>D71-C71</f>
        <v>14288000</v>
      </c>
      <c r="F71" s="306">
        <f>IF(C71=0,0,E71/C71)</f>
        <v>8.3789283557056823E-2</v>
      </c>
    </row>
    <row r="72" spans="1:6" ht="24" customHeight="1" x14ac:dyDescent="0.2">
      <c r="A72" s="304">
        <v>3</v>
      </c>
      <c r="B72" s="305" t="s">
        <v>66</v>
      </c>
      <c r="C72" s="22">
        <v>278126000</v>
      </c>
      <c r="D72" s="22">
        <v>286911000</v>
      </c>
      <c r="E72" s="22">
        <f>D72-C72</f>
        <v>8785000</v>
      </c>
      <c r="F72" s="306">
        <f>IF(C72=0,0,E72/C72)</f>
        <v>3.1586403284842121E-2</v>
      </c>
    </row>
    <row r="73" spans="1:6" ht="24" customHeight="1" x14ac:dyDescent="0.25">
      <c r="A73" s="304"/>
      <c r="B73" s="308" t="s">
        <v>67</v>
      </c>
      <c r="C73" s="309">
        <f>SUM(C70:C72)</f>
        <v>1609581000</v>
      </c>
      <c r="D73" s="309">
        <f>SUM(D70:D72)</f>
        <v>1575989000</v>
      </c>
      <c r="E73" s="309">
        <f>D73-C73</f>
        <v>-33592000</v>
      </c>
      <c r="F73" s="310">
        <f>IF(C73=0,0,E73/C73)</f>
        <v>-2.0870027665585017E-2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3081446000</v>
      </c>
      <c r="D75" s="309">
        <f>D56+D65+D67+D73</f>
        <v>3315196000</v>
      </c>
      <c r="E75" s="309">
        <f>D75-C75</f>
        <v>233750000</v>
      </c>
      <c r="F75" s="310">
        <f>IF(C75=0,0,E75/C75)</f>
        <v>7.5857243644704461E-2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FILING&amp;RHARTFORD HEALTH CARE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4664919000</v>
      </c>
      <c r="D11" s="76">
        <v>5540620000</v>
      </c>
      <c r="E11" s="76">
        <f t="shared" ref="E11:E20" si="0">D11-C11</f>
        <v>875701000</v>
      </c>
      <c r="F11" s="77">
        <f t="shared" ref="F11:F20" si="1">IF(C11=0,0,E11/C11)</f>
        <v>0.18772051561881353</v>
      </c>
    </row>
    <row r="12" spans="1:7" ht="23.1" customHeight="1" x14ac:dyDescent="0.2">
      <c r="A12" s="74">
        <v>2</v>
      </c>
      <c r="B12" s="75" t="s">
        <v>72</v>
      </c>
      <c r="C12" s="76">
        <v>2658150000</v>
      </c>
      <c r="D12" s="76">
        <v>3139577000</v>
      </c>
      <c r="E12" s="76">
        <f t="shared" si="0"/>
        <v>481427000</v>
      </c>
      <c r="F12" s="77">
        <f t="shared" si="1"/>
        <v>0.181113556420819</v>
      </c>
    </row>
    <row r="13" spans="1:7" ht="23.1" customHeight="1" x14ac:dyDescent="0.2">
      <c r="A13" s="74">
        <v>3</v>
      </c>
      <c r="B13" s="75" t="s">
        <v>73</v>
      </c>
      <c r="C13" s="76">
        <v>57516000</v>
      </c>
      <c r="D13" s="76">
        <v>67964000</v>
      </c>
      <c r="E13" s="76">
        <f t="shared" si="0"/>
        <v>10448000</v>
      </c>
      <c r="F13" s="77">
        <f t="shared" si="1"/>
        <v>0.18165380068154949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1949253000</v>
      </c>
      <c r="D15" s="79">
        <f>D11-D12-D13-D14</f>
        <v>2333079000</v>
      </c>
      <c r="E15" s="79">
        <f t="shared" si="0"/>
        <v>383826000</v>
      </c>
      <c r="F15" s="80">
        <f t="shared" si="1"/>
        <v>0.19690927755401685</v>
      </c>
    </row>
    <row r="16" spans="1:7" ht="23.1" customHeight="1" x14ac:dyDescent="0.2">
      <c r="A16" s="74">
        <v>5</v>
      </c>
      <c r="B16" s="75" t="s">
        <v>76</v>
      </c>
      <c r="C16" s="76">
        <v>43010000</v>
      </c>
      <c r="D16" s="76">
        <v>61860000</v>
      </c>
      <c r="E16" s="76">
        <f t="shared" si="0"/>
        <v>18850000</v>
      </c>
      <c r="F16" s="77">
        <f t="shared" si="1"/>
        <v>0.43827016972797023</v>
      </c>
      <c r="G16" s="65"/>
    </row>
    <row r="17" spans="1:7" ht="31.5" customHeight="1" x14ac:dyDescent="0.25">
      <c r="A17" s="71"/>
      <c r="B17" s="81" t="s">
        <v>77</v>
      </c>
      <c r="C17" s="79">
        <f>C15-C16</f>
        <v>1906243000</v>
      </c>
      <c r="D17" s="79">
        <f>D15-D16</f>
        <v>2271219000</v>
      </c>
      <c r="E17" s="79">
        <f t="shared" si="0"/>
        <v>364976000</v>
      </c>
      <c r="F17" s="80">
        <f t="shared" si="1"/>
        <v>0.19146352275129666</v>
      </c>
    </row>
    <row r="18" spans="1:7" ht="23.1" customHeight="1" x14ac:dyDescent="0.2">
      <c r="A18" s="74">
        <v>6</v>
      </c>
      <c r="B18" s="75" t="s">
        <v>78</v>
      </c>
      <c r="C18" s="76">
        <v>211736000</v>
      </c>
      <c r="D18" s="76">
        <v>199592000</v>
      </c>
      <c r="E18" s="76">
        <f t="shared" si="0"/>
        <v>-12144000</v>
      </c>
      <c r="F18" s="77">
        <f t="shared" si="1"/>
        <v>-5.7354441379831492E-2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10309000</v>
      </c>
      <c r="D19" s="76">
        <v>10771000</v>
      </c>
      <c r="E19" s="76">
        <f t="shared" si="0"/>
        <v>462000</v>
      </c>
      <c r="F19" s="77">
        <f t="shared" si="1"/>
        <v>4.4815210010670285E-2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2128288000</v>
      </c>
      <c r="D20" s="79">
        <f>SUM(D17:D19)</f>
        <v>2481582000</v>
      </c>
      <c r="E20" s="79">
        <f t="shared" si="0"/>
        <v>353294000</v>
      </c>
      <c r="F20" s="80">
        <f t="shared" si="1"/>
        <v>0.16599915049091102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1011861000</v>
      </c>
      <c r="D23" s="76">
        <v>1130131000</v>
      </c>
      <c r="E23" s="76">
        <f t="shared" ref="E23:E32" si="2">D23-C23</f>
        <v>118270000</v>
      </c>
      <c r="F23" s="77">
        <f t="shared" ref="F23:F32" si="3">IF(C23=0,0,E23/C23)</f>
        <v>0.11688364310908317</v>
      </c>
    </row>
    <row r="24" spans="1:7" ht="23.1" customHeight="1" x14ac:dyDescent="0.2">
      <c r="A24" s="74">
        <v>2</v>
      </c>
      <c r="B24" s="75" t="s">
        <v>83</v>
      </c>
      <c r="C24" s="76">
        <v>299157000</v>
      </c>
      <c r="D24" s="76">
        <v>304547000</v>
      </c>
      <c r="E24" s="76">
        <f t="shared" si="2"/>
        <v>5390000</v>
      </c>
      <c r="F24" s="77">
        <f t="shared" si="3"/>
        <v>1.8017295266365151E-2</v>
      </c>
    </row>
    <row r="25" spans="1:7" ht="23.1" customHeight="1" x14ac:dyDescent="0.2">
      <c r="A25" s="74">
        <v>3</v>
      </c>
      <c r="B25" s="75" t="s">
        <v>84</v>
      </c>
      <c r="C25" s="76">
        <v>68794000</v>
      </c>
      <c r="D25" s="76">
        <v>77629000</v>
      </c>
      <c r="E25" s="76">
        <f t="shared" si="2"/>
        <v>8835000</v>
      </c>
      <c r="F25" s="77">
        <f t="shared" si="3"/>
        <v>0.12842689769456639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270728000</v>
      </c>
      <c r="D26" s="76">
        <v>376719000</v>
      </c>
      <c r="E26" s="76">
        <f t="shared" si="2"/>
        <v>105991000</v>
      </c>
      <c r="F26" s="77">
        <f t="shared" si="3"/>
        <v>0.3915036494193434</v>
      </c>
    </row>
    <row r="27" spans="1:7" ht="23.1" customHeight="1" x14ac:dyDescent="0.2">
      <c r="A27" s="74">
        <v>5</v>
      </c>
      <c r="B27" s="75" t="s">
        <v>86</v>
      </c>
      <c r="C27" s="76">
        <v>102308000</v>
      </c>
      <c r="D27" s="76">
        <v>118837000</v>
      </c>
      <c r="E27" s="76">
        <f t="shared" si="2"/>
        <v>16529000</v>
      </c>
      <c r="F27" s="77">
        <f t="shared" si="3"/>
        <v>0.16156116823708802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13969000</v>
      </c>
      <c r="D29" s="76">
        <v>19528000</v>
      </c>
      <c r="E29" s="76">
        <f t="shared" si="2"/>
        <v>5559000</v>
      </c>
      <c r="F29" s="77">
        <f t="shared" si="3"/>
        <v>0.3979526093492734</v>
      </c>
    </row>
    <row r="30" spans="1:7" ht="23.1" customHeight="1" x14ac:dyDescent="0.2">
      <c r="A30" s="74">
        <v>8</v>
      </c>
      <c r="B30" s="75" t="s">
        <v>89</v>
      </c>
      <c r="C30" s="76">
        <v>19354000</v>
      </c>
      <c r="D30" s="76">
        <v>20224000</v>
      </c>
      <c r="E30" s="76">
        <f t="shared" si="2"/>
        <v>870000</v>
      </c>
      <c r="F30" s="77">
        <f t="shared" si="3"/>
        <v>4.4951947917743103E-2</v>
      </c>
    </row>
    <row r="31" spans="1:7" ht="23.1" customHeight="1" x14ac:dyDescent="0.2">
      <c r="A31" s="74">
        <v>9</v>
      </c>
      <c r="B31" s="75" t="s">
        <v>90</v>
      </c>
      <c r="C31" s="76">
        <v>376886000</v>
      </c>
      <c r="D31" s="76">
        <v>381781000</v>
      </c>
      <c r="E31" s="76">
        <f t="shared" si="2"/>
        <v>4895000</v>
      </c>
      <c r="F31" s="77">
        <f t="shared" si="3"/>
        <v>1.2988012290188545E-2</v>
      </c>
    </row>
    <row r="32" spans="1:7" ht="23.1" customHeight="1" x14ac:dyDescent="0.25">
      <c r="A32" s="71"/>
      <c r="B32" s="78" t="s">
        <v>91</v>
      </c>
      <c r="C32" s="79">
        <f>SUM(C23:C31)</f>
        <v>2163057000</v>
      </c>
      <c r="D32" s="79">
        <f>SUM(D23:D31)</f>
        <v>2429396000</v>
      </c>
      <c r="E32" s="79">
        <f t="shared" si="2"/>
        <v>266339000</v>
      </c>
      <c r="F32" s="80">
        <f t="shared" si="3"/>
        <v>0.1231308282675861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-34769000</v>
      </c>
      <c r="D34" s="79">
        <f>+D20-D32</f>
        <v>52186000</v>
      </c>
      <c r="E34" s="79">
        <f>D34-C34</f>
        <v>86955000</v>
      </c>
      <c r="F34" s="80">
        <f>IF(C34=0,0,E34/C34)</f>
        <v>-2.5009347407173057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13657000</v>
      </c>
      <c r="D37" s="76">
        <v>49706000</v>
      </c>
      <c r="E37" s="76">
        <f>D37-C37</f>
        <v>36049000</v>
      </c>
      <c r="F37" s="77">
        <f>IF(C37=0,0,E37/C37)</f>
        <v>2.6395987405726</v>
      </c>
    </row>
    <row r="38" spans="1:6" ht="23.1" customHeight="1" x14ac:dyDescent="0.2">
      <c r="A38" s="85">
        <v>2</v>
      </c>
      <c r="B38" s="75" t="s">
        <v>95</v>
      </c>
      <c r="C38" s="76">
        <v>771000</v>
      </c>
      <c r="D38" s="76">
        <v>393000</v>
      </c>
      <c r="E38" s="76">
        <f>D38-C38</f>
        <v>-378000</v>
      </c>
      <c r="F38" s="77">
        <f>IF(C38=0,0,E38/C38)</f>
        <v>-0.49027237354085601</v>
      </c>
    </row>
    <row r="39" spans="1:6" ht="23.1" customHeight="1" x14ac:dyDescent="0.2">
      <c r="A39" s="85">
        <v>3</v>
      </c>
      <c r="B39" s="75" t="s">
        <v>96</v>
      </c>
      <c r="C39" s="76">
        <v>70732000</v>
      </c>
      <c r="D39" s="76">
        <v>-8305000</v>
      </c>
      <c r="E39" s="76">
        <f>D39-C39</f>
        <v>-79037000</v>
      </c>
      <c r="F39" s="77">
        <f>IF(C39=0,0,E39/C39)</f>
        <v>-1.1174150313860771</v>
      </c>
    </row>
    <row r="40" spans="1:6" ht="23.1" customHeight="1" x14ac:dyDescent="0.25">
      <c r="A40" s="83"/>
      <c r="B40" s="78" t="s">
        <v>97</v>
      </c>
      <c r="C40" s="79">
        <f>SUM(C37:C39)</f>
        <v>85160000</v>
      </c>
      <c r="D40" s="79">
        <f>SUM(D37:D39)</f>
        <v>41794000</v>
      </c>
      <c r="E40" s="79">
        <f>D40-C40</f>
        <v>-43366000</v>
      </c>
      <c r="F40" s="80">
        <f>IF(C40=0,0,E40/C40)</f>
        <v>-0.50922968529826207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50391000</v>
      </c>
      <c r="D42" s="79">
        <f>D34+D40</f>
        <v>93980000</v>
      </c>
      <c r="E42" s="79">
        <f>D42-C42</f>
        <v>43589000</v>
      </c>
      <c r="F42" s="80">
        <f>IF(C42=0,0,E42/C42)</f>
        <v>0.86501557817864305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-20567000</v>
      </c>
      <c r="D45" s="76">
        <v>9567000</v>
      </c>
      <c r="E45" s="76">
        <f>D45-C45</f>
        <v>30134000</v>
      </c>
      <c r="F45" s="77">
        <f>IF(C45=0,0,E45/C45)</f>
        <v>-1.4651626391792678</v>
      </c>
    </row>
    <row r="46" spans="1:6" ht="23.1" customHeight="1" x14ac:dyDescent="0.2">
      <c r="A46" s="85"/>
      <c r="B46" s="75" t="s">
        <v>101</v>
      </c>
      <c r="C46" s="76">
        <v>316456000</v>
      </c>
      <c r="D46" s="76">
        <v>0</v>
      </c>
      <c r="E46" s="76">
        <f>D46-C46</f>
        <v>-316456000</v>
      </c>
      <c r="F46" s="77">
        <f>IF(C46=0,0,E46/C46)</f>
        <v>-1</v>
      </c>
    </row>
    <row r="47" spans="1:6" ht="23.1" customHeight="1" x14ac:dyDescent="0.25">
      <c r="A47" s="83"/>
      <c r="B47" s="78" t="s">
        <v>102</v>
      </c>
      <c r="C47" s="79">
        <f>SUM(C45:C46)</f>
        <v>295889000</v>
      </c>
      <c r="D47" s="79">
        <f>SUM(D45:D46)</f>
        <v>9567000</v>
      </c>
      <c r="E47" s="79">
        <f>D47-C47</f>
        <v>-286322000</v>
      </c>
      <c r="F47" s="80">
        <f>IF(C47=0,0,E47/C47)</f>
        <v>-0.9676669291524862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346280000</v>
      </c>
      <c r="D49" s="79">
        <f>D42+D47</f>
        <v>103547000</v>
      </c>
      <c r="E49" s="79">
        <f>D49-C49</f>
        <v>-242733000</v>
      </c>
      <c r="F49" s="80">
        <f>IF(C49=0,0,E49/C49)</f>
        <v>-0.70097320087790227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FILING&amp;R&amp;8HARTFORD HEALTH CARE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2015-07-07T12:29:58Z</cp:lastPrinted>
  <dcterms:created xsi:type="dcterms:W3CDTF">2015-07-07T12:26:23Z</dcterms:created>
  <dcterms:modified xsi:type="dcterms:W3CDTF">2015-07-07T12:30:05Z</dcterms:modified>
</cp:coreProperties>
</file>