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Report485!$A$11:$F$31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 fullCalcOnLoad="1"/>
</workbook>
</file>

<file path=xl/calcChain.xml><?xml version="1.0" encoding="utf-8"?>
<calcChain xmlns="http://schemas.openxmlformats.org/spreadsheetml/2006/main">
  <c r="D102" i="22" l="1"/>
  <c r="E97" i="22"/>
  <c r="D97" i="22"/>
  <c r="C97" i="22"/>
  <c r="E96" i="22"/>
  <c r="E98" i="22"/>
  <c r="D96" i="22"/>
  <c r="D98" i="22"/>
  <c r="C96" i="22"/>
  <c r="C98" i="22"/>
  <c r="E92" i="22"/>
  <c r="D92" i="22"/>
  <c r="C92" i="22"/>
  <c r="E91" i="22"/>
  <c r="E93" i="22"/>
  <c r="D91" i="22"/>
  <c r="D93" i="22"/>
  <c r="C91" i="22"/>
  <c r="C93" i="22"/>
  <c r="E87" i="22"/>
  <c r="D87" i="22"/>
  <c r="C87" i="22"/>
  <c r="E86" i="22"/>
  <c r="E88" i="22"/>
  <c r="D86" i="22"/>
  <c r="D88" i="22"/>
  <c r="C86" i="22"/>
  <c r="C88" i="22"/>
  <c r="E83" i="22"/>
  <c r="E101" i="22"/>
  <c r="D83" i="22"/>
  <c r="D101" i="22"/>
  <c r="D103" i="22"/>
  <c r="C83" i="22"/>
  <c r="C101" i="22"/>
  <c r="E76" i="22"/>
  <c r="D76" i="22"/>
  <c r="C76" i="22"/>
  <c r="E75" i="22"/>
  <c r="E77" i="22"/>
  <c r="D75" i="22"/>
  <c r="D77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D34" i="22"/>
  <c r="E28" i="22"/>
  <c r="D28" i="22"/>
  <c r="C28" i="22"/>
  <c r="E27" i="22"/>
  <c r="D27" i="22"/>
  <c r="C27" i="22"/>
  <c r="D23" i="22"/>
  <c r="D54" i="22"/>
  <c r="E21" i="22"/>
  <c r="D21" i="22"/>
  <c r="C21" i="22"/>
  <c r="E12" i="22"/>
  <c r="E33" i="22"/>
  <c r="D12" i="22"/>
  <c r="D33" i="22"/>
  <c r="C12" i="22"/>
  <c r="C33" i="22"/>
  <c r="D21" i="21"/>
  <c r="E21" i="21"/>
  <c r="C21" i="21"/>
  <c r="D19" i="21"/>
  <c r="E19" i="21"/>
  <c r="F19" i="21"/>
  <c r="C19" i="21"/>
  <c r="F17" i="21"/>
  <c r="E17" i="21"/>
  <c r="F15" i="21"/>
  <c r="E15" i="21"/>
  <c r="D45" i="20"/>
  <c r="E45" i="20"/>
  <c r="F45" i="20"/>
  <c r="C45" i="20"/>
  <c r="D44" i="20"/>
  <c r="E44" i="20"/>
  <c r="F44" i="20"/>
  <c r="C44" i="20"/>
  <c r="D43" i="20"/>
  <c r="D46" i="20"/>
  <c r="C43" i="20"/>
  <c r="C46" i="20"/>
  <c r="D36" i="20"/>
  <c r="D40" i="20"/>
  <c r="E40" i="20"/>
  <c r="C36" i="20"/>
  <c r="C40" i="20"/>
  <c r="F35" i="20"/>
  <c r="E35" i="20"/>
  <c r="F34" i="20"/>
  <c r="E34" i="20"/>
  <c r="F33" i="20"/>
  <c r="E33" i="20"/>
  <c r="E36" i="20"/>
  <c r="F36" i="20"/>
  <c r="F30" i="20"/>
  <c r="E30" i="20"/>
  <c r="F29" i="20"/>
  <c r="E29" i="20"/>
  <c r="F28" i="20"/>
  <c r="E28" i="20"/>
  <c r="F27" i="20"/>
  <c r="E27" i="20"/>
  <c r="D25" i="20"/>
  <c r="D39" i="20"/>
  <c r="C25" i="20"/>
  <c r="C39" i="20"/>
  <c r="F24" i="20"/>
  <c r="E24" i="20"/>
  <c r="F23" i="20"/>
  <c r="E23" i="20"/>
  <c r="F22" i="20"/>
  <c r="E22" i="20"/>
  <c r="E25" i="20"/>
  <c r="F25" i="20"/>
  <c r="D19" i="20"/>
  <c r="D20" i="20"/>
  <c r="E20" i="20"/>
  <c r="C19" i="20"/>
  <c r="C20" i="20"/>
  <c r="F18" i="20"/>
  <c r="E18" i="20"/>
  <c r="D16" i="20"/>
  <c r="E16" i="20"/>
  <c r="F16" i="20"/>
  <c r="C16" i="20"/>
  <c r="F15" i="20"/>
  <c r="E15" i="20"/>
  <c r="F13" i="20"/>
  <c r="E13" i="20"/>
  <c r="F12" i="20"/>
  <c r="E12" i="20"/>
  <c r="C115" i="19"/>
  <c r="C105" i="19"/>
  <c r="C137" i="19"/>
  <c r="C139" i="19"/>
  <c r="C143" i="19"/>
  <c r="C96" i="19"/>
  <c r="C95" i="19"/>
  <c r="C89" i="19"/>
  <c r="C88" i="19"/>
  <c r="C83" i="19"/>
  <c r="C77" i="19"/>
  <c r="C78" i="19"/>
  <c r="C64" i="19"/>
  <c r="C63" i="19"/>
  <c r="C65" i="19"/>
  <c r="C114" i="19"/>
  <c r="C116" i="19"/>
  <c r="C119" i="19"/>
  <c r="C123" i="19"/>
  <c r="C60" i="19"/>
  <c r="C59" i="19"/>
  <c r="C49" i="19"/>
  <c r="C48" i="19"/>
  <c r="C36" i="19"/>
  <c r="C32" i="19"/>
  <c r="C33" i="19"/>
  <c r="C21" i="19"/>
  <c r="C37" i="19"/>
  <c r="E328" i="18"/>
  <c r="E325" i="18"/>
  <c r="D324" i="18"/>
  <c r="D326" i="18"/>
  <c r="C324" i="18"/>
  <c r="C326" i="18"/>
  <c r="C330" i="18"/>
  <c r="E318" i="18"/>
  <c r="E315" i="18"/>
  <c r="D314" i="18"/>
  <c r="D316" i="18"/>
  <c r="C314" i="18"/>
  <c r="C316" i="18"/>
  <c r="C320" i="18"/>
  <c r="E308" i="18"/>
  <c r="E305" i="18"/>
  <c r="D301" i="18"/>
  <c r="D303" i="18"/>
  <c r="C301" i="18"/>
  <c r="D293" i="18"/>
  <c r="E293" i="18"/>
  <c r="C293" i="18"/>
  <c r="D292" i="18"/>
  <c r="C292" i="18"/>
  <c r="E292" i="18"/>
  <c r="D291" i="18"/>
  <c r="E291" i="18"/>
  <c r="C291" i="18"/>
  <c r="D290" i="18"/>
  <c r="C290" i="18"/>
  <c r="E290" i="18"/>
  <c r="D288" i="18"/>
  <c r="C288" i="18"/>
  <c r="E288" i="18"/>
  <c r="D287" i="18"/>
  <c r="E287" i="18"/>
  <c r="C287" i="18"/>
  <c r="D282" i="18"/>
  <c r="C282" i="18"/>
  <c r="E282" i="18"/>
  <c r="D281" i="18"/>
  <c r="E281" i="18"/>
  <c r="C281" i="18"/>
  <c r="D280" i="18"/>
  <c r="C280" i="18"/>
  <c r="E280" i="18"/>
  <c r="D279" i="18"/>
  <c r="E279" i="18"/>
  <c r="C279" i="18"/>
  <c r="D278" i="18"/>
  <c r="C278" i="18"/>
  <c r="E278" i="18"/>
  <c r="D277" i="18"/>
  <c r="E277" i="18"/>
  <c r="C277" i="18"/>
  <c r="D276" i="18"/>
  <c r="C276" i="18"/>
  <c r="E276" i="18"/>
  <c r="E270" i="18"/>
  <c r="D265" i="18"/>
  <c r="D302" i="18"/>
  <c r="C265" i="18"/>
  <c r="C302" i="18"/>
  <c r="D262" i="18"/>
  <c r="C262" i="18"/>
  <c r="E262" i="18"/>
  <c r="D251" i="18"/>
  <c r="C251" i="18"/>
  <c r="E251" i="18"/>
  <c r="D233" i="18"/>
  <c r="C233" i="18"/>
  <c r="D232" i="18"/>
  <c r="E232" i="18"/>
  <c r="C232" i="18"/>
  <c r="D231" i="18"/>
  <c r="C231" i="18"/>
  <c r="E231" i="18"/>
  <c r="D230" i="18"/>
  <c r="E230" i="18"/>
  <c r="C230" i="18"/>
  <c r="D228" i="18"/>
  <c r="E228" i="18"/>
  <c r="C228" i="18"/>
  <c r="D227" i="18"/>
  <c r="C227" i="18"/>
  <c r="E227" i="18"/>
  <c r="D221" i="18"/>
  <c r="D245" i="18"/>
  <c r="C221" i="18"/>
  <c r="C245" i="18"/>
  <c r="D220" i="18"/>
  <c r="D244" i="18"/>
  <c r="C220" i="18"/>
  <c r="C244" i="18"/>
  <c r="D219" i="18"/>
  <c r="D243" i="18"/>
  <c r="C219" i="18"/>
  <c r="C243" i="18"/>
  <c r="D218" i="18"/>
  <c r="D242" i="18"/>
  <c r="C218" i="18"/>
  <c r="D217" i="18"/>
  <c r="D216" i="18"/>
  <c r="D240" i="18"/>
  <c r="C216" i="18"/>
  <c r="D215" i="18"/>
  <c r="C215" i="18"/>
  <c r="C239" i="18"/>
  <c r="D210" i="18"/>
  <c r="E209" i="18"/>
  <c r="E208" i="18"/>
  <c r="E207" i="18"/>
  <c r="E206" i="18"/>
  <c r="D205" i="18"/>
  <c r="D229" i="18"/>
  <c r="C205" i="18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9" i="18"/>
  <c r="D188" i="18"/>
  <c r="D261" i="18"/>
  <c r="C188" i="18"/>
  <c r="E186" i="18"/>
  <c r="E185" i="18"/>
  <c r="D179" i="18"/>
  <c r="E179" i="18"/>
  <c r="C179" i="18"/>
  <c r="D178" i="18"/>
  <c r="C178" i="18"/>
  <c r="E178" i="18"/>
  <c r="D177" i="18"/>
  <c r="E177" i="18"/>
  <c r="C177" i="18"/>
  <c r="D176" i="18"/>
  <c r="C176" i="18"/>
  <c r="E176" i="18"/>
  <c r="D174" i="18"/>
  <c r="C174" i="18"/>
  <c r="E174" i="18"/>
  <c r="D173" i="18"/>
  <c r="E173" i="18"/>
  <c r="C173" i="18"/>
  <c r="D167" i="18"/>
  <c r="C167" i="18"/>
  <c r="E167" i="18"/>
  <c r="D166" i="18"/>
  <c r="E166" i="18"/>
  <c r="C166" i="18"/>
  <c r="D165" i="18"/>
  <c r="C165" i="18"/>
  <c r="E165" i="18"/>
  <c r="D164" i="18"/>
  <c r="E164" i="18"/>
  <c r="C164" i="18"/>
  <c r="D162" i="18"/>
  <c r="E162" i="18"/>
  <c r="C162" i="18"/>
  <c r="D161" i="18"/>
  <c r="C161" i="18"/>
  <c r="E161" i="18"/>
  <c r="C156" i="18"/>
  <c r="C157" i="18"/>
  <c r="E155" i="18"/>
  <c r="E154" i="18"/>
  <c r="E153" i="18"/>
  <c r="E152" i="18"/>
  <c r="D151" i="18"/>
  <c r="D156" i="18"/>
  <c r="C151" i="18"/>
  <c r="E150" i="18"/>
  <c r="E149" i="18"/>
  <c r="D144" i="18"/>
  <c r="D168" i="18"/>
  <c r="E143" i="18"/>
  <c r="E142" i="18"/>
  <c r="E141" i="18"/>
  <c r="E140" i="18"/>
  <c r="D139" i="18"/>
  <c r="D175" i="18"/>
  <c r="C139" i="18"/>
  <c r="C163" i="18"/>
  <c r="E138" i="18"/>
  <c r="E137" i="18"/>
  <c r="D77" i="18"/>
  <c r="D75" i="18"/>
  <c r="E75" i="18"/>
  <c r="C75" i="18"/>
  <c r="D74" i="18"/>
  <c r="C74" i="18"/>
  <c r="E74" i="18"/>
  <c r="D73" i="18"/>
  <c r="E73" i="18"/>
  <c r="C73" i="18"/>
  <c r="D72" i="18"/>
  <c r="C72" i="18"/>
  <c r="E72" i="18"/>
  <c r="D71" i="18"/>
  <c r="D70" i="18"/>
  <c r="D76" i="18"/>
  <c r="C70" i="18"/>
  <c r="D69" i="18"/>
  <c r="E69" i="18"/>
  <c r="C69" i="18"/>
  <c r="D65" i="18"/>
  <c r="E64" i="18"/>
  <c r="E63" i="18"/>
  <c r="E62" i="18"/>
  <c r="E61" i="18"/>
  <c r="D60" i="18"/>
  <c r="D289" i="18"/>
  <c r="C60" i="18"/>
  <c r="E59" i="18"/>
  <c r="E58" i="18"/>
  <c r="D55" i="18"/>
  <c r="D54" i="18"/>
  <c r="C54" i="18"/>
  <c r="E54" i="18"/>
  <c r="E53" i="18"/>
  <c r="E52" i="18"/>
  <c r="E51" i="18"/>
  <c r="E50" i="18"/>
  <c r="E49" i="18"/>
  <c r="E48" i="18"/>
  <c r="E47" i="18"/>
  <c r="D42" i="18"/>
  <c r="C42" i="18"/>
  <c r="E42" i="18"/>
  <c r="D41" i="18"/>
  <c r="E41" i="18"/>
  <c r="C41" i="18"/>
  <c r="D40" i="18"/>
  <c r="C40" i="18"/>
  <c r="E40" i="18"/>
  <c r="D39" i="18"/>
  <c r="E39" i="18"/>
  <c r="C39" i="18"/>
  <c r="D38" i="18"/>
  <c r="C38" i="18"/>
  <c r="E38" i="18"/>
  <c r="D37" i="18"/>
  <c r="D43" i="18"/>
  <c r="C37" i="18"/>
  <c r="C43" i="18"/>
  <c r="D36" i="18"/>
  <c r="D44" i="18"/>
  <c r="C36" i="18"/>
  <c r="C44" i="18"/>
  <c r="D33" i="18"/>
  <c r="D32" i="18"/>
  <c r="D294" i="18"/>
  <c r="C32" i="18"/>
  <c r="C33" i="18"/>
  <c r="E31" i="18"/>
  <c r="E30" i="18"/>
  <c r="E29" i="18"/>
  <c r="E28" i="18"/>
  <c r="E27" i="18"/>
  <c r="E26" i="18"/>
  <c r="E25" i="18"/>
  <c r="C22" i="18"/>
  <c r="D21" i="18"/>
  <c r="D283" i="18"/>
  <c r="C21" i="18"/>
  <c r="E20" i="18"/>
  <c r="E19" i="18"/>
  <c r="E18" i="18"/>
  <c r="E17" i="18"/>
  <c r="E16" i="18"/>
  <c r="E15" i="18"/>
  <c r="E14" i="18"/>
  <c r="F335" i="17"/>
  <c r="E335" i="17"/>
  <c r="F334" i="17"/>
  <c r="E334" i="17"/>
  <c r="F333" i="17"/>
  <c r="E333" i="17"/>
  <c r="F332" i="17"/>
  <c r="E332" i="17"/>
  <c r="F331" i="17"/>
  <c r="E331" i="17"/>
  <c r="F330" i="17"/>
  <c r="E330" i="17"/>
  <c r="F329" i="17"/>
  <c r="E329" i="17"/>
  <c r="F316" i="17"/>
  <c r="E316" i="17"/>
  <c r="F311" i="17"/>
  <c r="D311" i="17"/>
  <c r="E311" i="17"/>
  <c r="C311" i="17"/>
  <c r="E308" i="17"/>
  <c r="F308" i="17"/>
  <c r="D307" i="17"/>
  <c r="E307" i="17"/>
  <c r="F307" i="17"/>
  <c r="C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/>
  <c r="E306" i="17"/>
  <c r="C250" i="17"/>
  <c r="C306" i="17"/>
  <c r="F249" i="17"/>
  <c r="E249" i="17"/>
  <c r="F248" i="17"/>
  <c r="E248" i="17"/>
  <c r="F245" i="17"/>
  <c r="E245" i="17"/>
  <c r="F244" i="17"/>
  <c r="E244" i="17"/>
  <c r="F243" i="17"/>
  <c r="E243" i="17"/>
  <c r="D238" i="17"/>
  <c r="E238" i="17"/>
  <c r="F238" i="17"/>
  <c r="C238" i="17"/>
  <c r="D237" i="17"/>
  <c r="D239" i="17"/>
  <c r="C237" i="17"/>
  <c r="C239" i="17"/>
  <c r="F234" i="17"/>
  <c r="E234" i="17"/>
  <c r="F233" i="17"/>
  <c r="E233" i="17"/>
  <c r="D230" i="17"/>
  <c r="E230" i="17"/>
  <c r="F230" i="17"/>
  <c r="C230" i="17"/>
  <c r="D229" i="17"/>
  <c r="E229" i="17"/>
  <c r="F229" i="17"/>
  <c r="C229" i="17"/>
  <c r="E228" i="17"/>
  <c r="F228" i="17"/>
  <c r="D226" i="17"/>
  <c r="D227" i="17"/>
  <c r="C226" i="17"/>
  <c r="C227" i="17"/>
  <c r="E225" i="17"/>
  <c r="F225" i="17"/>
  <c r="E224" i="17"/>
  <c r="F224" i="17"/>
  <c r="D223" i="17"/>
  <c r="E223" i="17"/>
  <c r="F223" i="17"/>
  <c r="C223" i="17"/>
  <c r="E222" i="17"/>
  <c r="F222" i="17"/>
  <c r="E221" i="17"/>
  <c r="F221" i="17"/>
  <c r="D204" i="17"/>
  <c r="E204" i="17"/>
  <c r="F204" i="17"/>
  <c r="C204" i="17"/>
  <c r="C285" i="17"/>
  <c r="D203" i="17"/>
  <c r="E203" i="17"/>
  <c r="F203" i="17"/>
  <c r="C203" i="17"/>
  <c r="C283" i="17"/>
  <c r="D198" i="17"/>
  <c r="E198" i="17"/>
  <c r="F198" i="17"/>
  <c r="C198" i="17"/>
  <c r="C290" i="17"/>
  <c r="D191" i="17"/>
  <c r="C191" i="17"/>
  <c r="C280" i="17"/>
  <c r="D189" i="17"/>
  <c r="C189" i="17"/>
  <c r="C278" i="17"/>
  <c r="D188" i="17"/>
  <c r="D190" i="17"/>
  <c r="C188" i="17"/>
  <c r="C277" i="17"/>
  <c r="F181" i="17"/>
  <c r="F180" i="17"/>
  <c r="D180" i="17"/>
  <c r="E180" i="17"/>
  <c r="C180" i="17"/>
  <c r="F179" i="17"/>
  <c r="D179" i="17"/>
  <c r="E179" i="17"/>
  <c r="C179" i="17"/>
  <c r="C181" i="17"/>
  <c r="F171" i="17"/>
  <c r="D171" i="17"/>
  <c r="E171" i="17"/>
  <c r="C171" i="17"/>
  <c r="C172" i="17"/>
  <c r="C173" i="17"/>
  <c r="F173" i="17"/>
  <c r="F170" i="17"/>
  <c r="D170" i="17"/>
  <c r="E170" i="17"/>
  <c r="C170" i="17"/>
  <c r="F169" i="17"/>
  <c r="E169" i="17"/>
  <c r="F168" i="17"/>
  <c r="E168" i="17"/>
  <c r="F165" i="17"/>
  <c r="D165" i="17"/>
  <c r="E165" i="17"/>
  <c r="C165" i="17"/>
  <c r="F164" i="17"/>
  <c r="D164" i="17"/>
  <c r="E164" i="17"/>
  <c r="C164" i="17"/>
  <c r="F163" i="17"/>
  <c r="E163" i="17"/>
  <c r="F158" i="17"/>
  <c r="D158" i="17"/>
  <c r="E158" i="17"/>
  <c r="C158" i="17"/>
  <c r="C159" i="17"/>
  <c r="F159" i="17"/>
  <c r="F157" i="17"/>
  <c r="E157" i="17"/>
  <c r="F156" i="17"/>
  <c r="E156" i="17"/>
  <c r="F155" i="17"/>
  <c r="D155" i="17"/>
  <c r="E155" i="17"/>
  <c r="C155" i="17"/>
  <c r="F154" i="17"/>
  <c r="E154" i="17"/>
  <c r="F153" i="17"/>
  <c r="E153" i="17"/>
  <c r="D145" i="17"/>
  <c r="E145" i="17"/>
  <c r="F145" i="17"/>
  <c r="C145" i="17"/>
  <c r="D144" i="17"/>
  <c r="E144" i="17"/>
  <c r="F144" i="17"/>
  <c r="C144" i="17"/>
  <c r="C146" i="17"/>
  <c r="D136" i="17"/>
  <c r="E136" i="17"/>
  <c r="F136" i="17"/>
  <c r="C136" i="17"/>
  <c r="C137" i="17"/>
  <c r="D135" i="17"/>
  <c r="E135" i="17"/>
  <c r="F135" i="17"/>
  <c r="C135" i="17"/>
  <c r="E134" i="17"/>
  <c r="F134" i="17"/>
  <c r="E133" i="17"/>
  <c r="F133" i="17"/>
  <c r="D130" i="17"/>
  <c r="E130" i="17"/>
  <c r="F130" i="17"/>
  <c r="C130" i="17"/>
  <c r="D129" i="17"/>
  <c r="E129" i="17"/>
  <c r="F129" i="17"/>
  <c r="C129" i="17"/>
  <c r="E128" i="17"/>
  <c r="F128" i="17"/>
  <c r="D123" i="17"/>
  <c r="C123" i="17"/>
  <c r="C193" i="17"/>
  <c r="E122" i="17"/>
  <c r="F122" i="17"/>
  <c r="E121" i="17"/>
  <c r="F121" i="17"/>
  <c r="D120" i="17"/>
  <c r="E120" i="17"/>
  <c r="F120" i="17"/>
  <c r="C120" i="17"/>
  <c r="E119" i="17"/>
  <c r="F119" i="17"/>
  <c r="E118" i="17"/>
  <c r="F118" i="17"/>
  <c r="D110" i="17"/>
  <c r="E110" i="17"/>
  <c r="F110" i="17"/>
  <c r="C110" i="17"/>
  <c r="D109" i="17"/>
  <c r="E109" i="17"/>
  <c r="F109" i="17"/>
  <c r="C109" i="17"/>
  <c r="C111" i="17"/>
  <c r="D101" i="17"/>
  <c r="E101" i="17"/>
  <c r="F101" i="17"/>
  <c r="C101" i="17"/>
  <c r="C102" i="17"/>
  <c r="C103" i="17"/>
  <c r="D100" i="17"/>
  <c r="E100" i="17"/>
  <c r="C100" i="17"/>
  <c r="E99" i="17"/>
  <c r="F99" i="17"/>
  <c r="E98" i="17"/>
  <c r="F98" i="17"/>
  <c r="D95" i="17"/>
  <c r="E95" i="17"/>
  <c r="F95" i="17"/>
  <c r="C95" i="17"/>
  <c r="D94" i="17"/>
  <c r="E94" i="17"/>
  <c r="F94" i="17"/>
  <c r="C94" i="17"/>
  <c r="E93" i="17"/>
  <c r="F93" i="17"/>
  <c r="D88" i="17"/>
  <c r="D89" i="17"/>
  <c r="C88" i="17"/>
  <c r="C89" i="17"/>
  <c r="E87" i="17"/>
  <c r="F87" i="17"/>
  <c r="E86" i="17"/>
  <c r="F86" i="17"/>
  <c r="D85" i="17"/>
  <c r="E85" i="17"/>
  <c r="F85" i="17"/>
  <c r="C85" i="17"/>
  <c r="E84" i="17"/>
  <c r="F84" i="17"/>
  <c r="E83" i="17"/>
  <c r="F83" i="17"/>
  <c r="D76" i="17"/>
  <c r="D77" i="17"/>
  <c r="C76" i="17"/>
  <c r="C77" i="17"/>
  <c r="E74" i="17"/>
  <c r="F74" i="17"/>
  <c r="E73" i="17"/>
  <c r="F73" i="17"/>
  <c r="D67" i="17"/>
  <c r="C67" i="17"/>
  <c r="D66" i="17"/>
  <c r="D68" i="17"/>
  <c r="C66" i="17"/>
  <c r="C68" i="17"/>
  <c r="D59" i="17"/>
  <c r="D60" i="17"/>
  <c r="C59" i="17"/>
  <c r="C60" i="17"/>
  <c r="D58" i="17"/>
  <c r="C58" i="17"/>
  <c r="E57" i="17"/>
  <c r="F57" i="17"/>
  <c r="E56" i="17"/>
  <c r="F56" i="17"/>
  <c r="D53" i="17"/>
  <c r="C53" i="17"/>
  <c r="D52" i="17"/>
  <c r="C52" i="17"/>
  <c r="E51" i="17"/>
  <c r="F51" i="17"/>
  <c r="D47" i="17"/>
  <c r="D48" i="17"/>
  <c r="C47" i="17"/>
  <c r="C48" i="17"/>
  <c r="E46" i="17"/>
  <c r="F46" i="17"/>
  <c r="E45" i="17"/>
  <c r="F45" i="17"/>
  <c r="D44" i="17"/>
  <c r="C44" i="17"/>
  <c r="E43" i="17"/>
  <c r="F43" i="17"/>
  <c r="E42" i="17"/>
  <c r="F42" i="17"/>
  <c r="D36" i="17"/>
  <c r="C36" i="17"/>
  <c r="D35" i="17"/>
  <c r="D37" i="17"/>
  <c r="C35" i="17"/>
  <c r="D30" i="17"/>
  <c r="D31" i="17"/>
  <c r="C30" i="17"/>
  <c r="D29" i="17"/>
  <c r="C29" i="17"/>
  <c r="E28" i="17"/>
  <c r="F28" i="17"/>
  <c r="E27" i="17"/>
  <c r="F27" i="17"/>
  <c r="D24" i="17"/>
  <c r="C24" i="17"/>
  <c r="D23" i="17"/>
  <c r="C23" i="17"/>
  <c r="E22" i="17"/>
  <c r="F22" i="17"/>
  <c r="C21" i="17"/>
  <c r="D20" i="17"/>
  <c r="C20" i="17"/>
  <c r="E19" i="17"/>
  <c r="F19" i="17"/>
  <c r="E18" i="17"/>
  <c r="F18" i="17"/>
  <c r="D17" i="17"/>
  <c r="C17" i="17"/>
  <c r="E16" i="17"/>
  <c r="F16" i="17"/>
  <c r="E15" i="17"/>
  <c r="F15" i="17"/>
  <c r="D24" i="16"/>
  <c r="E24" i="16"/>
  <c r="F24" i="16"/>
  <c r="C24" i="16"/>
  <c r="F23" i="16"/>
  <c r="E23" i="16"/>
  <c r="F22" i="16"/>
  <c r="E22" i="16"/>
  <c r="D19" i="16"/>
  <c r="E19" i="16"/>
  <c r="F19" i="16"/>
  <c r="C19" i="16"/>
  <c r="F18" i="16"/>
  <c r="E18" i="16"/>
  <c r="F17" i="16"/>
  <c r="E17" i="16"/>
  <c r="D14" i="16"/>
  <c r="E14" i="16"/>
  <c r="F14" i="16"/>
  <c r="C14" i="16"/>
  <c r="F13" i="16"/>
  <c r="E13" i="16"/>
  <c r="F12" i="16"/>
  <c r="E12" i="16"/>
  <c r="D107" i="15"/>
  <c r="E107" i="15"/>
  <c r="C107" i="15"/>
  <c r="F106" i="15"/>
  <c r="E106" i="15"/>
  <c r="F105" i="15"/>
  <c r="E105" i="15"/>
  <c r="F104" i="15"/>
  <c r="E104" i="15"/>
  <c r="D100" i="15"/>
  <c r="E100" i="15"/>
  <c r="F100" i="15"/>
  <c r="C100" i="15"/>
  <c r="F99" i="15"/>
  <c r="E99" i="15"/>
  <c r="F98" i="15"/>
  <c r="E98" i="15"/>
  <c r="F97" i="15"/>
  <c r="E97" i="15"/>
  <c r="F96" i="15"/>
  <c r="E96" i="15"/>
  <c r="F95" i="15"/>
  <c r="E95" i="15"/>
  <c r="D92" i="15"/>
  <c r="E92" i="15"/>
  <c r="F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4" i="15"/>
  <c r="E74" i="15"/>
  <c r="F73" i="15"/>
  <c r="E73" i="15"/>
  <c r="E75" i="15"/>
  <c r="F75" i="15"/>
  <c r="D70" i="15"/>
  <c r="E70" i="15"/>
  <c r="F70" i="15"/>
  <c r="C70" i="15"/>
  <c r="F69" i="15"/>
  <c r="E69" i="15"/>
  <c r="F68" i="15"/>
  <c r="E68" i="15"/>
  <c r="D65" i="15"/>
  <c r="E65" i="15"/>
  <c r="F65" i="15"/>
  <c r="C65" i="15"/>
  <c r="F64" i="15"/>
  <c r="E64" i="15"/>
  <c r="F63" i="15"/>
  <c r="E63" i="15"/>
  <c r="F60" i="15"/>
  <c r="D60" i="15"/>
  <c r="C60" i="15"/>
  <c r="F59" i="15"/>
  <c r="E59" i="15"/>
  <c r="F58" i="15"/>
  <c r="E58" i="15"/>
  <c r="E60" i="15"/>
  <c r="D55" i="15"/>
  <c r="E55" i="15"/>
  <c r="F55" i="15"/>
  <c r="C55" i="15"/>
  <c r="F54" i="15"/>
  <c r="E54" i="15"/>
  <c r="F53" i="15"/>
  <c r="E53" i="15"/>
  <c r="D50" i="15"/>
  <c r="E50" i="15"/>
  <c r="F50" i="15"/>
  <c r="C50" i="15"/>
  <c r="F49" i="15"/>
  <c r="E49" i="15"/>
  <c r="F48" i="15"/>
  <c r="E48" i="15"/>
  <c r="D45" i="15"/>
  <c r="E45" i="15"/>
  <c r="F45" i="15"/>
  <c r="C45" i="15"/>
  <c r="F44" i="15"/>
  <c r="E44" i="15"/>
  <c r="F43" i="15"/>
  <c r="E43" i="15"/>
  <c r="D37" i="15"/>
  <c r="E37" i="15"/>
  <c r="F37" i="15"/>
  <c r="C37" i="15"/>
  <c r="F36" i="15"/>
  <c r="E36" i="15"/>
  <c r="F35" i="15"/>
  <c r="E35" i="15"/>
  <c r="F34" i="15"/>
  <c r="E34" i="15"/>
  <c r="F33" i="15"/>
  <c r="E33" i="15"/>
  <c r="F30" i="15"/>
  <c r="D30" i="15"/>
  <c r="E30" i="15"/>
  <c r="C30" i="15"/>
  <c r="F29" i="15"/>
  <c r="E29" i="15"/>
  <c r="F28" i="15"/>
  <c r="E28" i="15"/>
  <c r="F27" i="15"/>
  <c r="E27" i="15"/>
  <c r="F26" i="15"/>
  <c r="E26" i="15"/>
  <c r="D23" i="15"/>
  <c r="E23" i="15"/>
  <c r="F23" i="15"/>
  <c r="C23" i="15"/>
  <c r="F22" i="15"/>
  <c r="E22" i="15"/>
  <c r="F21" i="15"/>
  <c r="E21" i="15"/>
  <c r="F20" i="15"/>
  <c r="E20" i="15"/>
  <c r="F19" i="15"/>
  <c r="E19" i="15"/>
  <c r="D16" i="15"/>
  <c r="E16" i="15"/>
  <c r="F16" i="15"/>
  <c r="C16" i="15"/>
  <c r="F15" i="15"/>
  <c r="E15" i="15"/>
  <c r="F14" i="15"/>
  <c r="E14" i="15"/>
  <c r="F13" i="15"/>
  <c r="E13" i="15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/>
  <c r="F17" i="14"/>
  <c r="F33" i="14"/>
  <c r="E17" i="14"/>
  <c r="E31" i="14"/>
  <c r="D17" i="14"/>
  <c r="D33" i="14"/>
  <c r="D36" i="14"/>
  <c r="D38" i="14"/>
  <c r="D40" i="14"/>
  <c r="C17" i="14"/>
  <c r="C31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/>
  <c r="E77" i="13"/>
  <c r="D78" i="13"/>
  <c r="D80" i="13"/>
  <c r="D77" i="13"/>
  <c r="C78" i="13"/>
  <c r="C80" i="13"/>
  <c r="C77" i="13"/>
  <c r="E75" i="13"/>
  <c r="C75" i="13"/>
  <c r="E73" i="13"/>
  <c r="D73" i="13"/>
  <c r="D75" i="13"/>
  <c r="C73" i="13"/>
  <c r="E71" i="13"/>
  <c r="D71" i="13"/>
  <c r="C71" i="13"/>
  <c r="E66" i="13"/>
  <c r="E65" i="13"/>
  <c r="D66" i="13"/>
  <c r="C66" i="13"/>
  <c r="C65" i="13"/>
  <c r="D65" i="13"/>
  <c r="E60" i="13"/>
  <c r="D60" i="13"/>
  <c r="C60" i="13"/>
  <c r="E58" i="13"/>
  <c r="D58" i="13"/>
  <c r="C58" i="13"/>
  <c r="E55" i="13"/>
  <c r="D55" i="13"/>
  <c r="C55" i="13"/>
  <c r="E54" i="13"/>
  <c r="E50" i="13"/>
  <c r="D54" i="13"/>
  <c r="C54" i="13"/>
  <c r="C50" i="13"/>
  <c r="D50" i="13"/>
  <c r="E48" i="13"/>
  <c r="E42" i="13"/>
  <c r="C48" i="13"/>
  <c r="C42" i="13"/>
  <c r="E46" i="13"/>
  <c r="E59" i="13"/>
  <c r="E61" i="13"/>
  <c r="E57" i="13"/>
  <c r="D46" i="13"/>
  <c r="D59" i="13"/>
  <c r="D61" i="13"/>
  <c r="D57" i="13"/>
  <c r="C46" i="13"/>
  <c r="C59" i="13"/>
  <c r="C61" i="13"/>
  <c r="C57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25" i="13"/>
  <c r="E27" i="13"/>
  <c r="C25" i="13"/>
  <c r="C27" i="13"/>
  <c r="E15" i="13"/>
  <c r="E24" i="13"/>
  <c r="C15" i="13"/>
  <c r="C24" i="13"/>
  <c r="E13" i="13"/>
  <c r="D13" i="13"/>
  <c r="D25" i="13"/>
  <c r="D27" i="13"/>
  <c r="C13" i="13"/>
  <c r="F47" i="12"/>
  <c r="D47" i="12"/>
  <c r="E47" i="12"/>
  <c r="C47" i="12"/>
  <c r="F46" i="12"/>
  <c r="E46" i="12"/>
  <c r="F45" i="12"/>
  <c r="E45" i="12"/>
  <c r="D40" i="12"/>
  <c r="E40" i="12"/>
  <c r="F40" i="12"/>
  <c r="C40" i="12"/>
  <c r="F39" i="12"/>
  <c r="E39" i="12"/>
  <c r="F38" i="12"/>
  <c r="E38" i="12"/>
  <c r="F37" i="12"/>
  <c r="E37" i="12"/>
  <c r="D32" i="12"/>
  <c r="E32" i="12"/>
  <c r="F32" i="12"/>
  <c r="C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19" i="12"/>
  <c r="E19" i="12"/>
  <c r="F18" i="12"/>
  <c r="E18" i="12"/>
  <c r="F16" i="12"/>
  <c r="E16" i="12"/>
  <c r="D15" i="12"/>
  <c r="D17" i="12"/>
  <c r="C15" i="12"/>
  <c r="C17" i="12"/>
  <c r="F14" i="12"/>
  <c r="E14" i="12"/>
  <c r="F13" i="12"/>
  <c r="E13" i="12"/>
  <c r="F12" i="12"/>
  <c r="E12" i="12"/>
  <c r="F11" i="12"/>
  <c r="E11" i="12"/>
  <c r="D73" i="11"/>
  <c r="E73" i="11"/>
  <c r="F73" i="11"/>
  <c r="C73" i="11"/>
  <c r="F72" i="11"/>
  <c r="E72" i="11"/>
  <c r="F71" i="11"/>
  <c r="E71" i="11"/>
  <c r="F70" i="11"/>
  <c r="E70" i="11"/>
  <c r="F67" i="11"/>
  <c r="E67" i="11"/>
  <c r="F64" i="11"/>
  <c r="E64" i="11"/>
  <c r="F63" i="11"/>
  <c r="E63" i="11"/>
  <c r="D61" i="11"/>
  <c r="D65" i="11"/>
  <c r="E65" i="11"/>
  <c r="C61" i="11"/>
  <c r="C65" i="11"/>
  <c r="F60" i="11"/>
  <c r="E60" i="11"/>
  <c r="F59" i="11"/>
  <c r="E59" i="11"/>
  <c r="D56" i="11"/>
  <c r="D75" i="11"/>
  <c r="E75" i="11"/>
  <c r="C56" i="11"/>
  <c r="C75" i="11"/>
  <c r="F55" i="11"/>
  <c r="E55" i="11"/>
  <c r="F54" i="11"/>
  <c r="E54" i="11"/>
  <c r="F53" i="11"/>
  <c r="E53" i="11"/>
  <c r="E52" i="11"/>
  <c r="F52" i="11"/>
  <c r="F51" i="11"/>
  <c r="E51" i="11"/>
  <c r="A51" i="11"/>
  <c r="A52" i="11"/>
  <c r="A53" i="11"/>
  <c r="A54" i="11"/>
  <c r="A55" i="11"/>
  <c r="E50" i="11"/>
  <c r="F50" i="11"/>
  <c r="A50" i="11"/>
  <c r="F49" i="11"/>
  <c r="E49" i="11"/>
  <c r="F40" i="11"/>
  <c r="E40" i="11"/>
  <c r="D38" i="11"/>
  <c r="D41" i="11"/>
  <c r="E41" i="11"/>
  <c r="C38" i="11"/>
  <c r="C41" i="11"/>
  <c r="F37" i="11"/>
  <c r="E37" i="11"/>
  <c r="F36" i="11"/>
  <c r="E36" i="11"/>
  <c r="F33" i="11"/>
  <c r="E33" i="11"/>
  <c r="F32" i="11"/>
  <c r="E32" i="11"/>
  <c r="F31" i="11"/>
  <c r="E31" i="11"/>
  <c r="D29" i="11"/>
  <c r="E29" i="11"/>
  <c r="F29" i="11"/>
  <c r="C29" i="11"/>
  <c r="F28" i="11"/>
  <c r="E28" i="11"/>
  <c r="F27" i="11"/>
  <c r="E27" i="11"/>
  <c r="F26" i="11"/>
  <c r="E26" i="11"/>
  <c r="F25" i="11"/>
  <c r="E25" i="11"/>
  <c r="D22" i="11"/>
  <c r="D43" i="11"/>
  <c r="E43" i="11"/>
  <c r="C22" i="11"/>
  <c r="C43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0" i="10"/>
  <c r="D120" i="10"/>
  <c r="E120" i="10"/>
  <c r="C120" i="10"/>
  <c r="F119" i="10"/>
  <c r="D119" i="10"/>
  <c r="E119" i="10"/>
  <c r="C119" i="10"/>
  <c r="F118" i="10"/>
  <c r="D118" i="10"/>
  <c r="E118" i="10"/>
  <c r="C118" i="10"/>
  <c r="F117" i="10"/>
  <c r="D117" i="10"/>
  <c r="E117" i="10"/>
  <c r="C117" i="10"/>
  <c r="F116" i="10"/>
  <c r="D116" i="10"/>
  <c r="E116" i="10"/>
  <c r="C116" i="10"/>
  <c r="F115" i="10"/>
  <c r="D115" i="10"/>
  <c r="E115" i="10"/>
  <c r="C115" i="10"/>
  <c r="F114" i="10"/>
  <c r="D114" i="10"/>
  <c r="E114" i="10"/>
  <c r="C114" i="10"/>
  <c r="F113" i="10"/>
  <c r="D113" i="10"/>
  <c r="D122" i="10"/>
  <c r="E122" i="10"/>
  <c r="C113" i="10"/>
  <c r="C122" i="10"/>
  <c r="F122" i="10"/>
  <c r="F112" i="10"/>
  <c r="D112" i="10"/>
  <c r="D121" i="10"/>
  <c r="C112" i="10"/>
  <c r="C121" i="10"/>
  <c r="F121" i="10"/>
  <c r="F108" i="10"/>
  <c r="D108" i="10"/>
  <c r="E108" i="10"/>
  <c r="C108" i="10"/>
  <c r="F107" i="10"/>
  <c r="D107" i="10"/>
  <c r="E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/>
  <c r="C96" i="10"/>
  <c r="F95" i="10"/>
  <c r="D95" i="10"/>
  <c r="E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F83" i="10"/>
  <c r="D83" i="10"/>
  <c r="E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/>
  <c r="C72" i="10"/>
  <c r="F71" i="10"/>
  <c r="D71" i="10"/>
  <c r="E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/>
  <c r="C60" i="10"/>
  <c r="F59" i="10"/>
  <c r="D59" i="10"/>
  <c r="E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/>
  <c r="C48" i="10"/>
  <c r="F47" i="10"/>
  <c r="D47" i="10"/>
  <c r="E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F35" i="10"/>
  <c r="D35" i="10"/>
  <c r="E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E24" i="10"/>
  <c r="C24" i="10"/>
  <c r="F23" i="10"/>
  <c r="D23" i="10"/>
  <c r="E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F206" i="9"/>
  <c r="C206" i="9"/>
  <c r="D205" i="9"/>
  <c r="E205" i="9"/>
  <c r="F205" i="9"/>
  <c r="C205" i="9"/>
  <c r="D204" i="9"/>
  <c r="E204" i="9"/>
  <c r="F204" i="9"/>
  <c r="C204" i="9"/>
  <c r="D203" i="9"/>
  <c r="E203" i="9"/>
  <c r="F203" i="9"/>
  <c r="C203" i="9"/>
  <c r="D202" i="9"/>
  <c r="E202" i="9"/>
  <c r="F202" i="9"/>
  <c r="C202" i="9"/>
  <c r="D201" i="9"/>
  <c r="E201" i="9"/>
  <c r="F201" i="9"/>
  <c r="C201" i="9"/>
  <c r="D200" i="9"/>
  <c r="E200" i="9"/>
  <c r="F200" i="9"/>
  <c r="C200" i="9"/>
  <c r="D199" i="9"/>
  <c r="D208" i="9"/>
  <c r="E208" i="9"/>
  <c r="C199" i="9"/>
  <c r="C208" i="9"/>
  <c r="D198" i="9"/>
  <c r="D207" i="9"/>
  <c r="E207" i="9"/>
  <c r="C198" i="9"/>
  <c r="C207" i="9"/>
  <c r="F193" i="9"/>
  <c r="D193" i="9"/>
  <c r="E193" i="9"/>
  <c r="C193" i="9"/>
  <c r="F192" i="9"/>
  <c r="D192" i="9"/>
  <c r="E192" i="9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0" i="9"/>
  <c r="D180" i="9"/>
  <c r="E180" i="9"/>
  <c r="C180" i="9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F166" i="9"/>
  <c r="D166" i="9"/>
  <c r="E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E154" i="9"/>
  <c r="F154" i="9"/>
  <c r="C154" i="9"/>
  <c r="D153" i="9"/>
  <c r="E153" i="9"/>
  <c r="F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F141" i="9"/>
  <c r="D141" i="9"/>
  <c r="E141" i="9"/>
  <c r="C141" i="9"/>
  <c r="F140" i="9"/>
  <c r="D140" i="9"/>
  <c r="E140" i="9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/>
  <c r="F128" i="9"/>
  <c r="C128" i="9"/>
  <c r="D127" i="9"/>
  <c r="E127" i="9"/>
  <c r="F127" i="9"/>
  <c r="C127" i="9"/>
  <c r="F126" i="9"/>
  <c r="E126" i="9"/>
  <c r="F125" i="9"/>
  <c r="E125" i="9"/>
  <c r="F124" i="9"/>
  <c r="E124" i="9"/>
  <c r="F123" i="9"/>
  <c r="E123" i="9"/>
  <c r="F122" i="9"/>
  <c r="E122" i="9"/>
  <c r="F121" i="9"/>
  <c r="E121" i="9"/>
  <c r="F120" i="9"/>
  <c r="E120" i="9"/>
  <c r="F119" i="9"/>
  <c r="E119" i="9"/>
  <c r="F118" i="9"/>
  <c r="E118" i="9"/>
  <c r="D115" i="9"/>
  <c r="E115" i="9"/>
  <c r="F115" i="9"/>
  <c r="C115" i="9"/>
  <c r="D114" i="9"/>
  <c r="E114" i="9"/>
  <c r="F114" i="9"/>
  <c r="C114" i="9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F102" i="9"/>
  <c r="D102" i="9"/>
  <c r="E102" i="9"/>
  <c r="C102" i="9"/>
  <c r="F101" i="9"/>
  <c r="D101" i="9"/>
  <c r="E101" i="9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F89" i="9"/>
  <c r="D89" i="9"/>
  <c r="E89" i="9"/>
  <c r="C89" i="9"/>
  <c r="F88" i="9"/>
  <c r="D88" i="9"/>
  <c r="E88" i="9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/>
  <c r="F76" i="9"/>
  <c r="C76" i="9"/>
  <c r="D75" i="9"/>
  <c r="E75" i="9"/>
  <c r="F75" i="9"/>
  <c r="C75" i="9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F63" i="9"/>
  <c r="D63" i="9"/>
  <c r="E63" i="9"/>
  <c r="C63" i="9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F50" i="9"/>
  <c r="C50" i="9"/>
  <c r="D49" i="9"/>
  <c r="E49" i="9"/>
  <c r="F49" i="9"/>
  <c r="C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7" i="9"/>
  <c r="D37" i="9"/>
  <c r="E37" i="9"/>
  <c r="C37" i="9"/>
  <c r="D36" i="9"/>
  <c r="E36" i="9"/>
  <c r="F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F24" i="9"/>
  <c r="C24" i="9"/>
  <c r="D23" i="9"/>
  <c r="E23" i="9"/>
  <c r="F23" i="9"/>
  <c r="C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E191" i="8"/>
  <c r="D191" i="8"/>
  <c r="C191" i="8"/>
  <c r="E176" i="8"/>
  <c r="D176" i="8"/>
  <c r="C176" i="8"/>
  <c r="E164" i="8"/>
  <c r="D164" i="8"/>
  <c r="D160" i="8"/>
  <c r="D166" i="8"/>
  <c r="C164" i="8"/>
  <c r="E162" i="8"/>
  <c r="D162" i="8"/>
  <c r="C162" i="8"/>
  <c r="E161" i="8"/>
  <c r="D161" i="8"/>
  <c r="C161" i="8"/>
  <c r="E160" i="8"/>
  <c r="E166" i="8"/>
  <c r="C160" i="8"/>
  <c r="C166" i="8"/>
  <c r="E147" i="8"/>
  <c r="D147" i="8"/>
  <c r="D143" i="8"/>
  <c r="D149" i="8"/>
  <c r="C147" i="8"/>
  <c r="E145" i="8"/>
  <c r="D145" i="8"/>
  <c r="C145" i="8"/>
  <c r="E144" i="8"/>
  <c r="D144" i="8"/>
  <c r="C144" i="8"/>
  <c r="E143" i="8"/>
  <c r="E149" i="8"/>
  <c r="C143" i="8"/>
  <c r="C149" i="8"/>
  <c r="D139" i="8"/>
  <c r="E138" i="8"/>
  <c r="C138" i="8"/>
  <c r="D137" i="8"/>
  <c r="E136" i="8"/>
  <c r="D135" i="8"/>
  <c r="E126" i="8"/>
  <c r="D126" i="8"/>
  <c r="C126" i="8"/>
  <c r="E119" i="8"/>
  <c r="D119" i="8"/>
  <c r="C119" i="8"/>
  <c r="E109" i="8"/>
  <c r="E106" i="8"/>
  <c r="E108" i="8"/>
  <c r="D108" i="8"/>
  <c r="C108" i="8"/>
  <c r="E107" i="8"/>
  <c r="D107" i="8"/>
  <c r="D109" i="8"/>
  <c r="C107" i="8"/>
  <c r="C109" i="8"/>
  <c r="C106" i="8"/>
  <c r="D106" i="8"/>
  <c r="E104" i="8"/>
  <c r="C104" i="8"/>
  <c r="E102" i="8"/>
  <c r="D102" i="8"/>
  <c r="D104" i="8"/>
  <c r="C102" i="8"/>
  <c r="E100" i="8"/>
  <c r="D100" i="8"/>
  <c r="C100" i="8"/>
  <c r="E95" i="8"/>
  <c r="E94" i="8"/>
  <c r="D95" i="8"/>
  <c r="C95" i="8"/>
  <c r="C94" i="8"/>
  <c r="D94" i="8"/>
  <c r="E90" i="8"/>
  <c r="E89" i="8"/>
  <c r="D89" i="8"/>
  <c r="C89" i="8"/>
  <c r="E88" i="8"/>
  <c r="C88" i="8"/>
  <c r="C90" i="8"/>
  <c r="C86" i="8"/>
  <c r="E87" i="8"/>
  <c r="D87" i="8"/>
  <c r="C87" i="8"/>
  <c r="E86" i="8"/>
  <c r="E84" i="8"/>
  <c r="D84" i="8"/>
  <c r="C84" i="8"/>
  <c r="E83" i="8"/>
  <c r="E79" i="8"/>
  <c r="D83" i="8"/>
  <c r="C83" i="8"/>
  <c r="C79" i="8"/>
  <c r="D79" i="8"/>
  <c r="E77" i="8"/>
  <c r="C77" i="8"/>
  <c r="E75" i="8"/>
  <c r="D75" i="8"/>
  <c r="C75" i="8"/>
  <c r="E74" i="8"/>
  <c r="D74" i="8"/>
  <c r="C74" i="8"/>
  <c r="E67" i="8"/>
  <c r="D67" i="8"/>
  <c r="C67" i="8"/>
  <c r="D53" i="8"/>
  <c r="D43" i="8"/>
  <c r="E38" i="8"/>
  <c r="D38" i="8"/>
  <c r="D57" i="8"/>
  <c r="D62" i="8"/>
  <c r="C38" i="8"/>
  <c r="E33" i="8"/>
  <c r="E34" i="8"/>
  <c r="D33" i="8"/>
  <c r="D34" i="8"/>
  <c r="C27" i="8"/>
  <c r="C21" i="8"/>
  <c r="E26" i="8"/>
  <c r="D26" i="8"/>
  <c r="C26" i="8"/>
  <c r="E25" i="8"/>
  <c r="E27" i="8"/>
  <c r="C25" i="8"/>
  <c r="E15" i="8"/>
  <c r="C15" i="8"/>
  <c r="E13" i="8"/>
  <c r="D13" i="8"/>
  <c r="C13" i="8"/>
  <c r="F186" i="7"/>
  <c r="E186" i="7"/>
  <c r="D183" i="7"/>
  <c r="D188" i="7"/>
  <c r="E188" i="7"/>
  <c r="C183" i="7"/>
  <c r="C188" i="7"/>
  <c r="F182" i="7"/>
  <c r="E182" i="7"/>
  <c r="F181" i="7"/>
  <c r="E181" i="7"/>
  <c r="F180" i="7"/>
  <c r="E180" i="7"/>
  <c r="F179" i="7"/>
  <c r="E179" i="7"/>
  <c r="E178" i="7"/>
  <c r="F178" i="7"/>
  <c r="E177" i="7"/>
  <c r="F177" i="7"/>
  <c r="E176" i="7"/>
  <c r="F176" i="7"/>
  <c r="E175" i="7"/>
  <c r="F175" i="7"/>
  <c r="E174" i="7"/>
  <c r="F174" i="7"/>
  <c r="E173" i="7"/>
  <c r="F173" i="7"/>
  <c r="F172" i="7"/>
  <c r="E172" i="7"/>
  <c r="E171" i="7"/>
  <c r="F171" i="7"/>
  <c r="E170" i="7"/>
  <c r="F170" i="7"/>
  <c r="D167" i="7"/>
  <c r="E167" i="7"/>
  <c r="C167" i="7"/>
  <c r="E166" i="7"/>
  <c r="F166" i="7"/>
  <c r="F165" i="7"/>
  <c r="E165" i="7"/>
  <c r="E164" i="7"/>
  <c r="F164" i="7"/>
  <c r="E163" i="7"/>
  <c r="F163" i="7"/>
  <c r="F162" i="7"/>
  <c r="E162" i="7"/>
  <c r="E161" i="7"/>
  <c r="F161" i="7"/>
  <c r="E160" i="7"/>
  <c r="F160" i="7"/>
  <c r="F159" i="7"/>
  <c r="E159" i="7"/>
  <c r="F158" i="7"/>
  <c r="E158" i="7"/>
  <c r="E157" i="7"/>
  <c r="F157" i="7"/>
  <c r="E156" i="7"/>
  <c r="F156" i="7"/>
  <c r="E155" i="7"/>
  <c r="F155" i="7"/>
  <c r="E154" i="7"/>
  <c r="F154" i="7"/>
  <c r="F153" i="7"/>
  <c r="E153" i="7"/>
  <c r="E152" i="7"/>
  <c r="F152" i="7"/>
  <c r="E151" i="7"/>
  <c r="F151" i="7"/>
  <c r="E150" i="7"/>
  <c r="F150" i="7"/>
  <c r="F149" i="7"/>
  <c r="E149" i="7"/>
  <c r="F148" i="7"/>
  <c r="E148" i="7"/>
  <c r="F147" i="7"/>
  <c r="E147" i="7"/>
  <c r="E146" i="7"/>
  <c r="F146" i="7"/>
  <c r="F145" i="7"/>
  <c r="E145" i="7"/>
  <c r="E144" i="7"/>
  <c r="F144" i="7"/>
  <c r="E143" i="7"/>
  <c r="F143" i="7"/>
  <c r="E142" i="7"/>
  <c r="F142" i="7"/>
  <c r="E141" i="7"/>
  <c r="F141" i="7"/>
  <c r="E140" i="7"/>
  <c r="F140" i="7"/>
  <c r="E139" i="7"/>
  <c r="F139" i="7"/>
  <c r="E138" i="7"/>
  <c r="F138" i="7"/>
  <c r="E137" i="7"/>
  <c r="F137" i="7"/>
  <c r="E136" i="7"/>
  <c r="F136" i="7"/>
  <c r="E135" i="7"/>
  <c r="F135" i="7"/>
  <c r="E134" i="7"/>
  <c r="F134" i="7"/>
  <c r="E133" i="7"/>
  <c r="F133" i="7"/>
  <c r="D130" i="7"/>
  <c r="C130" i="7"/>
  <c r="E129" i="7"/>
  <c r="F129" i="7"/>
  <c r="E128" i="7"/>
  <c r="F128" i="7"/>
  <c r="E127" i="7"/>
  <c r="F127" i="7"/>
  <c r="E126" i="7"/>
  <c r="F126" i="7"/>
  <c r="E125" i="7"/>
  <c r="F125" i="7"/>
  <c r="E124" i="7"/>
  <c r="F124" i="7"/>
  <c r="D121" i="7"/>
  <c r="C121" i="7"/>
  <c r="E120" i="7"/>
  <c r="F120" i="7"/>
  <c r="E119" i="7"/>
  <c r="F119" i="7"/>
  <c r="E118" i="7"/>
  <c r="F118" i="7"/>
  <c r="E117" i="7"/>
  <c r="F117" i="7"/>
  <c r="E116" i="7"/>
  <c r="F116" i="7"/>
  <c r="E115" i="7"/>
  <c r="F115" i="7"/>
  <c r="E114" i="7"/>
  <c r="F114" i="7"/>
  <c r="E113" i="7"/>
  <c r="F113" i="7"/>
  <c r="E112" i="7"/>
  <c r="F112" i="7"/>
  <c r="E111" i="7"/>
  <c r="F111" i="7"/>
  <c r="E110" i="7"/>
  <c r="F110" i="7"/>
  <c r="E109" i="7"/>
  <c r="F109" i="7"/>
  <c r="E108" i="7"/>
  <c r="F108" i="7"/>
  <c r="E107" i="7"/>
  <c r="F107" i="7"/>
  <c r="E106" i="7"/>
  <c r="F106" i="7"/>
  <c r="E105" i="7"/>
  <c r="F105" i="7"/>
  <c r="E104" i="7"/>
  <c r="F104" i="7"/>
  <c r="E103" i="7"/>
  <c r="F103" i="7"/>
  <c r="F93" i="7"/>
  <c r="E93" i="7"/>
  <c r="D90" i="7"/>
  <c r="C90" i="7"/>
  <c r="E89" i="7"/>
  <c r="F89" i="7"/>
  <c r="E88" i="7"/>
  <c r="F88" i="7"/>
  <c r="E87" i="7"/>
  <c r="F87" i="7"/>
  <c r="E86" i="7"/>
  <c r="F86" i="7"/>
  <c r="E85" i="7"/>
  <c r="F85" i="7"/>
  <c r="E84" i="7"/>
  <c r="F84" i="7"/>
  <c r="E83" i="7"/>
  <c r="F83" i="7"/>
  <c r="E82" i="7"/>
  <c r="F82" i="7"/>
  <c r="F81" i="7"/>
  <c r="E81" i="7"/>
  <c r="E80" i="7"/>
  <c r="F80" i="7"/>
  <c r="E79" i="7"/>
  <c r="F79" i="7"/>
  <c r="E78" i="7"/>
  <c r="F78" i="7"/>
  <c r="E77" i="7"/>
  <c r="F77" i="7"/>
  <c r="E76" i="7"/>
  <c r="F76" i="7"/>
  <c r="E75" i="7"/>
  <c r="F75" i="7"/>
  <c r="E74" i="7"/>
  <c r="F74" i="7"/>
  <c r="E73" i="7"/>
  <c r="F73" i="7"/>
  <c r="E72" i="7"/>
  <c r="F72" i="7"/>
  <c r="E71" i="7"/>
  <c r="F71" i="7"/>
  <c r="E70" i="7"/>
  <c r="F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D59" i="7"/>
  <c r="E59" i="7"/>
  <c r="F59" i="7"/>
  <c r="C59" i="7"/>
  <c r="F58" i="7"/>
  <c r="E58" i="7"/>
  <c r="F57" i="7"/>
  <c r="E57" i="7"/>
  <c r="F56" i="7"/>
  <c r="E56" i="7"/>
  <c r="F55" i="7"/>
  <c r="E55" i="7"/>
  <c r="F54" i="7"/>
  <c r="E54" i="7"/>
  <c r="F53" i="7"/>
  <c r="E53" i="7"/>
  <c r="F50" i="7"/>
  <c r="E50" i="7"/>
  <c r="F47" i="7"/>
  <c r="E47" i="7"/>
  <c r="F44" i="7"/>
  <c r="E44" i="7"/>
  <c r="D41" i="7"/>
  <c r="E41" i="7"/>
  <c r="F41" i="7"/>
  <c r="C41" i="7"/>
  <c r="F40" i="7"/>
  <c r="E40" i="7"/>
  <c r="F39" i="7"/>
  <c r="E39" i="7"/>
  <c r="F38" i="7"/>
  <c r="E38" i="7"/>
  <c r="D35" i="7"/>
  <c r="E35" i="7"/>
  <c r="F35" i="7"/>
  <c r="C35" i="7"/>
  <c r="F34" i="7"/>
  <c r="E34" i="7"/>
  <c r="F33" i="7"/>
  <c r="E33" i="7"/>
  <c r="D30" i="7"/>
  <c r="E30" i="7"/>
  <c r="F30" i="7"/>
  <c r="C30" i="7"/>
  <c r="F29" i="7"/>
  <c r="E29" i="7"/>
  <c r="F28" i="7"/>
  <c r="E28" i="7"/>
  <c r="F27" i="7"/>
  <c r="E27" i="7"/>
  <c r="D24" i="7"/>
  <c r="E24" i="7"/>
  <c r="F24" i="7"/>
  <c r="C24" i="7"/>
  <c r="F23" i="7"/>
  <c r="E23" i="7"/>
  <c r="F22" i="7"/>
  <c r="E22" i="7"/>
  <c r="F21" i="7"/>
  <c r="E21" i="7"/>
  <c r="D18" i="7"/>
  <c r="E18" i="7"/>
  <c r="F18" i="7"/>
  <c r="C18" i="7"/>
  <c r="F17" i="7"/>
  <c r="E17" i="7"/>
  <c r="F16" i="7"/>
  <c r="E16" i="7"/>
  <c r="F15" i="7"/>
  <c r="E15" i="7"/>
  <c r="D179" i="6"/>
  <c r="E179" i="6"/>
  <c r="C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D166" i="6"/>
  <c r="E166" i="6"/>
  <c r="F166" i="6"/>
  <c r="C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E153" i="6"/>
  <c r="F153" i="6"/>
  <c r="C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D137" i="6"/>
  <c r="E137" i="6"/>
  <c r="F137" i="6"/>
  <c r="C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E124" i="6"/>
  <c r="F124" i="6"/>
  <c r="C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D111" i="6"/>
  <c r="E111" i="6"/>
  <c r="F111" i="6"/>
  <c r="C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F94" i="6"/>
  <c r="D94" i="6"/>
  <c r="E94" i="6"/>
  <c r="C94" i="6"/>
  <c r="F93" i="6"/>
  <c r="D93" i="6"/>
  <c r="E93" i="6"/>
  <c r="C93" i="6"/>
  <c r="D92" i="6"/>
  <c r="E92" i="6"/>
  <c r="F92" i="6"/>
  <c r="C92" i="6"/>
  <c r="D91" i="6"/>
  <c r="E91" i="6"/>
  <c r="F91" i="6"/>
  <c r="C91" i="6"/>
  <c r="D90" i="6"/>
  <c r="E90" i="6"/>
  <c r="F90" i="6"/>
  <c r="C90" i="6"/>
  <c r="D89" i="6"/>
  <c r="E89" i="6"/>
  <c r="F89" i="6"/>
  <c r="C89" i="6"/>
  <c r="D88" i="6"/>
  <c r="E88" i="6"/>
  <c r="F88" i="6"/>
  <c r="C88" i="6"/>
  <c r="F87" i="6"/>
  <c r="D87" i="6"/>
  <c r="E87" i="6"/>
  <c r="C87" i="6"/>
  <c r="D86" i="6"/>
  <c r="E86" i="6"/>
  <c r="F86" i="6"/>
  <c r="C86" i="6"/>
  <c r="D85" i="6"/>
  <c r="E85" i="6"/>
  <c r="F85" i="6"/>
  <c r="C85" i="6"/>
  <c r="D84" i="6"/>
  <c r="D95" i="6"/>
  <c r="C84" i="6"/>
  <c r="C95" i="6"/>
  <c r="D81" i="6"/>
  <c r="E81" i="6"/>
  <c r="F81" i="6"/>
  <c r="C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D68" i="6"/>
  <c r="E68" i="6"/>
  <c r="F68" i="6"/>
  <c r="C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F51" i="6"/>
  <c r="D51" i="6"/>
  <c r="E51" i="6"/>
  <c r="C51" i="6"/>
  <c r="F50" i="6"/>
  <c r="D50" i="6"/>
  <c r="E50" i="6"/>
  <c r="C50" i="6"/>
  <c r="D49" i="6"/>
  <c r="E49" i="6"/>
  <c r="F49" i="6"/>
  <c r="C49" i="6"/>
  <c r="D48" i="6"/>
  <c r="E48" i="6"/>
  <c r="F48" i="6"/>
  <c r="C48" i="6"/>
  <c r="D47" i="6"/>
  <c r="E47" i="6"/>
  <c r="F47" i="6"/>
  <c r="C47" i="6"/>
  <c r="D46" i="6"/>
  <c r="E46" i="6"/>
  <c r="F46" i="6"/>
  <c r="C46" i="6"/>
  <c r="D45" i="6"/>
  <c r="E45" i="6"/>
  <c r="F45" i="6"/>
  <c r="C45" i="6"/>
  <c r="F44" i="6"/>
  <c r="D44" i="6"/>
  <c r="E44" i="6"/>
  <c r="C44" i="6"/>
  <c r="D43" i="6"/>
  <c r="E43" i="6"/>
  <c r="F43" i="6"/>
  <c r="C43" i="6"/>
  <c r="D42" i="6"/>
  <c r="E42" i="6"/>
  <c r="F42" i="6"/>
  <c r="C42" i="6"/>
  <c r="D41" i="6"/>
  <c r="D52" i="6"/>
  <c r="E52" i="6"/>
  <c r="C41" i="6"/>
  <c r="C52" i="6"/>
  <c r="D38" i="6"/>
  <c r="E38" i="6"/>
  <c r="F38" i="6"/>
  <c r="C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5" i="6"/>
  <c r="E25" i="6"/>
  <c r="F25" i="6"/>
  <c r="C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51" i="5"/>
  <c r="E51" i="5"/>
  <c r="D48" i="5"/>
  <c r="E48" i="5"/>
  <c r="C48" i="5"/>
  <c r="F48" i="5"/>
  <c r="F47" i="5"/>
  <c r="E47" i="5"/>
  <c r="F46" i="5"/>
  <c r="E46" i="5"/>
  <c r="D41" i="5"/>
  <c r="E41" i="5"/>
  <c r="C41" i="5"/>
  <c r="F40" i="5"/>
  <c r="E40" i="5"/>
  <c r="F39" i="5"/>
  <c r="E39" i="5"/>
  <c r="F38" i="5"/>
  <c r="E38" i="5"/>
  <c r="D33" i="5"/>
  <c r="E33" i="5"/>
  <c r="C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E20" i="5"/>
  <c r="F20" i="5"/>
  <c r="F19" i="5"/>
  <c r="E19" i="5"/>
  <c r="F17" i="5"/>
  <c r="E17" i="5"/>
  <c r="D16" i="5"/>
  <c r="D18" i="5"/>
  <c r="C16" i="5"/>
  <c r="F15" i="5"/>
  <c r="E15" i="5"/>
  <c r="F14" i="5"/>
  <c r="E14" i="5"/>
  <c r="F13" i="5"/>
  <c r="E13" i="5"/>
  <c r="F12" i="5"/>
  <c r="E12" i="5"/>
  <c r="D73" i="4"/>
  <c r="E73" i="4"/>
  <c r="C73" i="4"/>
  <c r="F73" i="4"/>
  <c r="F72" i="4"/>
  <c r="E72" i="4"/>
  <c r="F71" i="4"/>
  <c r="E71" i="4"/>
  <c r="F70" i="4"/>
  <c r="E70" i="4"/>
  <c r="F67" i="4"/>
  <c r="E67" i="4"/>
  <c r="F64" i="4"/>
  <c r="E64" i="4"/>
  <c r="F63" i="4"/>
  <c r="E63" i="4"/>
  <c r="D61" i="4"/>
  <c r="D65" i="4"/>
  <c r="C61" i="4"/>
  <c r="C65" i="4"/>
  <c r="F60" i="4"/>
  <c r="E60" i="4"/>
  <c r="F59" i="4"/>
  <c r="E59" i="4"/>
  <c r="D56" i="4"/>
  <c r="D75" i="4"/>
  <c r="C56" i="4"/>
  <c r="C75" i="4"/>
  <c r="F55" i="4"/>
  <c r="E55" i="4"/>
  <c r="F54" i="4"/>
  <c r="E54" i="4"/>
  <c r="F53" i="4"/>
  <c r="E53" i="4"/>
  <c r="E52" i="4"/>
  <c r="F52" i="4"/>
  <c r="F51" i="4"/>
  <c r="E51" i="4"/>
  <c r="A51" i="4"/>
  <c r="A52" i="4"/>
  <c r="A53" i="4"/>
  <c r="A54" i="4"/>
  <c r="A55" i="4"/>
  <c r="E50" i="4"/>
  <c r="F50" i="4"/>
  <c r="A50" i="4"/>
  <c r="F49" i="4"/>
  <c r="E49" i="4"/>
  <c r="F40" i="4"/>
  <c r="E40" i="4"/>
  <c r="D38" i="4"/>
  <c r="D41" i="4"/>
  <c r="C38" i="4"/>
  <c r="C41" i="4"/>
  <c r="F37" i="4"/>
  <c r="E37" i="4"/>
  <c r="F36" i="4"/>
  <c r="E36" i="4"/>
  <c r="F33" i="4"/>
  <c r="E33" i="4"/>
  <c r="F32" i="4"/>
  <c r="E32" i="4"/>
  <c r="F31" i="4"/>
  <c r="E31" i="4"/>
  <c r="D29" i="4"/>
  <c r="E29" i="4"/>
  <c r="F29" i="4"/>
  <c r="C29" i="4"/>
  <c r="F28" i="4"/>
  <c r="E28" i="4"/>
  <c r="F27" i="4"/>
  <c r="E27" i="4"/>
  <c r="F26" i="4"/>
  <c r="E26" i="4"/>
  <c r="F25" i="4"/>
  <c r="E25" i="4"/>
  <c r="D22" i="4"/>
  <c r="D43" i="4"/>
  <c r="C22" i="4"/>
  <c r="C43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C109" i="22"/>
  <c r="C108" i="22"/>
  <c r="E109" i="22"/>
  <c r="E108" i="22"/>
  <c r="C103" i="22"/>
  <c r="D108" i="22"/>
  <c r="D109" i="22"/>
  <c r="D22" i="22"/>
  <c r="C23" i="22"/>
  <c r="E23" i="22"/>
  <c r="C34" i="22"/>
  <c r="E34" i="22"/>
  <c r="C102" i="22"/>
  <c r="E102" i="22"/>
  <c r="E103" i="22"/>
  <c r="D111" i="22"/>
  <c r="C22" i="22"/>
  <c r="E22" i="22"/>
  <c r="D30" i="22"/>
  <c r="D36" i="22"/>
  <c r="D40" i="22"/>
  <c r="D46" i="22"/>
  <c r="F21" i="21"/>
  <c r="E36" i="17"/>
  <c r="E44" i="17"/>
  <c r="F20" i="20"/>
  <c r="C41" i="20"/>
  <c r="F40" i="20"/>
  <c r="D41" i="20"/>
  <c r="E39" i="20"/>
  <c r="E41" i="20"/>
  <c r="E19" i="20"/>
  <c r="F19" i="20"/>
  <c r="E43" i="20"/>
  <c r="C38" i="19"/>
  <c r="C127" i="19"/>
  <c r="C129" i="19"/>
  <c r="C133" i="19"/>
  <c r="E294" i="17"/>
  <c r="E295" i="17"/>
  <c r="E296" i="17"/>
  <c r="E297" i="17"/>
  <c r="E298" i="17"/>
  <c r="E299" i="17"/>
  <c r="C22" i="19"/>
  <c r="C258" i="18"/>
  <c r="C100" i="18"/>
  <c r="C98" i="18"/>
  <c r="C96" i="18"/>
  <c r="C89" i="18"/>
  <c r="C87" i="18"/>
  <c r="C85" i="18"/>
  <c r="C101" i="18"/>
  <c r="C99" i="18"/>
  <c r="C97" i="18"/>
  <c r="C95" i="18"/>
  <c r="C88" i="18"/>
  <c r="C86" i="18"/>
  <c r="C84" i="18"/>
  <c r="C83" i="18"/>
  <c r="E33" i="18"/>
  <c r="D258" i="18"/>
  <c r="D101" i="18"/>
  <c r="E101" i="18"/>
  <c r="D99" i="18"/>
  <c r="D97" i="18"/>
  <c r="E97" i="18"/>
  <c r="D95" i="18"/>
  <c r="D88" i="18"/>
  <c r="E88" i="18"/>
  <c r="D86" i="18"/>
  <c r="D84" i="18"/>
  <c r="D100" i="18"/>
  <c r="E100" i="18"/>
  <c r="D98" i="18"/>
  <c r="E98" i="18"/>
  <c r="D96" i="18"/>
  <c r="D89" i="18"/>
  <c r="E89" i="18"/>
  <c r="D87" i="18"/>
  <c r="E87" i="18"/>
  <c r="D85" i="18"/>
  <c r="E85" i="18"/>
  <c r="D83" i="18"/>
  <c r="E44" i="18"/>
  <c r="D259" i="18"/>
  <c r="E43" i="18"/>
  <c r="C283" i="18"/>
  <c r="E21" i="18"/>
  <c r="D22" i="18"/>
  <c r="E37" i="18"/>
  <c r="C55" i="18"/>
  <c r="E55" i="18"/>
  <c r="D66" i="18"/>
  <c r="E66" i="18"/>
  <c r="E52" i="17"/>
  <c r="E53" i="17"/>
  <c r="F53" i="17"/>
  <c r="E58" i="17"/>
  <c r="E67" i="17"/>
  <c r="F67" i="17"/>
  <c r="F100" i="17"/>
  <c r="E283" i="18"/>
  <c r="C284" i="18"/>
  <c r="E32" i="18"/>
  <c r="E36" i="18"/>
  <c r="C289" i="18"/>
  <c r="E289" i="18"/>
  <c r="C71" i="18"/>
  <c r="C76" i="18"/>
  <c r="C65" i="18"/>
  <c r="C66" i="18"/>
  <c r="C295" i="18"/>
  <c r="E60" i="18"/>
  <c r="E70" i="18"/>
  <c r="D126" i="18"/>
  <c r="D124" i="18"/>
  <c r="D122" i="18"/>
  <c r="D115" i="18"/>
  <c r="D113" i="18"/>
  <c r="D111" i="18"/>
  <c r="D109" i="18"/>
  <c r="D127" i="18"/>
  <c r="D125" i="18"/>
  <c r="D123" i="18"/>
  <c r="D121" i="18"/>
  <c r="D114" i="18"/>
  <c r="D112" i="18"/>
  <c r="D110" i="18"/>
  <c r="D157" i="18"/>
  <c r="E157" i="18"/>
  <c r="E156" i="18"/>
  <c r="C144" i="18"/>
  <c r="E144" i="18"/>
  <c r="D145" i="18"/>
  <c r="E151" i="18"/>
  <c r="D163" i="18"/>
  <c r="E163" i="18"/>
  <c r="C175" i="18"/>
  <c r="E175" i="18"/>
  <c r="D180" i="18"/>
  <c r="C261" i="18"/>
  <c r="C189" i="18"/>
  <c r="E188" i="18"/>
  <c r="D260" i="18"/>
  <c r="E195" i="18"/>
  <c r="D234" i="18"/>
  <c r="D211" i="18"/>
  <c r="D239" i="18"/>
  <c r="E239" i="18"/>
  <c r="D223" i="18"/>
  <c r="E215" i="18"/>
  <c r="D241" i="18"/>
  <c r="E217" i="18"/>
  <c r="E243" i="18"/>
  <c r="E244" i="18"/>
  <c r="E245" i="18"/>
  <c r="D252" i="18"/>
  <c r="D253" i="18"/>
  <c r="E302" i="18"/>
  <c r="C303" i="18"/>
  <c r="C306" i="18"/>
  <c r="C310" i="18"/>
  <c r="E139" i="18"/>
  <c r="E261" i="18"/>
  <c r="E189" i="18"/>
  <c r="C229" i="18"/>
  <c r="E229" i="18"/>
  <c r="C210" i="18"/>
  <c r="E205" i="18"/>
  <c r="C240" i="18"/>
  <c r="E240" i="18"/>
  <c r="C222" i="18"/>
  <c r="C246" i="18"/>
  <c r="E216" i="18"/>
  <c r="C242" i="18"/>
  <c r="E242" i="18"/>
  <c r="E218" i="18"/>
  <c r="C217" i="18"/>
  <c r="C241" i="18"/>
  <c r="C253" i="18"/>
  <c r="D306" i="18"/>
  <c r="D320" i="18"/>
  <c r="E320" i="18"/>
  <c r="E316" i="18"/>
  <c r="E326" i="18"/>
  <c r="D330" i="18"/>
  <c r="E330" i="18"/>
  <c r="E219" i="18"/>
  <c r="E221" i="18"/>
  <c r="D222" i="18"/>
  <c r="C223" i="18"/>
  <c r="C247" i="18"/>
  <c r="C252" i="18"/>
  <c r="C254" i="18"/>
  <c r="E265" i="18"/>
  <c r="E314" i="18"/>
  <c r="E220" i="18"/>
  <c r="E233" i="18"/>
  <c r="E301" i="18"/>
  <c r="E324" i="18"/>
  <c r="C282" i="17"/>
  <c r="C266" i="17"/>
  <c r="E20" i="17"/>
  <c r="F20" i="17"/>
  <c r="E23" i="17"/>
  <c r="F23" i="17"/>
  <c r="E29" i="17"/>
  <c r="F29" i="17"/>
  <c r="D32" i="17"/>
  <c r="C160" i="17"/>
  <c r="C90" i="17"/>
  <c r="E60" i="17"/>
  <c r="F60" i="17"/>
  <c r="D61" i="17"/>
  <c r="E68" i="17"/>
  <c r="F68" i="17"/>
  <c r="E77" i="17"/>
  <c r="E89" i="17"/>
  <c r="F89" i="17"/>
  <c r="E17" i="17"/>
  <c r="F17" i="17"/>
  <c r="C161" i="17"/>
  <c r="C49" i="17"/>
  <c r="C91" i="17"/>
  <c r="E24" i="17"/>
  <c r="F24" i="17"/>
  <c r="C31" i="17"/>
  <c r="E30" i="17"/>
  <c r="F30" i="17"/>
  <c r="D90" i="17"/>
  <c r="E48" i="17"/>
  <c r="F48" i="17"/>
  <c r="C61" i="17"/>
  <c r="D21" i="17"/>
  <c r="F36" i="17"/>
  <c r="F44" i="17"/>
  <c r="F52" i="17"/>
  <c r="F58" i="17"/>
  <c r="E88" i="17"/>
  <c r="F88" i="17"/>
  <c r="D102" i="17"/>
  <c r="D111" i="17"/>
  <c r="E111" i="17"/>
  <c r="F111" i="17"/>
  <c r="D192" i="17"/>
  <c r="D193" i="17"/>
  <c r="E123" i="17"/>
  <c r="F123" i="17"/>
  <c r="D124" i="17"/>
  <c r="D125" i="17"/>
  <c r="D137" i="17"/>
  <c r="D146" i="17"/>
  <c r="E146" i="17"/>
  <c r="F146" i="17"/>
  <c r="D159" i="17"/>
  <c r="E159" i="17"/>
  <c r="D172" i="17"/>
  <c r="D181" i="17"/>
  <c r="E181" i="17"/>
  <c r="C287" i="17"/>
  <c r="C284" i="17"/>
  <c r="C279" i="17"/>
  <c r="D278" i="17"/>
  <c r="D262" i="17"/>
  <c r="D215" i="17"/>
  <c r="E189" i="17"/>
  <c r="F189" i="17"/>
  <c r="C281" i="17"/>
  <c r="E227" i="17"/>
  <c r="F227" i="17"/>
  <c r="E239" i="17"/>
  <c r="F239" i="17"/>
  <c r="E35" i="17"/>
  <c r="F35" i="17"/>
  <c r="C37" i="17"/>
  <c r="E47" i="17"/>
  <c r="F47" i="17"/>
  <c r="E59" i="17"/>
  <c r="F59" i="17"/>
  <c r="E66" i="17"/>
  <c r="F66" i="17"/>
  <c r="E76" i="17"/>
  <c r="F76" i="17"/>
  <c r="C194" i="17"/>
  <c r="C195" i="17"/>
  <c r="C207" i="17"/>
  <c r="C138" i="17"/>
  <c r="F172" i="17"/>
  <c r="D277" i="17"/>
  <c r="D261" i="17"/>
  <c r="D214" i="17"/>
  <c r="D206" i="17"/>
  <c r="E206" i="17"/>
  <c r="E188" i="17"/>
  <c r="F188" i="17"/>
  <c r="C288" i="17"/>
  <c r="D280" i="17"/>
  <c r="D264" i="17"/>
  <c r="D200" i="17"/>
  <c r="E191" i="17"/>
  <c r="F191" i="17"/>
  <c r="C124" i="17"/>
  <c r="C190" i="17"/>
  <c r="E190" i="17"/>
  <c r="C192" i="17"/>
  <c r="C199" i="17"/>
  <c r="C200" i="17"/>
  <c r="C286" i="17"/>
  <c r="C205" i="17"/>
  <c r="C206" i="17"/>
  <c r="C214" i="17"/>
  <c r="C304" i="17"/>
  <c r="C215" i="17"/>
  <c r="E226" i="17"/>
  <c r="F226" i="17"/>
  <c r="E237" i="17"/>
  <c r="F237" i="17"/>
  <c r="E250" i="17"/>
  <c r="F250" i="17"/>
  <c r="C254" i="17"/>
  <c r="C255" i="17"/>
  <c r="C261" i="17"/>
  <c r="C262" i="17"/>
  <c r="C264" i="17"/>
  <c r="C267" i="17"/>
  <c r="C269" i="17"/>
  <c r="C274" i="17"/>
  <c r="D290" i="17"/>
  <c r="E290" i="17"/>
  <c r="F290" i="17"/>
  <c r="D274" i="17"/>
  <c r="E274" i="17"/>
  <c r="D199" i="17"/>
  <c r="E199" i="17"/>
  <c r="D283" i="17"/>
  <c r="D267" i="17"/>
  <c r="D285" i="17"/>
  <c r="E285" i="17"/>
  <c r="F285" i="17"/>
  <c r="D269" i="17"/>
  <c r="E269" i="17"/>
  <c r="D205" i="17"/>
  <c r="E205" i="17"/>
  <c r="F294" i="17"/>
  <c r="F295" i="17"/>
  <c r="F296" i="17"/>
  <c r="F297" i="17"/>
  <c r="F298" i="17"/>
  <c r="F299" i="17"/>
  <c r="F107" i="15"/>
  <c r="F36" i="14"/>
  <c r="F38" i="14"/>
  <c r="F40" i="14"/>
  <c r="I31" i="14"/>
  <c r="I17" i="14"/>
  <c r="D31" i="14"/>
  <c r="F31" i="14"/>
  <c r="H31" i="14"/>
  <c r="C33" i="14"/>
  <c r="C36" i="14"/>
  <c r="C38" i="14"/>
  <c r="C40" i="14"/>
  <c r="E33" i="14"/>
  <c r="E36" i="14"/>
  <c r="E38" i="14"/>
  <c r="E40" i="14"/>
  <c r="G33" i="14"/>
  <c r="H17" i="14"/>
  <c r="E20" i="13"/>
  <c r="E21" i="13"/>
  <c r="C69" i="13"/>
  <c r="D21" i="13"/>
  <c r="C22" i="13"/>
  <c r="C20" i="13"/>
  <c r="C21" i="13"/>
  <c r="D15" i="13"/>
  <c r="C17" i="13"/>
  <c r="C28" i="13"/>
  <c r="C70" i="13"/>
  <c r="C72" i="13"/>
  <c r="E17" i="13"/>
  <c r="E28" i="13"/>
  <c r="E70" i="13"/>
  <c r="E72" i="13"/>
  <c r="E69" i="13"/>
  <c r="D48" i="13"/>
  <c r="D42" i="13"/>
  <c r="D20" i="12"/>
  <c r="E17" i="12"/>
  <c r="F17" i="12"/>
  <c r="C20" i="12"/>
  <c r="E15" i="12"/>
  <c r="F15" i="12"/>
  <c r="F43" i="11"/>
  <c r="F41" i="11"/>
  <c r="F75" i="11"/>
  <c r="F65" i="11"/>
  <c r="E22" i="11"/>
  <c r="F22" i="11"/>
  <c r="E38" i="11"/>
  <c r="F38" i="11"/>
  <c r="E56" i="11"/>
  <c r="F56" i="11"/>
  <c r="E61" i="11"/>
  <c r="F61" i="11"/>
  <c r="E121" i="10"/>
  <c r="E112" i="10"/>
  <c r="E113" i="10"/>
  <c r="F207" i="9"/>
  <c r="F208" i="9"/>
  <c r="E198" i="9"/>
  <c r="F198" i="9"/>
  <c r="E199" i="9"/>
  <c r="F199" i="9"/>
  <c r="E21" i="8"/>
  <c r="D25" i="8"/>
  <c r="D27" i="8"/>
  <c r="D15" i="8"/>
  <c r="C24" i="8"/>
  <c r="C17" i="8"/>
  <c r="C53" i="8"/>
  <c r="C43" i="8"/>
  <c r="E53" i="8"/>
  <c r="E43" i="8"/>
  <c r="C49" i="8"/>
  <c r="E57" i="8"/>
  <c r="E62" i="8"/>
  <c r="D88" i="8"/>
  <c r="D90" i="8"/>
  <c r="D86" i="8"/>
  <c r="D77" i="8"/>
  <c r="D71" i="8"/>
  <c r="C71" i="8"/>
  <c r="C139" i="8"/>
  <c r="C137" i="8"/>
  <c r="C135" i="8"/>
  <c r="E156" i="8"/>
  <c r="E154" i="8"/>
  <c r="E152" i="8"/>
  <c r="E157" i="8"/>
  <c r="E155" i="8"/>
  <c r="E153" i="8"/>
  <c r="D157" i="8"/>
  <c r="D155" i="8"/>
  <c r="D153" i="8"/>
  <c r="D156" i="8"/>
  <c r="D154" i="8"/>
  <c r="D152" i="8"/>
  <c r="D158" i="8"/>
  <c r="E24" i="8"/>
  <c r="E20" i="8"/>
  <c r="E17" i="8"/>
  <c r="C20" i="8"/>
  <c r="E49" i="8"/>
  <c r="C57" i="8"/>
  <c r="C62" i="8"/>
  <c r="E71" i="8"/>
  <c r="C136" i="8"/>
  <c r="C140" i="8"/>
  <c r="E139" i="8"/>
  <c r="E137" i="8"/>
  <c r="E135" i="8"/>
  <c r="E141" i="8"/>
  <c r="E140" i="8"/>
  <c r="D140" i="8"/>
  <c r="D138" i="8"/>
  <c r="D136" i="8"/>
  <c r="D141" i="8"/>
  <c r="C156" i="8"/>
  <c r="C154" i="8"/>
  <c r="C152" i="8"/>
  <c r="C157" i="8"/>
  <c r="C155" i="8"/>
  <c r="C153" i="8"/>
  <c r="D49" i="8"/>
  <c r="D95" i="7"/>
  <c r="E95" i="7"/>
  <c r="F167" i="7"/>
  <c r="F188" i="7"/>
  <c r="E90" i="7"/>
  <c r="F90" i="7"/>
  <c r="C95" i="7"/>
  <c r="E121" i="7"/>
  <c r="F121" i="7"/>
  <c r="E130" i="7"/>
  <c r="F130" i="7"/>
  <c r="E183" i="7"/>
  <c r="F183" i="7"/>
  <c r="F52" i="6"/>
  <c r="E95" i="6"/>
  <c r="F179" i="6"/>
  <c r="F95" i="6"/>
  <c r="E41" i="6"/>
  <c r="F41" i="6"/>
  <c r="E84" i="6"/>
  <c r="F84" i="6"/>
  <c r="D21" i="5"/>
  <c r="F33" i="5"/>
  <c r="F41" i="5"/>
  <c r="E16" i="5"/>
  <c r="F16" i="5"/>
  <c r="C18" i="5"/>
  <c r="E43" i="4"/>
  <c r="F43" i="4"/>
  <c r="E41" i="4"/>
  <c r="F41" i="4"/>
  <c r="E75" i="4"/>
  <c r="F75" i="4"/>
  <c r="E65" i="4"/>
  <c r="F65" i="4"/>
  <c r="E22" i="4"/>
  <c r="F22" i="4"/>
  <c r="E38" i="4"/>
  <c r="F38" i="4"/>
  <c r="E56" i="4"/>
  <c r="F56" i="4"/>
  <c r="E61" i="4"/>
  <c r="F61" i="4"/>
  <c r="E53" i="22"/>
  <c r="E45" i="22"/>
  <c r="E39" i="22"/>
  <c r="E35" i="22"/>
  <c r="E29" i="22"/>
  <c r="E110" i="22"/>
  <c r="C111" i="22"/>
  <c r="C54" i="22"/>
  <c r="C46" i="22"/>
  <c r="C40" i="22"/>
  <c r="C36" i="22"/>
  <c r="C30" i="22"/>
  <c r="D56" i="22"/>
  <c r="D48" i="22"/>
  <c r="D38" i="22"/>
  <c r="D113" i="22"/>
  <c r="C53" i="22"/>
  <c r="C45" i="22"/>
  <c r="C39" i="22"/>
  <c r="C35" i="22"/>
  <c r="C29" i="22"/>
  <c r="C110" i="22"/>
  <c r="E111" i="22"/>
  <c r="E54" i="22"/>
  <c r="E46" i="22"/>
  <c r="E40" i="22"/>
  <c r="E36" i="22"/>
  <c r="E30" i="22"/>
  <c r="D110" i="22"/>
  <c r="D53" i="22"/>
  <c r="D45" i="22"/>
  <c r="D39" i="22"/>
  <c r="D35" i="22"/>
  <c r="D29" i="22"/>
  <c r="F39" i="20"/>
  <c r="F43" i="20"/>
  <c r="E46" i="20"/>
  <c r="F46" i="20"/>
  <c r="F41" i="20"/>
  <c r="E76" i="18"/>
  <c r="C259" i="18"/>
  <c r="C263" i="18"/>
  <c r="C77" i="18"/>
  <c r="E222" i="18"/>
  <c r="D246" i="18"/>
  <c r="E246" i="18"/>
  <c r="E303" i="18"/>
  <c r="D254" i="18"/>
  <c r="E254" i="18"/>
  <c r="E252" i="18"/>
  <c r="E241" i="18"/>
  <c r="D235" i="18"/>
  <c r="E260" i="18"/>
  <c r="D181" i="18"/>
  <c r="D169" i="18"/>
  <c r="C180" i="18"/>
  <c r="E180" i="18"/>
  <c r="C145" i="18"/>
  <c r="E145" i="18"/>
  <c r="C168" i="18"/>
  <c r="E168" i="18"/>
  <c r="D129" i="18"/>
  <c r="D128" i="18"/>
  <c r="D295" i="18"/>
  <c r="E295" i="18"/>
  <c r="C294" i="18"/>
  <c r="E294" i="18"/>
  <c r="E65" i="18"/>
  <c r="D284" i="18"/>
  <c r="E284" i="18"/>
  <c r="E22" i="18"/>
  <c r="D263" i="18"/>
  <c r="E263" i="18"/>
  <c r="E259" i="18"/>
  <c r="E83" i="18"/>
  <c r="E96" i="18"/>
  <c r="D102" i="18"/>
  <c r="E102" i="18"/>
  <c r="E86" i="18"/>
  <c r="D103" i="18"/>
  <c r="E103" i="18"/>
  <c r="E95" i="18"/>
  <c r="E99" i="18"/>
  <c r="E258" i="18"/>
  <c r="D264" i="18"/>
  <c r="C90" i="18"/>
  <c r="C102" i="18"/>
  <c r="E306" i="18"/>
  <c r="D310" i="18"/>
  <c r="E310" i="18"/>
  <c r="C234" i="18"/>
  <c r="C211" i="18"/>
  <c r="C235" i="18"/>
  <c r="E253" i="18"/>
  <c r="D247" i="18"/>
  <c r="E247" i="18"/>
  <c r="E223" i="18"/>
  <c r="E210" i="18"/>
  <c r="E234" i="18"/>
  <c r="D116" i="18"/>
  <c r="E71" i="18"/>
  <c r="D90" i="18"/>
  <c r="E90" i="18"/>
  <c r="E84" i="18"/>
  <c r="C91" i="18"/>
  <c r="C105" i="18"/>
  <c r="C103" i="18"/>
  <c r="C264" i="18"/>
  <c r="C266" i="18"/>
  <c r="C267" i="18"/>
  <c r="F267" i="17"/>
  <c r="C270" i="17"/>
  <c r="D270" i="17"/>
  <c r="E270" i="17"/>
  <c r="E267" i="17"/>
  <c r="F269" i="17"/>
  <c r="C300" i="17"/>
  <c r="C265" i="17"/>
  <c r="C271" i="17"/>
  <c r="C268" i="17"/>
  <c r="C263" i="17"/>
  <c r="F206" i="17"/>
  <c r="F199" i="17"/>
  <c r="D194" i="17"/>
  <c r="E193" i="17"/>
  <c r="F193" i="17"/>
  <c r="D300" i="17"/>
  <c r="E300" i="17"/>
  <c r="E264" i="17"/>
  <c r="F264" i="17"/>
  <c r="D254" i="17"/>
  <c r="D216" i="17"/>
  <c r="E214" i="17"/>
  <c r="F214" i="17"/>
  <c r="D287" i="17"/>
  <c r="D284" i="17"/>
  <c r="E284" i="17"/>
  <c r="D279" i="17"/>
  <c r="E279" i="17"/>
  <c r="E277" i="17"/>
  <c r="F277" i="17"/>
  <c r="C208" i="17"/>
  <c r="D255" i="17"/>
  <c r="E255" i="17"/>
  <c r="F255" i="17"/>
  <c r="E215" i="17"/>
  <c r="F215" i="17"/>
  <c r="D288" i="17"/>
  <c r="E288" i="17"/>
  <c r="F288" i="17"/>
  <c r="E278" i="17"/>
  <c r="F278" i="17"/>
  <c r="C291" i="17"/>
  <c r="C289" i="17"/>
  <c r="E172" i="17"/>
  <c r="D173" i="17"/>
  <c r="E173" i="17"/>
  <c r="E124" i="17"/>
  <c r="F124" i="17"/>
  <c r="E192" i="17"/>
  <c r="F192" i="17"/>
  <c r="E102" i="17"/>
  <c r="F102" i="17"/>
  <c r="D103" i="17"/>
  <c r="E103" i="17"/>
  <c r="F103" i="17"/>
  <c r="D266" i="17"/>
  <c r="E266" i="17"/>
  <c r="F266" i="17"/>
  <c r="C209" i="17"/>
  <c r="C174" i="17"/>
  <c r="C139" i="17"/>
  <c r="C104" i="17"/>
  <c r="D160" i="17"/>
  <c r="E160" i="17"/>
  <c r="E90" i="17"/>
  <c r="E37" i="17"/>
  <c r="F37" i="17"/>
  <c r="C50" i="17"/>
  <c r="C162" i="17"/>
  <c r="E61" i="17"/>
  <c r="F61" i="17"/>
  <c r="D174" i="17"/>
  <c r="D104" i="17"/>
  <c r="C125" i="17"/>
  <c r="E125" i="17"/>
  <c r="D175" i="17"/>
  <c r="D105" i="17"/>
  <c r="D62" i="17"/>
  <c r="E283" i="17"/>
  <c r="F283" i="17"/>
  <c r="D286" i="17"/>
  <c r="E286" i="17"/>
  <c r="F286" i="17"/>
  <c r="F274" i="17"/>
  <c r="C272" i="17"/>
  <c r="C216" i="17"/>
  <c r="F205" i="17"/>
  <c r="F190" i="17"/>
  <c r="E200" i="17"/>
  <c r="F200" i="17"/>
  <c r="E280" i="17"/>
  <c r="F280" i="17"/>
  <c r="D271" i="17"/>
  <c r="D268" i="17"/>
  <c r="E268" i="17"/>
  <c r="D263" i="17"/>
  <c r="E263" i="17"/>
  <c r="E261" i="17"/>
  <c r="F261" i="17"/>
  <c r="D272" i="17"/>
  <c r="E262" i="17"/>
  <c r="F262" i="17"/>
  <c r="F279" i="17"/>
  <c r="F284" i="17"/>
  <c r="D207" i="17"/>
  <c r="E137" i="17"/>
  <c r="F137" i="17"/>
  <c r="D138" i="17"/>
  <c r="E138" i="17"/>
  <c r="F138" i="17"/>
  <c r="D196" i="17"/>
  <c r="D91" i="17"/>
  <c r="D161" i="17"/>
  <c r="D126" i="17"/>
  <c r="D49" i="17"/>
  <c r="E21" i="17"/>
  <c r="F21" i="17"/>
  <c r="D282" i="17"/>
  <c r="E282" i="17"/>
  <c r="F282" i="17"/>
  <c r="C32" i="17"/>
  <c r="C92" i="17"/>
  <c r="C126" i="17"/>
  <c r="C196" i="17"/>
  <c r="F90" i="17"/>
  <c r="F160" i="17"/>
  <c r="E31" i="17"/>
  <c r="F31" i="17"/>
  <c r="G36" i="14"/>
  <c r="G38" i="14"/>
  <c r="G40" i="14"/>
  <c r="I33" i="14"/>
  <c r="I36" i="14"/>
  <c r="I38" i="14"/>
  <c r="I40" i="14"/>
  <c r="H33" i="14"/>
  <c r="H36" i="14"/>
  <c r="H38" i="14"/>
  <c r="H40" i="14"/>
  <c r="D24" i="13"/>
  <c r="D20" i="13"/>
  <c r="D17" i="13"/>
  <c r="D28" i="13"/>
  <c r="E22" i="13"/>
  <c r="D34" i="12"/>
  <c r="E20" i="12"/>
  <c r="F20" i="12"/>
  <c r="C34" i="12"/>
  <c r="E28" i="8"/>
  <c r="E112" i="8"/>
  <c r="E111" i="8"/>
  <c r="C141" i="8"/>
  <c r="C28" i="8"/>
  <c r="C112" i="8"/>
  <c r="C111" i="8"/>
  <c r="D24" i="8"/>
  <c r="D20" i="8"/>
  <c r="D17" i="8"/>
  <c r="C158" i="8"/>
  <c r="E158" i="8"/>
  <c r="D21" i="8"/>
  <c r="F95" i="7"/>
  <c r="D35" i="5"/>
  <c r="C21" i="5"/>
  <c r="E18" i="5"/>
  <c r="F18" i="5"/>
  <c r="D112" i="22"/>
  <c r="D55" i="22"/>
  <c r="D47" i="22"/>
  <c r="D37" i="22"/>
  <c r="E113" i="22"/>
  <c r="E56" i="22"/>
  <c r="E48" i="22"/>
  <c r="E38" i="22"/>
  <c r="C113" i="22"/>
  <c r="C56" i="22"/>
  <c r="C48" i="22"/>
  <c r="C38" i="22"/>
  <c r="C55" i="22"/>
  <c r="C47" i="22"/>
  <c r="C37" i="22"/>
  <c r="C112" i="22"/>
  <c r="E55" i="22"/>
  <c r="E47" i="22"/>
  <c r="E37" i="22"/>
  <c r="E112" i="22"/>
  <c r="C269" i="18"/>
  <c r="C268" i="18"/>
  <c r="D140" i="17"/>
  <c r="E140" i="17"/>
  <c r="D139" i="17"/>
  <c r="E139" i="17"/>
  <c r="E264" i="18"/>
  <c r="D266" i="18"/>
  <c r="E235" i="18"/>
  <c r="D91" i="18"/>
  <c r="D117" i="18"/>
  <c r="C169" i="18"/>
  <c r="C181" i="18"/>
  <c r="E169" i="18"/>
  <c r="E181" i="18"/>
  <c r="E211" i="18"/>
  <c r="C127" i="18"/>
  <c r="E127" i="18"/>
  <c r="C125" i="18"/>
  <c r="E125" i="18"/>
  <c r="C123" i="18"/>
  <c r="E123" i="18"/>
  <c r="C121" i="18"/>
  <c r="C114" i="18"/>
  <c r="E114" i="18"/>
  <c r="C112" i="18"/>
  <c r="E112" i="18"/>
  <c r="C110" i="18"/>
  <c r="C126" i="18"/>
  <c r="E126" i="18"/>
  <c r="C124" i="18"/>
  <c r="E124" i="18"/>
  <c r="C122" i="18"/>
  <c r="C115" i="18"/>
  <c r="E115" i="18"/>
  <c r="C113" i="18"/>
  <c r="E113" i="18"/>
  <c r="C111" i="18"/>
  <c r="E111" i="18"/>
  <c r="C109" i="18"/>
  <c r="E77" i="18"/>
  <c r="E161" i="17"/>
  <c r="F161" i="17"/>
  <c r="D162" i="17"/>
  <c r="E126" i="17"/>
  <c r="F126" i="17"/>
  <c r="D127" i="17"/>
  <c r="D92" i="17"/>
  <c r="E91" i="17"/>
  <c r="F91" i="17"/>
  <c r="D208" i="17"/>
  <c r="E207" i="17"/>
  <c r="F207" i="17"/>
  <c r="E272" i="17"/>
  <c r="F272" i="17"/>
  <c r="D281" i="17"/>
  <c r="E281" i="17"/>
  <c r="F281" i="17"/>
  <c r="D106" i="17"/>
  <c r="D176" i="17"/>
  <c r="E104" i="17"/>
  <c r="E174" i="17"/>
  <c r="F174" i="17"/>
  <c r="F162" i="17"/>
  <c r="F139" i="17"/>
  <c r="C305" i="17"/>
  <c r="E254" i="17"/>
  <c r="F254" i="17"/>
  <c r="D265" i="17"/>
  <c r="E265" i="17"/>
  <c r="F265" i="17"/>
  <c r="F263" i="17"/>
  <c r="C273" i="17"/>
  <c r="F300" i="17"/>
  <c r="F270" i="17"/>
  <c r="C127" i="17"/>
  <c r="C210" i="17"/>
  <c r="C175" i="17"/>
  <c r="C140" i="17"/>
  <c r="C105" i="17"/>
  <c r="C62" i="17"/>
  <c r="E49" i="17"/>
  <c r="F49" i="17"/>
  <c r="D50" i="17"/>
  <c r="D197" i="17"/>
  <c r="E196" i="17"/>
  <c r="F196" i="17"/>
  <c r="D304" i="17"/>
  <c r="D273" i="17"/>
  <c r="E271" i="17"/>
  <c r="F271" i="17"/>
  <c r="E62" i="17"/>
  <c r="D63" i="17"/>
  <c r="D141" i="17"/>
  <c r="E32" i="17"/>
  <c r="F32" i="17"/>
  <c r="F125" i="17"/>
  <c r="F104" i="17"/>
  <c r="E287" i="17"/>
  <c r="F287" i="17"/>
  <c r="D291" i="17"/>
  <c r="D289" i="17"/>
  <c r="E289" i="17"/>
  <c r="F289" i="17"/>
  <c r="E216" i="17"/>
  <c r="F216" i="17"/>
  <c r="E194" i="17"/>
  <c r="F194" i="17"/>
  <c r="D195" i="17"/>
  <c r="E195" i="17"/>
  <c r="F195" i="17"/>
  <c r="F268" i="17"/>
  <c r="D70" i="13"/>
  <c r="D72" i="13"/>
  <c r="D69" i="13"/>
  <c r="D22" i="13"/>
  <c r="D42" i="12"/>
  <c r="E34" i="12"/>
  <c r="F34" i="12"/>
  <c r="C42" i="12"/>
  <c r="C99" i="8"/>
  <c r="C101" i="8"/>
  <c r="C98" i="8"/>
  <c r="C22" i="8"/>
  <c r="D112" i="8"/>
  <c r="D111" i="8"/>
  <c r="D28" i="8"/>
  <c r="E99" i="8"/>
  <c r="E101" i="8"/>
  <c r="E98" i="8"/>
  <c r="E22" i="8"/>
  <c r="D43" i="5"/>
  <c r="C35" i="5"/>
  <c r="E21" i="5"/>
  <c r="F21" i="5"/>
  <c r="C116" i="18"/>
  <c r="E116" i="18"/>
  <c r="E110" i="18"/>
  <c r="E91" i="18"/>
  <c r="D105" i="18"/>
  <c r="E105" i="18"/>
  <c r="E266" i="18"/>
  <c r="D267" i="18"/>
  <c r="C271" i="18"/>
  <c r="E109" i="18"/>
  <c r="C128" i="18"/>
  <c r="E128" i="18"/>
  <c r="E122" i="18"/>
  <c r="C129" i="18"/>
  <c r="E129" i="18"/>
  <c r="E121" i="18"/>
  <c r="D131" i="18"/>
  <c r="E291" i="17"/>
  <c r="F291" i="17"/>
  <c r="D305" i="17"/>
  <c r="C63" i="17"/>
  <c r="F62" i="17"/>
  <c r="D322" i="17"/>
  <c r="E63" i="17"/>
  <c r="E273" i="17"/>
  <c r="E50" i="17"/>
  <c r="F50" i="17"/>
  <c r="D70" i="17"/>
  <c r="C106" i="17"/>
  <c r="E106" i="17"/>
  <c r="C176" i="17"/>
  <c r="E175" i="17"/>
  <c r="F175" i="17"/>
  <c r="E105" i="17"/>
  <c r="F105" i="17"/>
  <c r="E208" i="17"/>
  <c r="F208" i="17"/>
  <c r="D209" i="17"/>
  <c r="E209" i="17"/>
  <c r="F209" i="17"/>
  <c r="D210" i="17"/>
  <c r="D324" i="17"/>
  <c r="D113" i="17"/>
  <c r="E92" i="17"/>
  <c r="F92" i="17"/>
  <c r="D323" i="17"/>
  <c r="E162" i="17"/>
  <c r="D183" i="17"/>
  <c r="E304" i="17"/>
  <c r="F304" i="17"/>
  <c r="C141" i="17"/>
  <c r="E141" i="17"/>
  <c r="F140" i="17"/>
  <c r="C197" i="17"/>
  <c r="F273" i="17"/>
  <c r="C309" i="17"/>
  <c r="E176" i="17"/>
  <c r="E127" i="17"/>
  <c r="F127" i="17"/>
  <c r="D148" i="17"/>
  <c r="D49" i="12"/>
  <c r="E49" i="12"/>
  <c r="E42" i="12"/>
  <c r="F42" i="12"/>
  <c r="C49" i="12"/>
  <c r="D99" i="8"/>
  <c r="D101" i="8"/>
  <c r="D98" i="8"/>
  <c r="D22" i="8"/>
  <c r="D50" i="5"/>
  <c r="C43" i="5"/>
  <c r="E35" i="5"/>
  <c r="F35" i="5"/>
  <c r="C117" i="18"/>
  <c r="D269" i="18"/>
  <c r="E269" i="18"/>
  <c r="E267" i="18"/>
  <c r="D268" i="18"/>
  <c r="C310" i="17"/>
  <c r="C148" i="17"/>
  <c r="E148" i="17"/>
  <c r="D325" i="17"/>
  <c r="F63" i="17"/>
  <c r="C70" i="17"/>
  <c r="D309" i="17"/>
  <c r="E305" i="17"/>
  <c r="F305" i="17"/>
  <c r="C322" i="17"/>
  <c r="C211" i="17"/>
  <c r="F141" i="17"/>
  <c r="D211" i="17"/>
  <c r="E211" i="17"/>
  <c r="E210" i="17"/>
  <c r="F210" i="17"/>
  <c r="F176" i="17"/>
  <c r="C183" i="17"/>
  <c r="F183" i="17"/>
  <c r="C323" i="17"/>
  <c r="F323" i="17"/>
  <c r="F106" i="17"/>
  <c r="C324" i="17"/>
  <c r="C113" i="17"/>
  <c r="E322" i="17"/>
  <c r="E197" i="17"/>
  <c r="F197" i="17"/>
  <c r="F49" i="12"/>
  <c r="C50" i="5"/>
  <c r="E43" i="5"/>
  <c r="F43" i="5"/>
  <c r="D271" i="18"/>
  <c r="E271" i="18"/>
  <c r="E268" i="18"/>
  <c r="C131" i="18"/>
  <c r="E131" i="18"/>
  <c r="E117" i="18"/>
  <c r="C325" i="17"/>
  <c r="E309" i="17"/>
  <c r="F309" i="17"/>
  <c r="D310" i="17"/>
  <c r="E323" i="17"/>
  <c r="F211" i="17"/>
  <c r="E70" i="17"/>
  <c r="F70" i="17"/>
  <c r="E325" i="17"/>
  <c r="E183" i="17"/>
  <c r="C312" i="17"/>
  <c r="F322" i="17"/>
  <c r="E324" i="17"/>
  <c r="F324" i="17"/>
  <c r="F148" i="17"/>
  <c r="E113" i="17"/>
  <c r="F113" i="17"/>
  <c r="F50" i="5"/>
  <c r="E50" i="5"/>
  <c r="C313" i="17"/>
  <c r="D312" i="17"/>
  <c r="E310" i="17"/>
  <c r="F310" i="17"/>
  <c r="F325" i="17"/>
  <c r="E312" i="17"/>
  <c r="F312" i="17"/>
  <c r="D313" i="17"/>
  <c r="C314" i="17"/>
  <c r="C251" i="17"/>
  <c r="C315" i="17"/>
  <c r="C256" i="17"/>
  <c r="C318" i="17"/>
  <c r="D315" i="17"/>
  <c r="E315" i="17"/>
  <c r="F315" i="17"/>
  <c r="D314" i="17"/>
  <c r="E313" i="17"/>
  <c r="F313" i="17"/>
  <c r="D251" i="17"/>
  <c r="E251" i="17"/>
  <c r="F251" i="17"/>
  <c r="D256" i="17"/>
  <c r="C257" i="17"/>
  <c r="D318" i="17"/>
  <c r="E318" i="17"/>
  <c r="E314" i="17"/>
  <c r="F314" i="17"/>
  <c r="F318" i="17"/>
  <c r="D257" i="17"/>
  <c r="E257" i="17"/>
  <c r="F257" i="17"/>
  <c r="E256" i="17"/>
  <c r="F256" i="17"/>
</calcChain>
</file>

<file path=xl/sharedStrings.xml><?xml version="1.0" encoding="utf-8"?>
<sst xmlns="http://schemas.openxmlformats.org/spreadsheetml/2006/main" count="2336" uniqueCount="1009">
  <si>
    <t>THE HOSPITAL OF CENTRAL CONNECTICUT</t>
  </si>
  <si>
    <t>TWELVE MONTHS ACTUAL FILING</t>
  </si>
  <si>
    <t>FISCAL YEAR 2014</t>
  </si>
  <si>
    <t>REPORT 100 - HOSPITAL BALANCE SHEET INFORMATION</t>
  </si>
  <si>
    <t>FY 2013</t>
  </si>
  <si>
    <t>FY 2014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</si>
  <si>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</si>
  <si>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</si>
  <si>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</si>
  <si>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</si>
  <si>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</si>
  <si>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</si>
  <si>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</si>
  <si>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</si>
  <si>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</si>
  <si>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</si>
  <si>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</si>
  <si>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</si>
  <si>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</si>
  <si>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</si>
  <si>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</si>
  <si>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</si>
  <si>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</si>
  <si>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</si>
  <si>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</si>
  <si>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</si>
  <si>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</si>
  <si>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</si>
  <si>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</si>
  <si>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</si>
  <si>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</si>
  <si>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</si>
  <si>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</si>
  <si>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</si>
  <si>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</si>
  <si>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</si>
  <si>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</si>
  <si>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</si>
  <si>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</si>
  <si>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</si>
  <si>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</si>
  <si>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</si>
  <si>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</si>
  <si>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</si>
  <si>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</si>
  <si>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</si>
  <si>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</si>
  <si>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</si>
  <si>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</si>
  <si>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</si>
  <si>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</si>
  <si>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</si>
  <si>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</si>
  <si>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</si>
  <si>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</si>
  <si>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</si>
  <si>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</si>
  <si>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</si>
  <si>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</si>
  <si>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</si>
  <si>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</si>
  <si>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</si>
  <si>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</si>
  <si>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</si>
  <si>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</si>
  <si>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</si>
  <si>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</si>
  <si>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</si>
  <si>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</si>
  <si>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</si>
  <si>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</si>
  <si>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</si>
  <si>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</si>
  <si>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</si>
  <si>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</si>
  <si>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</si>
  <si>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</si>
  <si>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</si>
  <si>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</si>
  <si>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</si>
  <si>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</si>
  <si>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</si>
  <si>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</si>
  <si>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</si>
  <si>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</si>
  <si>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</si>
  <si>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</si>
  <si>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</si>
  <si>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</si>
  <si>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</si>
  <si>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</si>
  <si>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</si>
  <si>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</si>
  <si>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</si>
  <si>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</si>
  <si>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</si>
  <si>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</si>
  <si>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</si>
  <si>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</si>
  <si>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</si>
  <si>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</si>
  <si>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</si>
  <si>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</si>
  <si>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</si>
  <si>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</si>
  <si>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</si>
  <si>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</si>
  <si>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2013                ACTUAL</t>
  </si>
  <si>
    <t>FY 2014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</si>
  <si>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</si>
  <si>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</si>
  <si>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</si>
  <si>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</si>
  <si>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</si>
  <si>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</si>
  <si>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</si>
  <si>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</si>
  <si>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</si>
  <si>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</si>
  <si>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</si>
  <si>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</si>
  <si>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</si>
  <si>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</si>
  <si>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</si>
  <si>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</si>
  <si>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</si>
  <si>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</si>
  <si>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</si>
  <si>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</si>
  <si>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</si>
  <si>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</si>
  <si>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</si>
  <si>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</si>
  <si>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</si>
  <si>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</si>
  <si>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</si>
  <si>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</si>
  <si>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</si>
  <si>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</si>
  <si>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</si>
  <si>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</si>
  <si>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</si>
  <si>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</si>
  <si>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</si>
  <si>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</si>
  <si>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</si>
  <si>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</si>
  <si>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</si>
  <si>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</si>
  <si>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</si>
  <si>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</si>
  <si>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</si>
  <si>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</si>
  <si>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</si>
  <si>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</si>
  <si>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</si>
  <si>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</si>
  <si>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</si>
  <si>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</si>
  <si>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</si>
  <si>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</si>
  <si>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</si>
  <si>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</si>
  <si>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</si>
  <si>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</si>
  <si>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</si>
  <si>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</si>
  <si>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</si>
  <si>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</si>
  <si>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</si>
  <si>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</si>
  <si>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</si>
  <si>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</si>
  <si>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</si>
  <si>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</si>
  <si>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</si>
  <si>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</si>
  <si>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</si>
  <si>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</si>
  <si>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</si>
  <si>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</si>
  <si>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</si>
  <si>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</si>
  <si>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</si>
  <si>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</si>
  <si>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</si>
  <si>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</si>
  <si>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</si>
  <si>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</si>
  <si>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</si>
  <si>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</si>
  <si>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</si>
  <si>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</si>
  <si>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</si>
  <si>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</si>
  <si>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</si>
  <si>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</si>
  <si>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</si>
  <si>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</si>
  <si>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</si>
  <si>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</si>
  <si>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</si>
  <si>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</si>
  <si>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</si>
  <si>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</si>
  <si>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</si>
  <si>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</si>
  <si>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</si>
  <si>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</si>
  <si>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</si>
  <si>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</si>
  <si>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</si>
  <si>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</si>
  <si>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</si>
  <si>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</si>
  <si>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</si>
  <si>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</si>
  <si>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</si>
  <si>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</si>
  <si>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</si>
  <si>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</si>
  <si>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</si>
  <si>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</si>
  <si>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</si>
  <si>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</si>
  <si>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</si>
  <si>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</si>
  <si>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</si>
  <si>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</si>
  <si>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</si>
  <si>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</si>
  <si>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</si>
  <si>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</si>
  <si>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</si>
  <si>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</si>
  <si>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</si>
  <si>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</si>
  <si>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</si>
  <si>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</si>
  <si>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</si>
  <si>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</si>
  <si>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</si>
  <si>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</si>
  <si>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</si>
  <si>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</si>
  <si>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</si>
  <si>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</si>
  <si>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</si>
  <si>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</si>
  <si>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</si>
  <si>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</si>
  <si>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</si>
  <si>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</si>
  <si>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</si>
  <si>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</si>
  <si>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</si>
  <si>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</si>
  <si>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</si>
  <si>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</si>
  <si>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</si>
  <si>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</si>
  <si>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</si>
  <si>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</si>
  <si>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</si>
  <si>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</si>
  <si>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</si>
  <si>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</si>
  <si>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</si>
  <si>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</si>
  <si>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</si>
  <si>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</si>
  <si>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</si>
  <si>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</si>
  <si>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</si>
  <si>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</si>
  <si>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</si>
  <si>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</si>
  <si>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</si>
  <si>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</si>
  <si>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</si>
  <si>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</si>
  <si>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</si>
  <si>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</si>
  <si>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</si>
  <si>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</si>
  <si>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</si>
  <si>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</si>
  <si>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</si>
  <si>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</si>
  <si>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</si>
  <si>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</si>
  <si>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</si>
  <si>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</si>
  <si>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</si>
  <si>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</si>
  <si>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</si>
  <si>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</si>
  <si>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</si>
  <si>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</si>
  <si>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</si>
  <si>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</si>
  <si>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</si>
  <si>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</si>
  <si>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</si>
  <si>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</si>
  <si>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</si>
  <si>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</si>
  <si>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</si>
  <si>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</si>
  <si>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</si>
  <si>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</si>
  <si>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</si>
  <si>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</si>
  <si>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</si>
  <si>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2014</t>
  </si>
  <si>
    <t>REPORT 185 - HOSPITAL FINANCIAL AND STATISTICAL DATA ANALYSIS</t>
  </si>
  <si>
    <t xml:space="preserve">      FY 2012</t>
  </si>
  <si>
    <t xml:space="preserve">      FY 2013</t>
  </si>
  <si>
    <t xml:space="preserve">      FY 2014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</si>
  <si>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</si>
  <si>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</si>
  <si>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</si>
  <si>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</si>
  <si>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</si>
  <si>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</si>
  <si>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</si>
  <si>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</si>
  <si>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</si>
  <si>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</si>
  <si>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</si>
  <si>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</si>
  <si>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</si>
  <si>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</si>
  <si>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</si>
  <si>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</si>
  <si>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</si>
  <si>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</si>
  <si>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</si>
  <si>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</si>
  <si>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</si>
  <si>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</si>
  <si>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</si>
  <si>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</si>
  <si>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</si>
  <si>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</si>
  <si>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</si>
  <si>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</si>
  <si>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</si>
  <si>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</si>
  <si>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</si>
  <si>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</si>
  <si>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</si>
  <si>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</si>
  <si>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</si>
  <si>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</si>
  <si>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</si>
  <si>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</si>
  <si>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</si>
  <si>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</si>
  <si>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</si>
  <si>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</si>
  <si>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</si>
  <si>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</si>
  <si>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</si>
  <si>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</si>
  <si>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</si>
  <si>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</si>
  <si>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</si>
  <si>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</si>
  <si>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</si>
  <si>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</si>
  <si>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</si>
  <si>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</si>
  <si>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</si>
  <si>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</si>
  <si>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</si>
  <si>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</si>
  <si>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</si>
  <si>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</si>
  <si>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</si>
  <si>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</si>
  <si>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</si>
  <si>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</si>
  <si>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</si>
  <si>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</si>
  <si>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</si>
  <si>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</si>
  <si>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</si>
  <si>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</si>
  <si>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</si>
  <si>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</si>
  <si>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</si>
  <si>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</si>
  <si>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</si>
  <si>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</si>
  <si>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</si>
  <si>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</si>
  <si>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</si>
  <si>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</si>
  <si>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</si>
  <si>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</si>
  <si>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</si>
  <si>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</si>
  <si>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</si>
  <si>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</si>
  <si>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</si>
  <si>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</si>
  <si>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</si>
  <si>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</si>
  <si>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</si>
  <si>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</si>
  <si>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</si>
  <si>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</si>
  <si>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</si>
  <si>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</si>
  <si>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</si>
  <si>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</si>
  <si>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</si>
  <si>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</si>
  <si>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</si>
  <si>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</si>
  <si>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</si>
  <si>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</si>
  <si>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</si>
  <si>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</si>
  <si>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</si>
  <si>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</si>
  <si>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</si>
  <si>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</si>
  <si>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</si>
  <si>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</si>
  <si>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</si>
  <si>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</si>
  <si>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</si>
  <si>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</si>
  <si>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</si>
  <si>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2013 ACTUAL</t>
  </si>
  <si>
    <t>FY 2014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</si>
  <si>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</si>
  <si>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</si>
  <si>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</si>
  <si>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</si>
  <si>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</si>
  <si>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</si>
  <si>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</si>
  <si>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</si>
  <si>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</si>
  <si>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</si>
  <si>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</si>
  <si>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</si>
  <si>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</si>
  <si>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</si>
  <si>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</si>
  <si>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</si>
  <si>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</si>
  <si>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</si>
  <si>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</si>
  <si>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</si>
  <si>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</si>
  <si>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</si>
  <si>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</si>
  <si>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</si>
  <si>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</si>
  <si>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</si>
  <si>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</si>
  <si>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</si>
  <si>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</si>
  <si>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</si>
  <si>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</si>
  <si>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</si>
  <si>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</si>
  <si>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</si>
  <si>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</si>
  <si>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</si>
  <si>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2013 ACTUAL     </t>
  </si>
  <si>
    <t xml:space="preserve">      FY 2014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</si>
  <si>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</si>
  <si>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</si>
  <si>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</si>
  <si>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</si>
  <si>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</si>
  <si>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</si>
  <si>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</si>
  <si>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</si>
  <si>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</si>
  <si>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</si>
  <si>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</si>
  <si>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</si>
  <si>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</si>
  <si>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</si>
  <si>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</si>
  <si>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</si>
  <si>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</si>
  <si>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</si>
  <si>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</si>
  <si>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</si>
  <si>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</si>
  <si>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</si>
  <si>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</si>
  <si>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</si>
  <si>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HARTFORD HEALTH CARE CORPORATION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</si>
  <si>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</si>
  <si>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</si>
  <si>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</si>
  <si>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</si>
  <si>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2012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</si>
  <si>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</si>
  <si>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</si>
  <si>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</si>
  <si>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</si>
  <si>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</si>
  <si>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</si>
  <si>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</si>
  <si>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</si>
  <si>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</si>
  <si>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</si>
  <si>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</si>
  <si>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</si>
  <si>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</si>
  <si>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</si>
  <si>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</si>
  <si>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</si>
  <si>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</si>
  <si>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</si>
  <si>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</si>
  <si>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</si>
  <si>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</si>
  <si>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</si>
  <si>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</si>
  <si>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</si>
  <si>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</si>
  <si>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</si>
  <si>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</si>
  <si>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</si>
  <si>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</si>
  <si>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</si>
  <si>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</si>
  <si>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</si>
  <si>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</si>
  <si>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</si>
  <si>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</si>
  <si>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</si>
  <si>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</si>
  <si>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</si>
  <si>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</si>
  <si>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</si>
  <si>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</si>
  <si>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</si>
  <si>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</si>
  <si>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</si>
  <si>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</si>
  <si>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</si>
  <si>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</si>
  <si>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</si>
  <si>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</si>
  <si>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</si>
  <si>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</si>
  <si>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</si>
  <si>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</si>
  <si>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</si>
  <si>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</si>
  <si>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</si>
  <si>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</si>
  <si>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</si>
  <si>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</si>
  <si>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</si>
  <si>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</si>
  <si>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</si>
  <si>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</si>
  <si>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</si>
  <si>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</si>
  <si>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</si>
  <si>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</si>
  <si>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</si>
  <si>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</si>
  <si>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</si>
  <si>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</si>
  <si>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</si>
  <si>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</si>
  <si>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</si>
  <si>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</si>
  <si>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</si>
  <si>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</si>
  <si>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</si>
  <si>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</si>
  <si>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</si>
  <si>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</si>
  <si>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</si>
  <si>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</si>
  <si>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</si>
  <si>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</si>
  <si>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</si>
  <si>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</si>
  <si>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</si>
  <si>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</si>
  <si>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</si>
  <si>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</si>
  <si>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</si>
  <si>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</si>
  <si>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</si>
  <si>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</si>
  <si>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</si>
  <si>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</si>
  <si>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</si>
  <si>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</si>
  <si>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</si>
  <si>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</si>
  <si>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</si>
  <si>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</si>
  <si>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</si>
  <si>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</si>
  <si>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</si>
  <si>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</si>
  <si>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</si>
  <si>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</si>
  <si>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</si>
  <si>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</si>
  <si>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</si>
  <si>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</si>
  <si>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</si>
  <si>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</si>
  <si>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The Hospital of Central Connecticut (NBG)</t>
  </si>
  <si>
    <t>The Hospital of Central Connecticut (BMH)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</si>
  <si>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</si>
  <si>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</si>
  <si>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</si>
  <si>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</si>
  <si>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</si>
  <si>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</si>
  <si>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</si>
  <si>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</si>
  <si>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</si>
  <si>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</si>
  <si>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</si>
  <si>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</si>
  <si>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</si>
  <si>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</si>
  <si>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</si>
  <si>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</si>
  <si>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</si>
  <si>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</si>
  <si>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</si>
  <si>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</si>
  <si>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</si>
  <si>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</si>
  <si>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</si>
  <si>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</si>
  <si>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</si>
  <si>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</si>
  <si>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</si>
  <si>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</si>
  <si>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</si>
  <si>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</si>
  <si>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</si>
  <si>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</si>
  <si>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</si>
  <si>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</si>
  <si>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</si>
  <si>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</si>
  <si>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</si>
  <si>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</si>
  <si>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</si>
  <si>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</si>
  <si>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</si>
  <si>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</si>
  <si>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</si>
  <si>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</si>
  <si>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</si>
  <si>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</si>
  <si>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</si>
  <si>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</si>
  <si>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</si>
  <si>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</si>
  <si>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</si>
  <si>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</si>
  <si>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</si>
  <si>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</si>
  <si>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</si>
  <si>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</si>
  <si>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</si>
  <si>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</si>
  <si>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</si>
  <si>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</si>
  <si>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</si>
  <si>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</si>
  <si>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</si>
  <si>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</si>
  <si>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</si>
  <si>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</si>
  <si>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</si>
  <si>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</si>
  <si>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</si>
  <si>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</si>
  <si>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</si>
  <si>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</si>
  <si>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</si>
  <si>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</si>
  <si>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</si>
  <si>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</si>
  <si>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</si>
  <si>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</si>
  <si>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</si>
  <si>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</si>
  <si>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</si>
  <si>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</si>
  <si>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</si>
  <si>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</si>
  <si>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</si>
  <si>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</si>
  <si>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</si>
  <si>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</si>
  <si>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</si>
  <si>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</si>
  <si>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</si>
  <si>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</si>
  <si>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</si>
  <si>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</si>
  <si>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</si>
  <si>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</si>
  <si>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</si>
  <si>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</si>
  <si>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</si>
  <si>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</si>
  <si>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</si>
  <si>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</si>
  <si>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</si>
  <si>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</si>
  <si>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</si>
  <si>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</si>
  <si>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</si>
  <si>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</si>
  <si>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</si>
  <si>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</si>
  <si>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</si>
  <si>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</si>
  <si>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</si>
  <si>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</si>
  <si>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</si>
  <si>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</si>
  <si>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</si>
  <si>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</si>
  <si>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</si>
  <si>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</si>
  <si>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</si>
  <si>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</si>
  <si>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</si>
  <si>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</si>
  <si>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</si>
  <si>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</si>
  <si>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</si>
  <si>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</si>
  <si>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</si>
  <si>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</si>
  <si>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</si>
  <si>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</si>
  <si>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</si>
  <si>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</si>
  <si>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</si>
  <si>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</si>
  <si>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</si>
  <si>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</si>
  <si>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</si>
  <si>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</si>
  <si>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</si>
  <si>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</si>
  <si>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</si>
  <si>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</si>
  <si>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</si>
  <si>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</si>
  <si>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</si>
  <si>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2014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</si>
  <si>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</si>
  <si>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</si>
  <si>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2013</t>
    </r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</si>
  <si>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</si>
  <si>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</si>
  <si>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</si>
  <si>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</si>
  <si>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</si>
  <si>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</si>
  <si>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</si>
  <si>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</si>
  <si>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</si>
  <si>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</si>
  <si>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</si>
  <si>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</si>
  <si>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</si>
  <si>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</si>
  <si>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</si>
  <si>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</si>
  <si>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</si>
  <si>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</si>
  <si>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</si>
  <si>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</si>
  <si>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</si>
  <si>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</si>
  <si>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</si>
  <si>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</si>
  <si>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</si>
  <si>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</si>
  <si>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</si>
  <si>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</si>
  <si>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</si>
  <si>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</si>
  <si>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</si>
  <si>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</si>
  <si>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</si>
  <si>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</si>
  <si>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</si>
  <si>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</si>
  <si>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</si>
  <si>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</si>
  <si>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</si>
  <si>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</si>
  <si>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</si>
  <si>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</si>
  <si>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</si>
  <si>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</si>
  <si>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</si>
  <si>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</si>
  <si>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</si>
  <si>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</si>
  <si>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</si>
  <si>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</si>
  <si>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</si>
  <si>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</si>
  <si>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</si>
  <si>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</si>
  <si>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</si>
  <si>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</si>
  <si>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</si>
  <si>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</si>
  <si>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</si>
  <si>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</si>
  <si>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</si>
  <si>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</si>
  <si>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</si>
  <si>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</si>
  <si>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</si>
  <si>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</si>
  <si>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</si>
  <si>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</si>
  <si>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</si>
  <si>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</si>
  <si>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</si>
  <si>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</si>
  <si>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</si>
  <si>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</si>
  <si>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</si>
  <si>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</si>
  <si>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</si>
  <si>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</si>
  <si>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</si>
  <si>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</si>
  <si>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</si>
  <si>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</si>
  <si>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</si>
  <si>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</si>
  <si>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</si>
  <si>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</si>
  <si>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</si>
  <si>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</si>
  <si>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</si>
  <si>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</si>
  <si>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</si>
  <si>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</si>
  <si>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</si>
  <si>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</si>
  <si>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</si>
  <si>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</si>
  <si>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</si>
  <si>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</si>
  <si>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2014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</si>
  <si>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</si>
  <si>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</si>
  <si>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</si>
  <si>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</si>
  <si>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</si>
  <si>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</si>
  <si>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</si>
  <si>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</si>
  <si>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</si>
  <si>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</si>
  <si>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</si>
  <si>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</si>
  <si>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</si>
  <si>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</si>
  <si>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</si>
  <si>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</si>
  <si>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</si>
  <si>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</si>
  <si>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</si>
  <si>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</si>
  <si>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</si>
  <si>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</si>
  <si>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</si>
  <si>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</si>
  <si>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</si>
  <si>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</si>
  <si>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</si>
  <si>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</si>
  <si>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</si>
  <si>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</si>
  <si>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</si>
  <si>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</si>
  <si>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</si>
  <si>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</si>
  <si>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</si>
  <si>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</si>
  <si>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</si>
  <si>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</si>
  <si>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</si>
  <si>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</si>
  <si>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</si>
  <si>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</si>
  <si>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</si>
  <si>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</si>
  <si>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</si>
  <si>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</si>
  <si>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</si>
  <si>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</si>
  <si>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</si>
  <si>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</si>
  <si>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</si>
  <si>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</si>
  <si>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</si>
  <si>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</si>
  <si>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</si>
  <si>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2012</t>
    </r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</si>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</sst>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23728929</v>
      </c>
      <c r="D13" s="22">
        <v>50445261</v>
      </c>
      <c r="E13" s="22">
        <f t="shared" ref="E13:E22" si="0">D13-C13</f>
        <v>26716332</v>
      </c>
      <c r="F13" s="23">
        <f t="shared" ref="F13:F22" si="1">IF(C13=0,0,E13/C13)</f>
        <v>1.1258970853678225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45274226</v>
      </c>
      <c r="D15" s="22">
        <v>40490596</v>
      </c>
      <c r="E15" s="22">
        <f t="shared" si="0"/>
        <v>-4783630</v>
      </c>
      <c r="F15" s="23">
        <f t="shared" si="1"/>
        <v>-0.10565901226008811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5024941</v>
      </c>
      <c r="D17" s="22">
        <v>1189837</v>
      </c>
      <c r="E17" s="22">
        <f t="shared" si="0"/>
        <v>-3835104</v>
      </c>
      <c r="F17" s="23">
        <f t="shared" si="1"/>
        <v>-0.76321373723591979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5420384</v>
      </c>
      <c r="D19" s="22">
        <v>5624397</v>
      </c>
      <c r="E19" s="22">
        <f t="shared" si="0"/>
        <v>204013</v>
      </c>
      <c r="F19" s="23">
        <f t="shared" si="1"/>
        <v>3.7638108296386384E-2</v>
      </c>
    </row>
    <row r="20" spans="1:11" ht="24" customHeight="1" x14ac:dyDescent="0.2">
      <c r="A20" s="20">
        <v>8</v>
      </c>
      <c r="B20" s="21" t="s">
        <v>23</v>
      </c>
      <c r="C20" s="22">
        <v>3466789</v>
      </c>
      <c r="D20" s="22">
        <v>2168888</v>
      </c>
      <c r="E20" s="22">
        <f t="shared" si="0"/>
        <v>-1297901</v>
      </c>
      <c r="F20" s="23">
        <f t="shared" si="1"/>
        <v>-0.37438130789038504</v>
      </c>
    </row>
    <row r="21" spans="1:11" ht="24" customHeight="1" x14ac:dyDescent="0.2">
      <c r="A21" s="20">
        <v>9</v>
      </c>
      <c r="B21" s="21" t="s">
        <v>24</v>
      </c>
      <c r="C21" s="22">
        <v>8075041</v>
      </c>
      <c r="D21" s="22">
        <v>22122989</v>
      </c>
      <c r="E21" s="22">
        <f t="shared" si="0"/>
        <v>14047948</v>
      </c>
      <c r="F21" s="23">
        <f t="shared" si="1"/>
        <v>1.7396751298228703</v>
      </c>
    </row>
    <row r="22" spans="1:11" ht="24" customHeight="1" x14ac:dyDescent="0.25">
      <c r="A22" s="24"/>
      <c r="B22" s="25" t="s">
        <v>25</v>
      </c>
      <c r="C22" s="26">
        <f>SUM(C13:C21)</f>
        <v>90990310</v>
      </c>
      <c r="D22" s="26">
        <f>SUM(D13:D21)</f>
        <v>122041968</v>
      </c>
      <c r="E22" s="26">
        <f t="shared" si="0"/>
        <v>31051658</v>
      </c>
      <c r="F22" s="27">
        <f t="shared" si="1"/>
        <v>0.3412633499105564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15974359</v>
      </c>
      <c r="D25" s="22">
        <v>16309118</v>
      </c>
      <c r="E25" s="22">
        <f>D25-C25</f>
        <v>334759</v>
      </c>
      <c r="F25" s="23">
        <f>IF(C25=0,0,E25/C25)</f>
        <v>2.0956020833136402E-2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0</v>
      </c>
      <c r="D28" s="22">
        <v>0</v>
      </c>
      <c r="E28" s="22">
        <f>D28-C28</f>
        <v>0</v>
      </c>
      <c r="F28" s="23">
        <f>IF(C28=0,0,E28/C28)</f>
        <v>0</v>
      </c>
    </row>
    <row r="29" spans="1:11" ht="24" customHeight="1" x14ac:dyDescent="0.25">
      <c r="A29" s="24"/>
      <c r="B29" s="25" t="s">
        <v>32</v>
      </c>
      <c r="C29" s="26">
        <f>SUM(C25:C28)</f>
        <v>15974359</v>
      </c>
      <c r="D29" s="26">
        <f>SUM(D25:D28)</f>
        <v>16309118</v>
      </c>
      <c r="E29" s="26">
        <f>D29-C29</f>
        <v>334759</v>
      </c>
      <c r="F29" s="27">
        <f>IF(C29=0,0,E29/C29)</f>
        <v>2.0956020833136402E-2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141918020</v>
      </c>
      <c r="D32" s="22">
        <v>164618821</v>
      </c>
      <c r="E32" s="22">
        <f>D32-C32</f>
        <v>22700801</v>
      </c>
      <c r="F32" s="23">
        <f>IF(C32=0,0,E32/C32)</f>
        <v>0.15995714286318255</v>
      </c>
    </row>
    <row r="33" spans="1:8" ht="24" customHeight="1" x14ac:dyDescent="0.2">
      <c r="A33" s="20">
        <v>7</v>
      </c>
      <c r="B33" s="21" t="s">
        <v>35</v>
      </c>
      <c r="C33" s="22">
        <v>18290966</v>
      </c>
      <c r="D33" s="22">
        <v>24115241</v>
      </c>
      <c r="E33" s="22">
        <f>D33-C33</f>
        <v>5824275</v>
      </c>
      <c r="F33" s="23">
        <f>IF(C33=0,0,E33/C33)</f>
        <v>0.31842358681329352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374739793</v>
      </c>
      <c r="D36" s="22">
        <v>388312710</v>
      </c>
      <c r="E36" s="22">
        <f>D36-C36</f>
        <v>13572917</v>
      </c>
      <c r="F36" s="23">
        <f>IF(C36=0,0,E36/C36)</f>
        <v>3.6219577566986592E-2</v>
      </c>
    </row>
    <row r="37" spans="1:8" ht="24" customHeight="1" x14ac:dyDescent="0.2">
      <c r="A37" s="20">
        <v>2</v>
      </c>
      <c r="B37" s="21" t="s">
        <v>39</v>
      </c>
      <c r="C37" s="22">
        <v>230869746</v>
      </c>
      <c r="D37" s="22">
        <v>248041258</v>
      </c>
      <c r="E37" s="22">
        <f>D37-C37</f>
        <v>17171512</v>
      </c>
      <c r="F37" s="23">
        <f>IF(C37=0,0,E37/C37)</f>
        <v>7.4377489027947385E-2</v>
      </c>
    </row>
    <row r="38" spans="1:8" ht="24" customHeight="1" x14ac:dyDescent="0.25">
      <c r="A38" s="24"/>
      <c r="B38" s="25" t="s">
        <v>40</v>
      </c>
      <c r="C38" s="26">
        <f>C36-C37</f>
        <v>143870047</v>
      </c>
      <c r="D38" s="26">
        <f>D36-D37</f>
        <v>140271452</v>
      </c>
      <c r="E38" s="26">
        <f>D38-C38</f>
        <v>-3598595</v>
      </c>
      <c r="F38" s="27">
        <f>IF(C38=0,0,E38/C38)</f>
        <v>-2.5012815906009955E-2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19940168</v>
      </c>
      <c r="D40" s="22">
        <v>33898993</v>
      </c>
      <c r="E40" s="22">
        <f>D40-C40</f>
        <v>13958825</v>
      </c>
      <c r="F40" s="23">
        <f>IF(C40=0,0,E40/C40)</f>
        <v>0.70003547613039163</v>
      </c>
    </row>
    <row r="41" spans="1:8" ht="24" customHeight="1" x14ac:dyDescent="0.25">
      <c r="A41" s="24"/>
      <c r="B41" s="25" t="s">
        <v>42</v>
      </c>
      <c r="C41" s="26">
        <f>+C38+C40</f>
        <v>163810215</v>
      </c>
      <c r="D41" s="26">
        <f>+D38+D40</f>
        <v>174170445</v>
      </c>
      <c r="E41" s="26">
        <f>D41-C41</f>
        <v>10360230</v>
      </c>
      <c r="F41" s="27">
        <f>IF(C41=0,0,E41/C41)</f>
        <v>6.3245323254108421E-2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430983870</v>
      </c>
      <c r="D43" s="26">
        <f>D22+D29+D31+D32+D33+D41</f>
        <v>501255593</v>
      </c>
      <c r="E43" s="26">
        <f>D43-C43</f>
        <v>70271723</v>
      </c>
      <c r="F43" s="27">
        <f>IF(C43=0,0,E43/C43)</f>
        <v>0.16304954289820639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24176418</v>
      </c>
      <c r="D49" s="22">
        <v>13265163</v>
      </c>
      <c r="E49" s="22">
        <f t="shared" ref="E49:E56" si="2">D49-C49</f>
        <v>-10911255</v>
      </c>
      <c r="F49" s="23">
        <f t="shared" ref="F49:F56" si="3">IF(C49=0,0,E49/C49)</f>
        <v>-0.45131809848754267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14042968</v>
      </c>
      <c r="D50" s="22">
        <v>11492908</v>
      </c>
      <c r="E50" s="22">
        <f t="shared" si="2"/>
        <v>-2550060</v>
      </c>
      <c r="F50" s="23">
        <f t="shared" si="3"/>
        <v>-0.18158981776501948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11976659</v>
      </c>
      <c r="D51" s="22">
        <v>19389673</v>
      </c>
      <c r="E51" s="22">
        <f t="shared" si="2"/>
        <v>7413014</v>
      </c>
      <c r="F51" s="23">
        <f t="shared" si="3"/>
        <v>0.61895508588830994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1174351</v>
      </c>
      <c r="D52" s="22">
        <v>5524919</v>
      </c>
      <c r="E52" s="22">
        <f t="shared" si="2"/>
        <v>4350568</v>
      </c>
      <c r="F52" s="23">
        <f t="shared" si="3"/>
        <v>3.7046572958170088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2329243</v>
      </c>
      <c r="D53" s="22">
        <v>872430</v>
      </c>
      <c r="E53" s="22">
        <f t="shared" si="2"/>
        <v>-1456813</v>
      </c>
      <c r="F53" s="23">
        <f t="shared" si="3"/>
        <v>-0.62544483336431622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11922233</v>
      </c>
      <c r="D55" s="22">
        <v>3057539</v>
      </c>
      <c r="E55" s="22">
        <f t="shared" si="2"/>
        <v>-8864694</v>
      </c>
      <c r="F55" s="23">
        <f t="shared" si="3"/>
        <v>-0.74354309297595511</v>
      </c>
    </row>
    <row r="56" spans="1:6" ht="24" customHeight="1" x14ac:dyDescent="0.25">
      <c r="A56" s="24"/>
      <c r="B56" s="25" t="s">
        <v>54</v>
      </c>
      <c r="C56" s="26">
        <f>SUM(C49:C55)</f>
        <v>65621872</v>
      </c>
      <c r="D56" s="26">
        <f>SUM(D49:D55)</f>
        <v>53602632</v>
      </c>
      <c r="E56" s="26">
        <f t="shared" si="2"/>
        <v>-12019240</v>
      </c>
      <c r="F56" s="27">
        <f t="shared" si="3"/>
        <v>-0.18315905404222543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0</v>
      </c>
      <c r="D59" s="22">
        <v>0</v>
      </c>
      <c r="E59" s="22">
        <f>D59-C59</f>
        <v>0</v>
      </c>
      <c r="F59" s="23">
        <f>IF(C59=0,0,E59/C59)</f>
        <v>0</v>
      </c>
    </row>
    <row r="60" spans="1:6" ht="24" customHeight="1" x14ac:dyDescent="0.2">
      <c r="A60" s="20">
        <v>2</v>
      </c>
      <c r="B60" s="21" t="s">
        <v>57</v>
      </c>
      <c r="C60" s="22">
        <v>652997</v>
      </c>
      <c r="D60" s="22">
        <v>105428</v>
      </c>
      <c r="E60" s="22">
        <f>D60-C60</f>
        <v>-547569</v>
      </c>
      <c r="F60" s="23">
        <f>IF(C60=0,0,E60/C60)</f>
        <v>-0.83854749715542343</v>
      </c>
    </row>
    <row r="61" spans="1:6" ht="24" customHeight="1" x14ac:dyDescent="0.25">
      <c r="A61" s="24"/>
      <c r="B61" s="25" t="s">
        <v>58</v>
      </c>
      <c r="C61" s="26">
        <f>SUM(C59:C60)</f>
        <v>652997</v>
      </c>
      <c r="D61" s="26">
        <f>SUM(D59:D60)</f>
        <v>105428</v>
      </c>
      <c r="E61" s="26">
        <f>D61-C61</f>
        <v>-547569</v>
      </c>
      <c r="F61" s="27">
        <f>IF(C61=0,0,E61/C61)</f>
        <v>-0.83854749715542343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65894053</v>
      </c>
      <c r="D63" s="22">
        <v>133575280</v>
      </c>
      <c r="E63" s="22">
        <f>D63-C63</f>
        <v>67681227</v>
      </c>
      <c r="F63" s="23">
        <f>IF(C63=0,0,E63/C63)</f>
        <v>1.0271219316256051</v>
      </c>
    </row>
    <row r="64" spans="1:6" ht="24" customHeight="1" x14ac:dyDescent="0.2">
      <c r="A64" s="20">
        <v>4</v>
      </c>
      <c r="B64" s="21" t="s">
        <v>60</v>
      </c>
      <c r="C64" s="22">
        <v>57103385</v>
      </c>
      <c r="D64" s="22">
        <v>85856971</v>
      </c>
      <c r="E64" s="22">
        <f>D64-C64</f>
        <v>28753586</v>
      </c>
      <c r="F64" s="23">
        <f>IF(C64=0,0,E64/C64)</f>
        <v>0.50353557849504016</v>
      </c>
    </row>
    <row r="65" spans="1:6" ht="24" customHeight="1" x14ac:dyDescent="0.25">
      <c r="A65" s="24"/>
      <c r="B65" s="25" t="s">
        <v>61</v>
      </c>
      <c r="C65" s="26">
        <f>SUM(C61:C64)</f>
        <v>123650435</v>
      </c>
      <c r="D65" s="26">
        <f>SUM(D61:D64)</f>
        <v>219537679</v>
      </c>
      <c r="E65" s="26">
        <f>D65-C65</f>
        <v>95887244</v>
      </c>
      <c r="F65" s="27">
        <f>IF(C65=0,0,E65/C65)</f>
        <v>0.77547033295920065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194567882</v>
      </c>
      <c r="D70" s="22">
        <v>178222407</v>
      </c>
      <c r="E70" s="22">
        <f>D70-C70</f>
        <v>-16345475</v>
      </c>
      <c r="F70" s="23">
        <f>IF(C70=0,0,E70/C70)</f>
        <v>-8.4009112048616538E-2</v>
      </c>
    </row>
    <row r="71" spans="1:6" ht="24" customHeight="1" x14ac:dyDescent="0.2">
      <c r="A71" s="20">
        <v>2</v>
      </c>
      <c r="B71" s="21" t="s">
        <v>65</v>
      </c>
      <c r="C71" s="22">
        <v>24361771</v>
      </c>
      <c r="D71" s="22">
        <v>26776206</v>
      </c>
      <c r="E71" s="22">
        <f>D71-C71</f>
        <v>2414435</v>
      </c>
      <c r="F71" s="23">
        <f>IF(C71=0,0,E71/C71)</f>
        <v>9.9107532042723823E-2</v>
      </c>
    </row>
    <row r="72" spans="1:6" ht="24" customHeight="1" x14ac:dyDescent="0.2">
      <c r="A72" s="20">
        <v>3</v>
      </c>
      <c r="B72" s="21" t="s">
        <v>66</v>
      </c>
      <c r="C72" s="22">
        <v>22781910</v>
      </c>
      <c r="D72" s="22">
        <v>23116669</v>
      </c>
      <c r="E72" s="22">
        <f>D72-C72</f>
        <v>334759</v>
      </c>
      <c r="F72" s="23">
        <f>IF(C72=0,0,E72/C72)</f>
        <v>1.46940708658756E-2</v>
      </c>
    </row>
    <row r="73" spans="1:6" ht="24" customHeight="1" x14ac:dyDescent="0.25">
      <c r="A73" s="20"/>
      <c r="B73" s="25" t="s">
        <v>67</v>
      </c>
      <c r="C73" s="26">
        <f>SUM(C70:C72)</f>
        <v>241711563</v>
      </c>
      <c r="D73" s="26">
        <f>SUM(D70:D72)</f>
        <v>228115282</v>
      </c>
      <c r="E73" s="26">
        <f>D73-C73</f>
        <v>-13596281</v>
      </c>
      <c r="F73" s="27">
        <f>IF(C73=0,0,E73/C73)</f>
        <v>-5.6250023090537872E-2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430983870</v>
      </c>
      <c r="D75" s="26">
        <f>D56+D65+D67+D73</f>
        <v>501255593</v>
      </c>
      <c r="E75" s="26">
        <f>D75-C75</f>
        <v>70271723</v>
      </c>
      <c r="F75" s="27">
        <f>IF(C75=0,0,E75/C75)</f>
        <v>0.16304954289820639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FILING&amp;RTHE HOSPITAL OF CENTRAL CONNECTICUT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413610005</v>
      </c>
      <c r="D11" s="76">
        <v>392524293</v>
      </c>
      <c r="E11" s="76">
        <v>379677582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53671333</v>
      </c>
      <c r="D12" s="185">
        <v>49382685</v>
      </c>
      <c r="E12" s="185">
        <v>33021836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467281338</v>
      </c>
      <c r="D13" s="76">
        <f>+D11+D12</f>
        <v>441906978</v>
      </c>
      <c r="E13" s="76">
        <f>+E11+E12</f>
        <v>412699418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439424090</v>
      </c>
      <c r="D14" s="185">
        <v>429066872</v>
      </c>
      <c r="E14" s="185">
        <v>397151788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27857248</v>
      </c>
      <c r="D15" s="76">
        <f>+D13-D14</f>
        <v>12840106</v>
      </c>
      <c r="E15" s="76">
        <f>+E13-E14</f>
        <v>15547630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9964042</v>
      </c>
      <c r="D16" s="185">
        <v>11820994</v>
      </c>
      <c r="E16" s="185">
        <v>9891716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37821290</v>
      </c>
      <c r="D17" s="76">
        <f>D15+D16</f>
        <v>24661100</v>
      </c>
      <c r="E17" s="76">
        <f>E15+E16</f>
        <v>25439346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5.8370911835752083E-2</v>
      </c>
      <c r="D20" s="189">
        <f>IF(+D27=0,0,+D24/+D27)</f>
        <v>2.8299128095192687E-2</v>
      </c>
      <c r="E20" s="189">
        <f>IF(+E27=0,0,+E24/+E27)</f>
        <v>3.679118833572121E-2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2.0878236684030341E-2</v>
      </c>
      <c r="D21" s="189">
        <f>IF(+D27=0,0,+D26/+D27)</f>
        <v>2.60530421959526E-2</v>
      </c>
      <c r="E21" s="189">
        <f>IF(+E27=0,0,+E26/+E27)</f>
        <v>2.3407296566709323E-2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7.9249148519782417E-2</v>
      </c>
      <c r="D22" s="189">
        <f>IF(+D27=0,0,+D28/+D27)</f>
        <v>5.4352170291145287E-2</v>
      </c>
      <c r="E22" s="189">
        <f>IF(+E27=0,0,+E28/+E27)</f>
        <v>6.0198484902430537E-2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27857248</v>
      </c>
      <c r="D24" s="76">
        <f>+D15</f>
        <v>12840106</v>
      </c>
      <c r="E24" s="76">
        <f>+E15</f>
        <v>15547630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467281338</v>
      </c>
      <c r="D25" s="76">
        <f>+D13</f>
        <v>441906978</v>
      </c>
      <c r="E25" s="76">
        <f>+E13</f>
        <v>412699418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9964042</v>
      </c>
      <c r="D26" s="76">
        <f>+D16</f>
        <v>11820994</v>
      </c>
      <c r="E26" s="76">
        <f>+E16</f>
        <v>9891716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477245380</v>
      </c>
      <c r="D27" s="76">
        <f>SUM(D25:D26)</f>
        <v>453727972</v>
      </c>
      <c r="E27" s="76">
        <f>SUM(E25:E26)</f>
        <v>422591134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37821290</v>
      </c>
      <c r="D28" s="76">
        <f>+D17</f>
        <v>24661100</v>
      </c>
      <c r="E28" s="76">
        <f>+E17</f>
        <v>25439346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123899268</v>
      </c>
      <c r="D31" s="76">
        <v>223258476</v>
      </c>
      <c r="E31" s="76">
        <v>188482040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165850149</v>
      </c>
      <c r="D32" s="76">
        <v>270558323</v>
      </c>
      <c r="E32" s="76">
        <v>238475802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-30208755</v>
      </c>
      <c r="D33" s="76">
        <f>+D32-C32</f>
        <v>104708174</v>
      </c>
      <c r="E33" s="76">
        <f>+E32-D32</f>
        <v>-32082521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0.84589999999999999</v>
      </c>
      <c r="D34" s="193">
        <f>IF(C32=0,0,+D33/C32)</f>
        <v>0.63134205565290147</v>
      </c>
      <c r="E34" s="193">
        <f>IF(D32=0,0,+E33/D32)</f>
        <v>-0.11857894683949531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1.4628825660261895</v>
      </c>
      <c r="D38" s="338">
        <f>IF(+D40=0,0,+D39/+D40)</f>
        <v>1.7397898854815241</v>
      </c>
      <c r="E38" s="338">
        <f>IF(+E40=0,0,+E39/+E40)</f>
        <v>2.4348150050704791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130656268</v>
      </c>
      <c r="D39" s="341">
        <v>134832928</v>
      </c>
      <c r="E39" s="341">
        <v>143873411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89314256</v>
      </c>
      <c r="D40" s="341">
        <v>77499547</v>
      </c>
      <c r="E40" s="341">
        <v>59090079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43.023095539889361</v>
      </c>
      <c r="D42" s="343">
        <f>IF((D48/365)=0,0,+D45/(D48/365))</f>
        <v>51.038417684322141</v>
      </c>
      <c r="E42" s="343">
        <f>IF((E48/365)=0,0,+E45/(E48/365))</f>
        <v>65.483766830029978</v>
      </c>
    </row>
    <row r="43" spans="1:14" ht="24" customHeight="1" x14ac:dyDescent="0.2">
      <c r="A43" s="339">
        <v>5</v>
      </c>
      <c r="B43" s="344" t="s">
        <v>16</v>
      </c>
      <c r="C43" s="345">
        <v>49255986</v>
      </c>
      <c r="D43" s="345">
        <v>56052328</v>
      </c>
      <c r="E43" s="345">
        <v>67647637</v>
      </c>
    </row>
    <row r="44" spans="1:14" ht="24" customHeight="1" x14ac:dyDescent="0.2">
      <c r="A44" s="339">
        <v>6</v>
      </c>
      <c r="B44" s="346" t="s">
        <v>17</v>
      </c>
      <c r="C44" s="345">
        <v>0</v>
      </c>
      <c r="D44" s="345">
        <v>900393</v>
      </c>
      <c r="E44" s="345">
        <v>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49255986</v>
      </c>
      <c r="D45" s="341">
        <f>+D43+D44</f>
        <v>56952721</v>
      </c>
      <c r="E45" s="341">
        <f>+E43+E44</f>
        <v>67647637</v>
      </c>
    </row>
    <row r="46" spans="1:14" ht="24" customHeight="1" x14ac:dyDescent="0.2">
      <c r="A46" s="339">
        <v>8</v>
      </c>
      <c r="B46" s="340" t="s">
        <v>334</v>
      </c>
      <c r="C46" s="341">
        <f>+C14</f>
        <v>439424090</v>
      </c>
      <c r="D46" s="341">
        <f>+D14</f>
        <v>429066872</v>
      </c>
      <c r="E46" s="341">
        <f>+E14</f>
        <v>397151788</v>
      </c>
    </row>
    <row r="47" spans="1:14" ht="24" customHeight="1" x14ac:dyDescent="0.2">
      <c r="A47" s="339">
        <v>9</v>
      </c>
      <c r="B47" s="340" t="s">
        <v>356</v>
      </c>
      <c r="C47" s="341">
        <v>21545398</v>
      </c>
      <c r="D47" s="341">
        <v>21770876</v>
      </c>
      <c r="E47" s="341">
        <v>20090591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417878692</v>
      </c>
      <c r="D48" s="341">
        <f>+D46-D47</f>
        <v>407295996</v>
      </c>
      <c r="E48" s="341">
        <f>+E46-E47</f>
        <v>377061197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27.538991543495182</v>
      </c>
      <c r="D50" s="350">
        <f>IF((D55/365)=0,0,+D54/(D55/365))</f>
        <v>32.589282111005545</v>
      </c>
      <c r="E50" s="350">
        <f>IF((E55/365)=0,0,+E54/(E55/365))</f>
        <v>22.140356722457213</v>
      </c>
    </row>
    <row r="51" spans="1:5" ht="24" customHeight="1" x14ac:dyDescent="0.2">
      <c r="A51" s="339">
        <v>12</v>
      </c>
      <c r="B51" s="344" t="s">
        <v>359</v>
      </c>
      <c r="C51" s="351">
        <v>51017877</v>
      </c>
      <c r="D51" s="351">
        <v>47943669</v>
      </c>
      <c r="E51" s="351">
        <v>42669081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19811295</v>
      </c>
      <c r="D53" s="341">
        <v>12896861</v>
      </c>
      <c r="E53" s="341">
        <v>19638404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31206582</v>
      </c>
      <c r="D54" s="352">
        <f>+D51+D52-D53</f>
        <v>35046808</v>
      </c>
      <c r="E54" s="352">
        <f>+E51+E52-E53</f>
        <v>23030677</v>
      </c>
    </row>
    <row r="55" spans="1:5" ht="24" customHeight="1" x14ac:dyDescent="0.2">
      <c r="A55" s="339">
        <v>16</v>
      </c>
      <c r="B55" s="340" t="s">
        <v>75</v>
      </c>
      <c r="C55" s="341">
        <f>+C11</f>
        <v>413610005</v>
      </c>
      <c r="D55" s="341">
        <f>+D11</f>
        <v>392524293</v>
      </c>
      <c r="E55" s="341">
        <f>+E11</f>
        <v>379677582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78.012361156715798</v>
      </c>
      <c r="D57" s="355">
        <f>IF((D61/365)=0,0,+D58/(D61/365))</f>
        <v>69.451541220159697</v>
      </c>
      <c r="E57" s="355">
        <f>IF((E61/365)=0,0,+E58/(E61/365))</f>
        <v>57.199942626289392</v>
      </c>
    </row>
    <row r="58" spans="1:5" ht="24" customHeight="1" x14ac:dyDescent="0.2">
      <c r="A58" s="339">
        <v>18</v>
      </c>
      <c r="B58" s="340" t="s">
        <v>54</v>
      </c>
      <c r="C58" s="353">
        <f>+C40</f>
        <v>89314256</v>
      </c>
      <c r="D58" s="353">
        <f>+D40</f>
        <v>77499547</v>
      </c>
      <c r="E58" s="353">
        <f>+E40</f>
        <v>59090079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439424090</v>
      </c>
      <c r="D59" s="353">
        <f t="shared" si="0"/>
        <v>429066872</v>
      </c>
      <c r="E59" s="353">
        <f t="shared" si="0"/>
        <v>397151788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21545398</v>
      </c>
      <c r="D60" s="356">
        <f t="shared" si="0"/>
        <v>21770876</v>
      </c>
      <c r="E60" s="356">
        <f t="shared" si="0"/>
        <v>20090591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417878692</v>
      </c>
      <c r="D61" s="353">
        <f>+D59-D60</f>
        <v>407295996</v>
      </c>
      <c r="E61" s="353">
        <f>+E59-E60</f>
        <v>377061197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34.171539743287425</v>
      </c>
      <c r="D65" s="357">
        <f>IF(D67=0,0,(D66/D67)*100)</f>
        <v>53.594901487955106</v>
      </c>
      <c r="E65" s="357">
        <f>IF(E67=0,0,(E66/E67)*100)</f>
        <v>44.195202399938104</v>
      </c>
    </row>
    <row r="66" spans="1:5" ht="24" customHeight="1" x14ac:dyDescent="0.2">
      <c r="A66" s="339">
        <v>2</v>
      </c>
      <c r="B66" s="340" t="s">
        <v>67</v>
      </c>
      <c r="C66" s="353">
        <f>+C32</f>
        <v>165850149</v>
      </c>
      <c r="D66" s="353">
        <f>+D32</f>
        <v>270558323</v>
      </c>
      <c r="E66" s="353">
        <f>+E32</f>
        <v>238475802</v>
      </c>
    </row>
    <row r="67" spans="1:5" ht="24" customHeight="1" x14ac:dyDescent="0.2">
      <c r="A67" s="339">
        <v>3</v>
      </c>
      <c r="B67" s="340" t="s">
        <v>43</v>
      </c>
      <c r="C67" s="353">
        <v>485345847</v>
      </c>
      <c r="D67" s="353">
        <v>504821010</v>
      </c>
      <c r="E67" s="353">
        <v>539596583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65.466895264778955</v>
      </c>
      <c r="D69" s="357">
        <f>IF(D75=0,0,(D72/D75)*100)</f>
        <v>59.411982801225264</v>
      </c>
      <c r="E69" s="357">
        <f>IF(E75=0,0,(E72/E75)*100)</f>
        <v>76.914514812754291</v>
      </c>
    </row>
    <row r="70" spans="1:5" ht="24" customHeight="1" x14ac:dyDescent="0.2">
      <c r="A70" s="339">
        <v>5</v>
      </c>
      <c r="B70" s="340" t="s">
        <v>366</v>
      </c>
      <c r="C70" s="353">
        <f>+C28</f>
        <v>37821290</v>
      </c>
      <c r="D70" s="353">
        <f>+D28</f>
        <v>24661100</v>
      </c>
      <c r="E70" s="353">
        <f>+E28</f>
        <v>25439346</v>
      </c>
    </row>
    <row r="71" spans="1:5" ht="24" customHeight="1" x14ac:dyDescent="0.2">
      <c r="A71" s="339">
        <v>6</v>
      </c>
      <c r="B71" s="340" t="s">
        <v>356</v>
      </c>
      <c r="C71" s="356">
        <f>+C47</f>
        <v>21545398</v>
      </c>
      <c r="D71" s="356">
        <f>+D47</f>
        <v>21770876</v>
      </c>
      <c r="E71" s="356">
        <f>+E47</f>
        <v>20090591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59366688</v>
      </c>
      <c r="D72" s="353">
        <f>+D70+D71</f>
        <v>46431976</v>
      </c>
      <c r="E72" s="353">
        <f>+E70+E71</f>
        <v>45529937</v>
      </c>
    </row>
    <row r="73" spans="1:5" ht="24" customHeight="1" x14ac:dyDescent="0.2">
      <c r="A73" s="339">
        <v>8</v>
      </c>
      <c r="B73" s="340" t="s">
        <v>54</v>
      </c>
      <c r="C73" s="341">
        <f>+C40</f>
        <v>89314256</v>
      </c>
      <c r="D73" s="341">
        <f>+D40</f>
        <v>77499547</v>
      </c>
      <c r="E73" s="341">
        <f>+E40</f>
        <v>59090079</v>
      </c>
    </row>
    <row r="74" spans="1:5" ht="24" customHeight="1" x14ac:dyDescent="0.2">
      <c r="A74" s="339">
        <v>9</v>
      </c>
      <c r="B74" s="340" t="s">
        <v>58</v>
      </c>
      <c r="C74" s="353">
        <v>1367741</v>
      </c>
      <c r="D74" s="353">
        <v>652997</v>
      </c>
      <c r="E74" s="353">
        <v>105428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90681997</v>
      </c>
      <c r="D75" s="341">
        <f>+D73+D74</f>
        <v>78152544</v>
      </c>
      <c r="E75" s="341">
        <f>+E73+E74</f>
        <v>59195507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0.81793939631698498</v>
      </c>
      <c r="D77" s="359">
        <f>IF(D80=0,0,(D78/D80)*100)</f>
        <v>0.24077055485737098</v>
      </c>
      <c r="E77" s="359">
        <f>IF(E80=0,0,(E78/E80)*100)</f>
        <v>4.4189561768962299E-2</v>
      </c>
    </row>
    <row r="78" spans="1:5" ht="24" customHeight="1" x14ac:dyDescent="0.2">
      <c r="A78" s="339">
        <v>12</v>
      </c>
      <c r="B78" s="340" t="s">
        <v>58</v>
      </c>
      <c r="C78" s="341">
        <f>+C74</f>
        <v>1367741</v>
      </c>
      <c r="D78" s="341">
        <f>+D74</f>
        <v>652997</v>
      </c>
      <c r="E78" s="341">
        <f>+E74</f>
        <v>105428</v>
      </c>
    </row>
    <row r="79" spans="1:5" ht="24" customHeight="1" x14ac:dyDescent="0.2">
      <c r="A79" s="339">
        <v>13</v>
      </c>
      <c r="B79" s="340" t="s">
        <v>67</v>
      </c>
      <c r="C79" s="341">
        <f>+C32</f>
        <v>165850149</v>
      </c>
      <c r="D79" s="341">
        <f>+D32</f>
        <v>270558323</v>
      </c>
      <c r="E79" s="341">
        <f>+E32</f>
        <v>238475802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167217890</v>
      </c>
      <c r="D80" s="341">
        <f>+D78+D79</f>
        <v>271211320</v>
      </c>
      <c r="E80" s="341">
        <f>+E78+E79</f>
        <v>238581230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FILING&amp;R&amp;8HARTFORD HEALTH CARE CORPORATION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45151</v>
      </c>
      <c r="D11" s="376">
        <v>11451</v>
      </c>
      <c r="E11" s="376">
        <v>11449</v>
      </c>
      <c r="F11" s="377">
        <v>185</v>
      </c>
      <c r="G11" s="377">
        <v>197</v>
      </c>
      <c r="H11" s="378">
        <f>IF(F11=0,0,$C11/(F11*365))</f>
        <v>0.66865605331358757</v>
      </c>
      <c r="I11" s="378">
        <f>IF(G11=0,0,$C11/(G11*365))</f>
        <v>0.6279257353452472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6171</v>
      </c>
      <c r="D13" s="376">
        <v>1769</v>
      </c>
      <c r="E13" s="376">
        <v>0</v>
      </c>
      <c r="F13" s="377">
        <v>24</v>
      </c>
      <c r="G13" s="377">
        <v>24</v>
      </c>
      <c r="H13" s="378">
        <f>IF(F13=0,0,$C13/(F13*365))</f>
        <v>0.70445205479452055</v>
      </c>
      <c r="I13" s="378">
        <f>IF(G13=0,0,$C13/(G13*365))</f>
        <v>0.70445205479452055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7053</v>
      </c>
      <c r="D16" s="376">
        <v>714</v>
      </c>
      <c r="E16" s="376">
        <v>715</v>
      </c>
      <c r="F16" s="377">
        <v>22</v>
      </c>
      <c r="G16" s="377">
        <v>24</v>
      </c>
      <c r="H16" s="378">
        <f t="shared" si="0"/>
        <v>0.87833125778331256</v>
      </c>
      <c r="I16" s="378">
        <f t="shared" si="0"/>
        <v>0.80513698630136987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7053</v>
      </c>
      <c r="D17" s="381">
        <f>SUM(D15:D16)</f>
        <v>714</v>
      </c>
      <c r="E17" s="381">
        <f>SUM(E15:E16)</f>
        <v>715</v>
      </c>
      <c r="F17" s="381">
        <f>SUM(F15:F16)</f>
        <v>22</v>
      </c>
      <c r="G17" s="381">
        <f>SUM(G15:G16)</f>
        <v>24</v>
      </c>
      <c r="H17" s="382">
        <f t="shared" si="0"/>
        <v>0.87833125778331256</v>
      </c>
      <c r="I17" s="382">
        <f t="shared" si="0"/>
        <v>0.80513698630136987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4715</v>
      </c>
      <c r="D21" s="376">
        <v>1663</v>
      </c>
      <c r="E21" s="376">
        <v>1675</v>
      </c>
      <c r="F21" s="377">
        <v>27</v>
      </c>
      <c r="G21" s="377">
        <v>27</v>
      </c>
      <c r="H21" s="378">
        <f>IF(F21=0,0,$C21/(F21*365))</f>
        <v>0.47843734145104005</v>
      </c>
      <c r="I21" s="378">
        <f>IF(G21=0,0,$C21/(G21*365))</f>
        <v>0.47843734145104005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3509</v>
      </c>
      <c r="D23" s="376">
        <v>1357</v>
      </c>
      <c r="E23" s="376">
        <v>1372</v>
      </c>
      <c r="F23" s="377">
        <v>20</v>
      </c>
      <c r="G23" s="377">
        <v>20</v>
      </c>
      <c r="H23" s="378">
        <f>IF(F23=0,0,$C23/(F23*365))</f>
        <v>0.48068493150684932</v>
      </c>
      <c r="I23" s="378">
        <f>IF(G23=0,0,$C23/(G23*365))</f>
        <v>0.48068493150684932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2196</v>
      </c>
      <c r="D25" s="376">
        <v>249</v>
      </c>
      <c r="E25" s="376">
        <v>0</v>
      </c>
      <c r="F25" s="377">
        <v>12</v>
      </c>
      <c r="G25" s="377">
        <v>12</v>
      </c>
      <c r="H25" s="378">
        <f>IF(F25=0,0,$C25/(F25*365))</f>
        <v>0.50136986301369868</v>
      </c>
      <c r="I25" s="378">
        <f>IF(G25=0,0,$C25/(G25*365))</f>
        <v>0.50136986301369868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470</v>
      </c>
      <c r="D27" s="376">
        <v>206</v>
      </c>
      <c r="E27" s="376">
        <v>239</v>
      </c>
      <c r="F27" s="377">
        <v>15</v>
      </c>
      <c r="G27" s="377">
        <v>15</v>
      </c>
      <c r="H27" s="378">
        <f>IF(F27=0,0,$C27/(F27*365))</f>
        <v>8.5844748858447492E-2</v>
      </c>
      <c r="I27" s="378">
        <f>IF(G27=0,0,$C27/(G27*365))</f>
        <v>8.5844748858447492E-2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65756</v>
      </c>
      <c r="D31" s="384">
        <f>SUM(D10:D29)-D13-D17-D23</f>
        <v>14283</v>
      </c>
      <c r="E31" s="384">
        <f>SUM(E10:E29)-E17-E23</f>
        <v>14078</v>
      </c>
      <c r="F31" s="384">
        <f>SUM(F10:F29)-F17-F23</f>
        <v>285</v>
      </c>
      <c r="G31" s="384">
        <f>SUM(G10:G29)-G17-G23</f>
        <v>299</v>
      </c>
      <c r="H31" s="385">
        <f>IF(F31=0,0,$C31/(F31*365))</f>
        <v>0.6321172795001202</v>
      </c>
      <c r="I31" s="385">
        <f>IF(G31=0,0,$C31/(G31*365))</f>
        <v>0.60251981490814133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69265</v>
      </c>
      <c r="D33" s="384">
        <f>SUM(D10:D29)-D13-D17</f>
        <v>15640</v>
      </c>
      <c r="E33" s="384">
        <f>SUM(E10:E29)-E17</f>
        <v>15450</v>
      </c>
      <c r="F33" s="384">
        <f>SUM(F10:F29)-F17</f>
        <v>305</v>
      </c>
      <c r="G33" s="384">
        <f>SUM(G10:G29)-G17</f>
        <v>319</v>
      </c>
      <c r="H33" s="385">
        <f>IF(F33=0,0,$C33/(F33*365))</f>
        <v>0.62218728946777457</v>
      </c>
      <c r="I33" s="385">
        <f>IF(G33=0,0,$C33/(G33*365))</f>
        <v>0.59488126422467469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69265</v>
      </c>
      <c r="D36" s="384">
        <f t="shared" si="1"/>
        <v>15640</v>
      </c>
      <c r="E36" s="384">
        <f t="shared" si="1"/>
        <v>15450</v>
      </c>
      <c r="F36" s="384">
        <f t="shared" si="1"/>
        <v>305</v>
      </c>
      <c r="G36" s="384">
        <f t="shared" si="1"/>
        <v>319</v>
      </c>
      <c r="H36" s="387">
        <f t="shared" si="1"/>
        <v>0.62218728946777457</v>
      </c>
      <c r="I36" s="387">
        <f t="shared" si="1"/>
        <v>0.59488126422467469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75467</v>
      </c>
      <c r="D37" s="384">
        <v>17907</v>
      </c>
      <c r="E37" s="384">
        <v>17531</v>
      </c>
      <c r="F37" s="386">
        <v>304</v>
      </c>
      <c r="G37" s="386">
        <v>373</v>
      </c>
      <c r="H37" s="385">
        <f>IF(F37=0,0,$C37/(F37*365))</f>
        <v>0.68012797404470082</v>
      </c>
      <c r="I37" s="385">
        <f>IF(G37=0,0,$C37/(G37*365))</f>
        <v>0.55431341584340221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-6202</v>
      </c>
      <c r="D38" s="384">
        <f t="shared" si="2"/>
        <v>-2267</v>
      </c>
      <c r="E38" s="384">
        <f t="shared" si="2"/>
        <v>-2081</v>
      </c>
      <c r="F38" s="384">
        <f t="shared" si="2"/>
        <v>1</v>
      </c>
      <c r="G38" s="384">
        <f t="shared" si="2"/>
        <v>-54</v>
      </c>
      <c r="H38" s="387">
        <f t="shared" si="2"/>
        <v>-5.7940684576926249E-2</v>
      </c>
      <c r="I38" s="387">
        <f t="shared" si="2"/>
        <v>4.0567848381272475E-2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-8.2181615805583891E-2</v>
      </c>
      <c r="D40" s="389">
        <f t="shared" si="3"/>
        <v>-0.12659853688501704</v>
      </c>
      <c r="E40" s="389">
        <f t="shared" si="3"/>
        <v>-0.11870401003935885</v>
      </c>
      <c r="F40" s="389">
        <f t="shared" si="3"/>
        <v>3.2894736842105261E-3</v>
      </c>
      <c r="G40" s="389">
        <f t="shared" si="3"/>
        <v>-0.1447721179624665</v>
      </c>
      <c r="H40" s="389">
        <f t="shared" si="3"/>
        <v>-8.5190856409499999E-2</v>
      </c>
      <c r="I40" s="389">
        <f t="shared" si="3"/>
        <v>7.3185759575289083E-2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446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FILING&amp;RTHE HOSPITAL OF CENTRAL CONNECTICUT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7622</v>
      </c>
      <c r="D12" s="409">
        <v>6774</v>
      </c>
      <c r="E12" s="409">
        <f>+D12-C12</f>
        <v>-848</v>
      </c>
      <c r="F12" s="410">
        <f>IF(C12=0,0,+E12/C12)</f>
        <v>-0.11125688795591708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7041</v>
      </c>
      <c r="D13" s="409">
        <v>8075</v>
      </c>
      <c r="E13" s="409">
        <f>+D13-C13</f>
        <v>1034</v>
      </c>
      <c r="F13" s="410">
        <f>IF(C13=0,0,+E13/C13)</f>
        <v>0.14685414003692657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13462</v>
      </c>
      <c r="D14" s="409">
        <v>12751</v>
      </c>
      <c r="E14" s="409">
        <f>+D14-C14</f>
        <v>-711</v>
      </c>
      <c r="F14" s="410">
        <f>IF(C14=0,0,+E14/C14)</f>
        <v>-5.2815332045758431E-2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28125</v>
      </c>
      <c r="D16" s="401">
        <f>SUM(D12:D15)</f>
        <v>27600</v>
      </c>
      <c r="E16" s="401">
        <f>+D16-C16</f>
        <v>-525</v>
      </c>
      <c r="F16" s="402">
        <f>IF(C16=0,0,+E16/C16)</f>
        <v>-1.8666666666666668E-2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242</v>
      </c>
      <c r="D19" s="409">
        <v>165</v>
      </c>
      <c r="E19" s="409">
        <f>+D19-C19</f>
        <v>-77</v>
      </c>
      <c r="F19" s="410">
        <f>IF(C19=0,0,+E19/C19)</f>
        <v>-0.31818181818181818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3404</v>
      </c>
      <c r="D20" s="409">
        <v>3513</v>
      </c>
      <c r="E20" s="409">
        <f>+D20-C20</f>
        <v>109</v>
      </c>
      <c r="F20" s="410">
        <f>IF(C20=0,0,+E20/C20)</f>
        <v>3.2021151586368979E-2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88</v>
      </c>
      <c r="D21" s="409">
        <v>89</v>
      </c>
      <c r="E21" s="409">
        <f>+D21-C21</f>
        <v>1</v>
      </c>
      <c r="F21" s="410">
        <f>IF(C21=0,0,+E21/C21)</f>
        <v>1.1363636363636364E-2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4138</v>
      </c>
      <c r="D22" s="409">
        <v>4465</v>
      </c>
      <c r="E22" s="409">
        <f>+D22-C22</f>
        <v>327</v>
      </c>
      <c r="F22" s="410">
        <f>IF(C22=0,0,+E22/C22)</f>
        <v>7.9023682938617695E-2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7872</v>
      </c>
      <c r="D23" s="401">
        <f>SUM(D19:D22)</f>
        <v>8232</v>
      </c>
      <c r="E23" s="401">
        <f>+D23-C23</f>
        <v>360</v>
      </c>
      <c r="F23" s="402">
        <f>IF(C23=0,0,+E23/C23)</f>
        <v>4.573170731707317E-2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41</v>
      </c>
      <c r="D33" s="409">
        <v>70</v>
      </c>
      <c r="E33" s="409">
        <f>+D33-C33</f>
        <v>29</v>
      </c>
      <c r="F33" s="410">
        <f>IF(C33=0,0,+E33/C33)</f>
        <v>0.70731707317073167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365</v>
      </c>
      <c r="D34" s="409">
        <v>493</v>
      </c>
      <c r="E34" s="409">
        <f>+D34-C34</f>
        <v>128</v>
      </c>
      <c r="F34" s="410">
        <f>IF(C34=0,0,+E34/C34)</f>
        <v>0.35068493150684932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406</v>
      </c>
      <c r="D37" s="401">
        <f>SUM(D33:D36)</f>
        <v>563</v>
      </c>
      <c r="E37" s="401">
        <f>+D37-C37</f>
        <v>157</v>
      </c>
      <c r="F37" s="402">
        <f>IF(C37=0,0,+E37/C37)</f>
        <v>0.38669950738916259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260</v>
      </c>
      <c r="D43" s="409">
        <v>143</v>
      </c>
      <c r="E43" s="409">
        <f>+D43-C43</f>
        <v>-117</v>
      </c>
      <c r="F43" s="410">
        <f>IF(C43=0,0,+E43/C43)</f>
        <v>-0.45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6440</v>
      </c>
      <c r="D44" s="409">
        <v>6230</v>
      </c>
      <c r="E44" s="409">
        <f>+D44-C44</f>
        <v>-210</v>
      </c>
      <c r="F44" s="410">
        <f>IF(C44=0,0,+E44/C44)</f>
        <v>-3.2608695652173912E-2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6700</v>
      </c>
      <c r="D45" s="401">
        <f>SUM(D43:D44)</f>
        <v>6373</v>
      </c>
      <c r="E45" s="401">
        <f>+D45-C45</f>
        <v>-327</v>
      </c>
      <c r="F45" s="402">
        <f>IF(C45=0,0,+E45/C45)</f>
        <v>-4.8805970149253732E-2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347</v>
      </c>
      <c r="D48" s="409">
        <v>566</v>
      </c>
      <c r="E48" s="409">
        <f>+D48-C48</f>
        <v>219</v>
      </c>
      <c r="F48" s="410">
        <f>IF(C48=0,0,+E48/C48)</f>
        <v>0.63112391930835732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192</v>
      </c>
      <c r="D49" s="409">
        <v>521</v>
      </c>
      <c r="E49" s="409">
        <f>+D49-C49</f>
        <v>329</v>
      </c>
      <c r="F49" s="410">
        <f>IF(C49=0,0,+E49/C49)</f>
        <v>1.7135416666666667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539</v>
      </c>
      <c r="D50" s="401">
        <f>SUM(D48:D49)</f>
        <v>1087</v>
      </c>
      <c r="E50" s="401">
        <f>+D50-C50</f>
        <v>548</v>
      </c>
      <c r="F50" s="402">
        <f>IF(C50=0,0,+E50/C50)</f>
        <v>1.0166975881261595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80</v>
      </c>
      <c r="D53" s="409">
        <v>81</v>
      </c>
      <c r="E53" s="409">
        <f>+D53-C53</f>
        <v>1</v>
      </c>
      <c r="F53" s="410">
        <f>IF(C53=0,0,+E53/C53)</f>
        <v>1.2500000000000001E-2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80</v>
      </c>
      <c r="D55" s="401">
        <f>SUM(D53:D54)</f>
        <v>81</v>
      </c>
      <c r="E55" s="401">
        <f>+D55-C55</f>
        <v>1</v>
      </c>
      <c r="F55" s="402">
        <f>IF(C55=0,0,+E55/C55)</f>
        <v>1.2500000000000001E-2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3434</v>
      </c>
      <c r="D63" s="409">
        <v>3247</v>
      </c>
      <c r="E63" s="409">
        <f>+D63-C63</f>
        <v>-187</v>
      </c>
      <c r="F63" s="410">
        <f>IF(C63=0,0,+E63/C63)</f>
        <v>-5.4455445544554455E-2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7319</v>
      </c>
      <c r="D64" s="409">
        <v>7031</v>
      </c>
      <c r="E64" s="409">
        <f>+D64-C64</f>
        <v>-288</v>
      </c>
      <c r="F64" s="410">
        <f>IF(C64=0,0,+E64/C64)</f>
        <v>-3.934963792867878E-2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10753</v>
      </c>
      <c r="D65" s="401">
        <f>SUM(D63:D64)</f>
        <v>10278</v>
      </c>
      <c r="E65" s="401">
        <f>+D65-C65</f>
        <v>-475</v>
      </c>
      <c r="F65" s="402">
        <f>IF(C65=0,0,+E65/C65)</f>
        <v>-4.4173718962150096E-2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1161</v>
      </c>
      <c r="D68" s="409">
        <v>1182</v>
      </c>
      <c r="E68" s="409">
        <f>+D68-C68</f>
        <v>21</v>
      </c>
      <c r="F68" s="410">
        <f>IF(C68=0,0,+E68/C68)</f>
        <v>1.8087855297157621E-2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6195</v>
      </c>
      <c r="D69" s="409">
        <v>5857</v>
      </c>
      <c r="E69" s="409">
        <f>+D69-C69</f>
        <v>-338</v>
      </c>
      <c r="F69" s="412">
        <f>IF(C69=0,0,+E69/C69)</f>
        <v>-5.456012913640032E-2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7356</v>
      </c>
      <c r="D70" s="401">
        <f>SUM(D68:D69)</f>
        <v>7039</v>
      </c>
      <c r="E70" s="401">
        <f>+D70-C70</f>
        <v>-317</v>
      </c>
      <c r="F70" s="402">
        <f>IF(C70=0,0,+E70/C70)</f>
        <v>-4.3094072865687873E-2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14470</v>
      </c>
      <c r="D73" s="376">
        <v>14007</v>
      </c>
      <c r="E73" s="409">
        <f>+D73-C73</f>
        <v>-463</v>
      </c>
      <c r="F73" s="410">
        <f>IF(C73=0,0,+E73/C73)</f>
        <v>-3.1997235659986176E-2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92594</v>
      </c>
      <c r="D74" s="376">
        <v>91297</v>
      </c>
      <c r="E74" s="409">
        <f>+D74-C74</f>
        <v>-1297</v>
      </c>
      <c r="F74" s="410">
        <f>IF(C74=0,0,+E74/C74)</f>
        <v>-1.4007387087716266E-2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107064</v>
      </c>
      <c r="D75" s="401">
        <f>SUM(D73:D74)</f>
        <v>105304</v>
      </c>
      <c r="E75" s="401">
        <f>SUM(E73:E74)</f>
        <v>-1760</v>
      </c>
      <c r="F75" s="402">
        <f>IF(C75=0,0,+E75/C75)</f>
        <v>-1.6438765598146901E-2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26574</v>
      </c>
      <c r="D79" s="376">
        <v>22553</v>
      </c>
      <c r="E79" s="409">
        <f t="shared" ref="E79:E92" si="0">+D79-C79</f>
        <v>-4021</v>
      </c>
      <c r="F79" s="410">
        <f t="shared" ref="F79:F92" si="1">IF(C79=0,0,+E79/C79)</f>
        <v>-0.15131331376533455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63694</v>
      </c>
      <c r="D81" s="376">
        <v>60688</v>
      </c>
      <c r="E81" s="409">
        <f t="shared" si="0"/>
        <v>-3006</v>
      </c>
      <c r="F81" s="410">
        <f t="shared" si="1"/>
        <v>-4.7194398216472512E-2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5593</v>
      </c>
      <c r="D83" s="376">
        <v>5344</v>
      </c>
      <c r="E83" s="409">
        <f t="shared" si="0"/>
        <v>-249</v>
      </c>
      <c r="F83" s="410">
        <f t="shared" si="1"/>
        <v>-4.4519935633828001E-2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17290</v>
      </c>
      <c r="D91" s="376">
        <v>18613</v>
      </c>
      <c r="E91" s="409">
        <f t="shared" si="0"/>
        <v>1323</v>
      </c>
      <c r="F91" s="410">
        <f t="shared" si="1"/>
        <v>7.6518218623481779E-2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113151</v>
      </c>
      <c r="D92" s="381">
        <f>SUM(D79:D91)</f>
        <v>107198</v>
      </c>
      <c r="E92" s="401">
        <f t="shared" si="0"/>
        <v>-5953</v>
      </c>
      <c r="F92" s="402">
        <f t="shared" si="1"/>
        <v>-5.2611112584069072E-2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23654</v>
      </c>
      <c r="D95" s="414">
        <v>29589</v>
      </c>
      <c r="E95" s="415">
        <f t="shared" ref="E95:E100" si="2">+D95-C95</f>
        <v>5935</v>
      </c>
      <c r="F95" s="412">
        <f t="shared" ref="F95:F100" si="3">IF(C95=0,0,+E95/C95)</f>
        <v>0.2509089371776444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5927</v>
      </c>
      <c r="D96" s="414">
        <v>5504</v>
      </c>
      <c r="E96" s="409">
        <f t="shared" si="2"/>
        <v>-423</v>
      </c>
      <c r="F96" s="410">
        <f t="shared" si="3"/>
        <v>-7.1368314492998144E-2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3697</v>
      </c>
      <c r="D97" s="414">
        <v>3226</v>
      </c>
      <c r="E97" s="409">
        <f t="shared" si="2"/>
        <v>-471</v>
      </c>
      <c r="F97" s="410">
        <f t="shared" si="3"/>
        <v>-0.12740059507708953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356</v>
      </c>
      <c r="D98" s="414">
        <v>349</v>
      </c>
      <c r="E98" s="409">
        <f t="shared" si="2"/>
        <v>-7</v>
      </c>
      <c r="F98" s="410">
        <f t="shared" si="3"/>
        <v>-1.9662921348314606E-2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28157</v>
      </c>
      <c r="D99" s="414">
        <v>27801</v>
      </c>
      <c r="E99" s="409">
        <f t="shared" si="2"/>
        <v>-356</v>
      </c>
      <c r="F99" s="410">
        <f t="shared" si="3"/>
        <v>-1.2643392406861527E-2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61791</v>
      </c>
      <c r="D100" s="381">
        <f>SUM(D95:D99)</f>
        <v>66469</v>
      </c>
      <c r="E100" s="401">
        <f t="shared" si="2"/>
        <v>4678</v>
      </c>
      <c r="F100" s="402">
        <f t="shared" si="3"/>
        <v>7.5706818145037297E-2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638.29999999999995</v>
      </c>
      <c r="D104" s="416">
        <v>513.5</v>
      </c>
      <c r="E104" s="417">
        <f>+D104-C104</f>
        <v>-124.79999999999995</v>
      </c>
      <c r="F104" s="410">
        <f>IF(C104=0,0,+E104/C104)</f>
        <v>-0.19551934826883904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126.4</v>
      </c>
      <c r="D105" s="416">
        <v>113.9</v>
      </c>
      <c r="E105" s="417">
        <f>+D105-C105</f>
        <v>-12.5</v>
      </c>
      <c r="F105" s="410">
        <f>IF(C105=0,0,+E105/C105)</f>
        <v>-9.8892405063291139E-2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1508.2</v>
      </c>
      <c r="D106" s="416">
        <v>1374.3</v>
      </c>
      <c r="E106" s="417">
        <f>+D106-C106</f>
        <v>-133.90000000000009</v>
      </c>
      <c r="F106" s="410">
        <f>IF(C106=0,0,+E106/C106)</f>
        <v>-8.8781328736241935E-2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2272.9</v>
      </c>
      <c r="D107" s="418">
        <f>SUM(D104:D106)</f>
        <v>2001.6999999999998</v>
      </c>
      <c r="E107" s="418">
        <f>+D107-C107</f>
        <v>-271.20000000000027</v>
      </c>
      <c r="F107" s="402">
        <f>IF(C107=0,0,+E107/C107)</f>
        <v>-0.11931893176118627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FILING&amp;RTHE HOSPITAL OF CENTRAL CONNECTICUT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6424</v>
      </c>
      <c r="D12" s="409">
        <v>7031</v>
      </c>
      <c r="E12" s="409">
        <f>+D12-C12</f>
        <v>607</v>
      </c>
      <c r="F12" s="410">
        <f>IF(C12=0,0,+E12/C12)</f>
        <v>9.448941469489415E-2</v>
      </c>
    </row>
    <row r="13" spans="1:6" ht="15.75" customHeight="1" x14ac:dyDescent="0.2">
      <c r="A13" s="374">
        <v>2</v>
      </c>
      <c r="B13" s="408" t="s">
        <v>622</v>
      </c>
      <c r="C13" s="409">
        <v>895</v>
      </c>
      <c r="D13" s="409">
        <v>0</v>
      </c>
      <c r="E13" s="409">
        <f>+D13-C13</f>
        <v>-895</v>
      </c>
      <c r="F13" s="410">
        <f>IF(C13=0,0,+E13/C13)</f>
        <v>-1</v>
      </c>
    </row>
    <row r="14" spans="1:6" ht="15.75" customHeight="1" x14ac:dyDescent="0.25">
      <c r="A14" s="374"/>
      <c r="B14" s="399" t="s">
        <v>623</v>
      </c>
      <c r="C14" s="401">
        <f>SUM(C11:C13)</f>
        <v>7319</v>
      </c>
      <c r="D14" s="401">
        <f>SUM(D11:D13)</f>
        <v>7031</v>
      </c>
      <c r="E14" s="401">
        <f>+D14-C14</f>
        <v>-288</v>
      </c>
      <c r="F14" s="402">
        <f>IF(C14=0,0,+E14/C14)</f>
        <v>-3.934963792867878E-2</v>
      </c>
    </row>
    <row r="15" spans="1:6" ht="15.75" customHeight="1" x14ac:dyDescent="0.25">
      <c r="A15" s="136"/>
      <c r="B15" s="399"/>
      <c r="C15" s="401"/>
      <c r="D15" s="401"/>
      <c r="E15" s="401"/>
      <c r="F15" s="402"/>
    </row>
    <row r="16" spans="1:6" ht="15.75" customHeight="1" x14ac:dyDescent="0.25">
      <c r="A16" s="136" t="s">
        <v>26</v>
      </c>
      <c r="B16" s="406" t="s">
        <v>588</v>
      </c>
      <c r="C16" s="409"/>
      <c r="D16" s="409"/>
      <c r="E16" s="409"/>
      <c r="F16" s="410"/>
    </row>
    <row r="17" spans="1:6" ht="15.75" customHeight="1" x14ac:dyDescent="0.2">
      <c r="A17" s="374">
        <v>1</v>
      </c>
      <c r="B17" s="408" t="s">
        <v>621</v>
      </c>
      <c r="C17" s="409">
        <v>4136</v>
      </c>
      <c r="D17" s="409">
        <v>3892</v>
      </c>
      <c r="E17" s="409">
        <f>+D17-C17</f>
        <v>-244</v>
      </c>
      <c r="F17" s="410">
        <f>IF(C17=0,0,+E17/C17)</f>
        <v>-5.8994197292069631E-2</v>
      </c>
    </row>
    <row r="18" spans="1:6" ht="15.75" customHeight="1" x14ac:dyDescent="0.2">
      <c r="A18" s="374">
        <v>2</v>
      </c>
      <c r="B18" s="408" t="s">
        <v>622</v>
      </c>
      <c r="C18" s="409">
        <v>2059</v>
      </c>
      <c r="D18" s="409">
        <v>1965</v>
      </c>
      <c r="E18" s="409">
        <f>+D18-C18</f>
        <v>-94</v>
      </c>
      <c r="F18" s="410">
        <f>IF(C18=0,0,+E18/C18)</f>
        <v>-4.5653229723166586E-2</v>
      </c>
    </row>
    <row r="19" spans="1:6" ht="15.75" customHeight="1" x14ac:dyDescent="0.25">
      <c r="A19" s="374"/>
      <c r="B19" s="399" t="s">
        <v>624</v>
      </c>
      <c r="C19" s="401">
        <f>SUM(C16:C18)</f>
        <v>6195</v>
      </c>
      <c r="D19" s="401">
        <f>SUM(D16:D18)</f>
        <v>5857</v>
      </c>
      <c r="E19" s="401">
        <f>+D19-C19</f>
        <v>-338</v>
      </c>
      <c r="F19" s="402">
        <f>IF(C19=0,0,+E19/C19)</f>
        <v>-5.456012913640032E-2</v>
      </c>
    </row>
    <row r="20" spans="1:6" ht="15.75" customHeight="1" x14ac:dyDescent="0.25">
      <c r="A20" s="136"/>
      <c r="B20" s="399"/>
      <c r="C20" s="401"/>
      <c r="D20" s="401"/>
      <c r="E20" s="401"/>
      <c r="F20" s="402"/>
    </row>
    <row r="21" spans="1:6" ht="15.75" customHeight="1" x14ac:dyDescent="0.25">
      <c r="A21" s="136" t="s">
        <v>36</v>
      </c>
      <c r="B21" s="406" t="s">
        <v>625</v>
      </c>
      <c r="C21" s="409"/>
      <c r="D21" s="409"/>
      <c r="E21" s="409"/>
      <c r="F21" s="410"/>
    </row>
    <row r="22" spans="1:6" ht="15.75" customHeight="1" x14ac:dyDescent="0.2">
      <c r="A22" s="374">
        <v>1</v>
      </c>
      <c r="B22" s="408" t="s">
        <v>621</v>
      </c>
      <c r="C22" s="409">
        <v>76562</v>
      </c>
      <c r="D22" s="409">
        <v>75702</v>
      </c>
      <c r="E22" s="409">
        <f>+D22-C22</f>
        <v>-860</v>
      </c>
      <c r="F22" s="410">
        <f>IF(C22=0,0,+E22/C22)</f>
        <v>-1.1232726417805178E-2</v>
      </c>
    </row>
    <row r="23" spans="1:6" ht="15.75" customHeight="1" x14ac:dyDescent="0.2">
      <c r="A23" s="374">
        <v>2</v>
      </c>
      <c r="B23" s="408" t="s">
        <v>622</v>
      </c>
      <c r="C23" s="409">
        <v>16032</v>
      </c>
      <c r="D23" s="409">
        <v>15595</v>
      </c>
      <c r="E23" s="409">
        <f>+D23-C23</f>
        <v>-437</v>
      </c>
      <c r="F23" s="410">
        <f>IF(C23=0,0,+E23/C23)</f>
        <v>-2.7257984031936126E-2</v>
      </c>
    </row>
    <row r="24" spans="1:6" ht="15.75" customHeight="1" x14ac:dyDescent="0.25">
      <c r="A24" s="374"/>
      <c r="B24" s="399" t="s">
        <v>626</v>
      </c>
      <c r="C24" s="401">
        <f>SUM(C21:C23)</f>
        <v>92594</v>
      </c>
      <c r="D24" s="401">
        <f>SUM(D21:D23)</f>
        <v>91297</v>
      </c>
      <c r="E24" s="401">
        <f>+D24-C24</f>
        <v>-1297</v>
      </c>
      <c r="F24" s="402">
        <f>IF(C24=0,0,+E24/C24)</f>
        <v>-1.4007387087716266E-2</v>
      </c>
    </row>
    <row r="25" spans="1:6" ht="15.75" customHeight="1" x14ac:dyDescent="0.25">
      <c r="A25" s="136"/>
      <c r="B25" s="399"/>
      <c r="C25" s="401"/>
      <c r="D25" s="401"/>
      <c r="E25" s="401"/>
      <c r="F25" s="402"/>
    </row>
    <row r="26" spans="1:6" ht="15.75" customHeight="1" x14ac:dyDescent="0.25">
      <c r="B26" s="813" t="s">
        <v>627</v>
      </c>
      <c r="C26" s="814"/>
      <c r="D26" s="814"/>
      <c r="E26" s="814"/>
      <c r="F26" s="815"/>
    </row>
    <row r="27" spans="1:6" ht="15.75" customHeight="1" x14ac:dyDescent="0.25">
      <c r="A27" s="392"/>
    </row>
    <row r="28" spans="1:6" ht="15.75" customHeight="1" x14ac:dyDescent="0.25">
      <c r="B28" s="813" t="s">
        <v>628</v>
      </c>
      <c r="C28" s="814"/>
      <c r="D28" s="814"/>
      <c r="E28" s="814"/>
      <c r="F28" s="815"/>
    </row>
    <row r="29" spans="1:6" ht="15.75" customHeight="1" x14ac:dyDescent="0.25">
      <c r="A29" s="392"/>
    </row>
    <row r="30" spans="1:6" ht="15.75" customHeight="1" x14ac:dyDescent="0.25">
      <c r="B30" s="813" t="s">
        <v>629</v>
      </c>
      <c r="C30" s="814"/>
      <c r="D30" s="814"/>
      <c r="E30" s="814"/>
      <c r="F30" s="815"/>
    </row>
    <row r="31" spans="1:6" ht="15.75" customHeight="1" x14ac:dyDescent="0.25">
      <c r="A31" s="392"/>
    </row>
  </sheetData>
  <mergeCells count="7">
    <mergeCell ref="B30:F30"/>
    <mergeCell ref="A1:F1"/>
    <mergeCell ref="A2:F2"/>
    <mergeCell ref="A3:F3"/>
    <mergeCell ref="A4:F4"/>
    <mergeCell ref="B26:F26"/>
    <mergeCell ref="B28:F28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FILING&amp;RTHE HOSPITAL OF CENTRAL CONNECTICUT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630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631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632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633</v>
      </c>
      <c r="D7" s="426" t="s">
        <v>633</v>
      </c>
      <c r="E7" s="426" t="s">
        <v>634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635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636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637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638</v>
      </c>
      <c r="C15" s="448">
        <v>241612322</v>
      </c>
      <c r="D15" s="448">
        <v>211663761</v>
      </c>
      <c r="E15" s="448">
        <f t="shared" ref="E15:E24" si="0">D15-C15</f>
        <v>-29948561</v>
      </c>
      <c r="F15" s="449">
        <f t="shared" ref="F15:F24" si="1">IF(C15=0,0,E15/C15)</f>
        <v>-0.12395295385638486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639</v>
      </c>
      <c r="C16" s="448">
        <v>105254290</v>
      </c>
      <c r="D16" s="448">
        <v>96605419</v>
      </c>
      <c r="E16" s="448">
        <f t="shared" si="0"/>
        <v>-8648871</v>
      </c>
      <c r="F16" s="449">
        <f t="shared" si="1"/>
        <v>-8.2171197012492314E-2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640</v>
      </c>
      <c r="C17" s="453">
        <f>IF(C15=0,0,C16/C15)</f>
        <v>0.43563295583906519</v>
      </c>
      <c r="D17" s="453">
        <f>IF(LN_IA1=0,0,LN_IA2/LN_IA1)</f>
        <v>0.45640981972346223</v>
      </c>
      <c r="E17" s="454">
        <f t="shared" si="0"/>
        <v>2.0776863884397034E-2</v>
      </c>
      <c r="F17" s="449">
        <f t="shared" si="1"/>
        <v>4.7693508045962847E-2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8464</v>
      </c>
      <c r="D18" s="456">
        <v>7089</v>
      </c>
      <c r="E18" s="456">
        <f t="shared" si="0"/>
        <v>-1375</v>
      </c>
      <c r="F18" s="449">
        <f t="shared" si="1"/>
        <v>-0.16245274102079396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641</v>
      </c>
      <c r="C19" s="459">
        <v>1.4821200000000001</v>
      </c>
      <c r="D19" s="459">
        <v>1.5435000000000001</v>
      </c>
      <c r="E19" s="460">
        <f t="shared" si="0"/>
        <v>6.137999999999999E-2</v>
      </c>
      <c r="F19" s="449">
        <f t="shared" si="1"/>
        <v>4.1413650716541163E-2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642</v>
      </c>
      <c r="C20" s="463">
        <f>C18*C19</f>
        <v>12544.663680000001</v>
      </c>
      <c r="D20" s="463">
        <f>LN_IA4*LN_IA5</f>
        <v>10941.871500000001</v>
      </c>
      <c r="E20" s="463">
        <f t="shared" si="0"/>
        <v>-1602.7921800000004</v>
      </c>
      <c r="F20" s="449">
        <f t="shared" si="1"/>
        <v>-0.12776685137883267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643</v>
      </c>
      <c r="C21" s="465">
        <f>IF(C20=0,0,C16/C20)</f>
        <v>8390.3636386687085</v>
      </c>
      <c r="D21" s="465">
        <f>IF(LN_IA6=0,0,LN_IA2/LN_IA6)</f>
        <v>8828.9666900219017</v>
      </c>
      <c r="E21" s="465">
        <f t="shared" si="0"/>
        <v>438.60305135319322</v>
      </c>
      <c r="F21" s="449">
        <f t="shared" si="1"/>
        <v>5.2274617673517897E-2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40770</v>
      </c>
      <c r="D22" s="456">
        <v>35449</v>
      </c>
      <c r="E22" s="456">
        <f t="shared" si="0"/>
        <v>-5321</v>
      </c>
      <c r="F22" s="449">
        <f t="shared" si="1"/>
        <v>-0.13051263183713516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644</v>
      </c>
      <c r="C23" s="465">
        <f>IF(C22=0,0,C16/C22)</f>
        <v>2581.6602894285015</v>
      </c>
      <c r="D23" s="465">
        <f>IF(LN_IA8=0,0,LN_IA2/LN_IA8)</f>
        <v>2725.1944765719768</v>
      </c>
      <c r="E23" s="465">
        <f t="shared" si="0"/>
        <v>143.53418714347526</v>
      </c>
      <c r="F23" s="449">
        <f t="shared" si="1"/>
        <v>5.5597627515605173E-2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645</v>
      </c>
      <c r="C24" s="466">
        <f>IF(C18=0,0,C22/C18)</f>
        <v>4.8168714555765595</v>
      </c>
      <c r="D24" s="466">
        <f>IF(LN_IA4=0,0,LN_IA8/LN_IA4)</f>
        <v>5.0005642544787703</v>
      </c>
      <c r="E24" s="466">
        <f t="shared" si="0"/>
        <v>0.1836927989022108</v>
      </c>
      <c r="F24" s="449">
        <f t="shared" si="1"/>
        <v>3.8135291879036352E-2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646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647</v>
      </c>
      <c r="C27" s="448">
        <v>160031674</v>
      </c>
      <c r="D27" s="448">
        <v>165998757</v>
      </c>
      <c r="E27" s="448">
        <f t="shared" ref="E27:E32" si="2">D27-C27</f>
        <v>5967083</v>
      </c>
      <c r="F27" s="449">
        <f t="shared" ref="F27:F32" si="3">IF(C27=0,0,E27/C27)</f>
        <v>3.7286887344564049E-2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648</v>
      </c>
      <c r="C28" s="448">
        <v>35438934</v>
      </c>
      <c r="D28" s="448">
        <v>39183153</v>
      </c>
      <c r="E28" s="448">
        <f t="shared" si="2"/>
        <v>3744219</v>
      </c>
      <c r="F28" s="449">
        <f t="shared" si="3"/>
        <v>0.10565269824425305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649</v>
      </c>
      <c r="C29" s="453">
        <f>IF(C27=0,0,C28/C27)</f>
        <v>0.2214494988035931</v>
      </c>
      <c r="D29" s="453">
        <f>IF(LN_IA11=0,0,LN_IA12/LN_IA11)</f>
        <v>0.23604485785396573</v>
      </c>
      <c r="E29" s="454">
        <f t="shared" si="2"/>
        <v>1.4595359050372625E-2</v>
      </c>
      <c r="F29" s="449">
        <f t="shared" si="3"/>
        <v>6.5908295702748323E-2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650</v>
      </c>
      <c r="C30" s="453">
        <f>IF(C15=0,0,C27/C15)</f>
        <v>0.6623489757281501</v>
      </c>
      <c r="D30" s="453">
        <f>IF(LN_IA1=0,0,LN_IA11/LN_IA1)</f>
        <v>0.78425686199537958</v>
      </c>
      <c r="E30" s="454">
        <f t="shared" si="2"/>
        <v>0.12190788626722948</v>
      </c>
      <c r="F30" s="449">
        <f t="shared" si="3"/>
        <v>0.18405386093216292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651</v>
      </c>
      <c r="C31" s="463">
        <f>C30*C18</f>
        <v>5606.1217305630626</v>
      </c>
      <c r="D31" s="463">
        <f>LN_IA14*LN_IA4</f>
        <v>5559.5968946852463</v>
      </c>
      <c r="E31" s="463">
        <f t="shared" si="2"/>
        <v>-46.524835877816258</v>
      </c>
      <c r="F31" s="449">
        <f t="shared" si="3"/>
        <v>-8.298934292520873E-3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652</v>
      </c>
      <c r="C32" s="465">
        <f>IF(C31=0,0,C28/C31)</f>
        <v>6321.4706535529722</v>
      </c>
      <c r="D32" s="465">
        <f>IF(LN_IA15=0,0,LN_IA12/LN_IA15)</f>
        <v>7047.8406514431899</v>
      </c>
      <c r="E32" s="465">
        <f t="shared" si="2"/>
        <v>726.36999789021775</v>
      </c>
      <c r="F32" s="449">
        <f t="shared" si="3"/>
        <v>0.11490522343593618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653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654</v>
      </c>
      <c r="C35" s="448">
        <f>C15+C27</f>
        <v>401643996</v>
      </c>
      <c r="D35" s="448">
        <f>LN_IA1+LN_IA11</f>
        <v>377662518</v>
      </c>
      <c r="E35" s="448">
        <f>D35-C35</f>
        <v>-23981478</v>
      </c>
      <c r="F35" s="449">
        <f>IF(C35=0,0,E35/C35)</f>
        <v>-5.970829450666057E-2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655</v>
      </c>
      <c r="C36" s="448">
        <f>C16+C28</f>
        <v>140693224</v>
      </c>
      <c r="D36" s="448">
        <f>LN_IA2+LN_IA12</f>
        <v>135788572</v>
      </c>
      <c r="E36" s="448">
        <f>D36-C36</f>
        <v>-4904652</v>
      </c>
      <c r="F36" s="449">
        <f>IF(C36=0,0,E36/C36)</f>
        <v>-3.4860612761279816E-2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656</v>
      </c>
      <c r="C37" s="448">
        <f>C35-C36</f>
        <v>260950772</v>
      </c>
      <c r="D37" s="448">
        <f>LN_IA17-LN_IA18</f>
        <v>241873946</v>
      </c>
      <c r="E37" s="448">
        <f>D37-C37</f>
        <v>-19076826</v>
      </c>
      <c r="F37" s="449">
        <f>IF(C37=0,0,E37/C37)</f>
        <v>-7.3105075925968141E-2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657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658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638</v>
      </c>
      <c r="C42" s="448">
        <v>89304534</v>
      </c>
      <c r="D42" s="448">
        <v>84260632</v>
      </c>
      <c r="E42" s="448">
        <f t="shared" ref="E42:E53" si="4">D42-C42</f>
        <v>-5043902</v>
      </c>
      <c r="F42" s="449">
        <f t="shared" ref="F42:F53" si="5">IF(C42=0,0,E42/C42)</f>
        <v>-5.647979754309003E-2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639</v>
      </c>
      <c r="C43" s="448">
        <v>59010582</v>
      </c>
      <c r="D43" s="448">
        <v>54434066</v>
      </c>
      <c r="E43" s="448">
        <f t="shared" si="4"/>
        <v>-4576516</v>
      </c>
      <c r="F43" s="449">
        <f t="shared" si="5"/>
        <v>-7.7554157998306131E-2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640</v>
      </c>
      <c r="C44" s="453">
        <f>IF(C42=0,0,C43/C42)</f>
        <v>0.66077923882341738</v>
      </c>
      <c r="D44" s="453">
        <f>IF(LN_IB1=0,0,LN_IB2/LN_IB1)</f>
        <v>0.64602014853152301</v>
      </c>
      <c r="E44" s="454">
        <f t="shared" si="4"/>
        <v>-1.4759090291894372E-2</v>
      </c>
      <c r="F44" s="449">
        <f t="shared" si="5"/>
        <v>-2.2335886820800226E-2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4756</v>
      </c>
      <c r="D45" s="456">
        <v>4371</v>
      </c>
      <c r="E45" s="456">
        <f t="shared" si="4"/>
        <v>-385</v>
      </c>
      <c r="F45" s="449">
        <f t="shared" si="5"/>
        <v>-8.0950378469301934E-2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641</v>
      </c>
      <c r="C46" s="459">
        <v>1.1322000000000001</v>
      </c>
      <c r="D46" s="459">
        <v>1.1756</v>
      </c>
      <c r="E46" s="460">
        <f t="shared" si="4"/>
        <v>4.3399999999999883E-2</v>
      </c>
      <c r="F46" s="449">
        <f t="shared" si="5"/>
        <v>3.8332450097155871E-2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642</v>
      </c>
      <c r="C47" s="463">
        <f>C45*C46</f>
        <v>5384.7432000000008</v>
      </c>
      <c r="D47" s="463">
        <f>LN_IB4*LN_IB5</f>
        <v>5138.5475999999999</v>
      </c>
      <c r="E47" s="463">
        <f t="shared" si="4"/>
        <v>-246.19560000000092</v>
      </c>
      <c r="F47" s="449">
        <f t="shared" si="5"/>
        <v>-4.5720954715166524E-2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643</v>
      </c>
      <c r="C48" s="465">
        <f>IF(C47=0,0,C43/C47)</f>
        <v>10958.847953974851</v>
      </c>
      <c r="D48" s="465">
        <f>IF(LN_IB6=0,0,LN_IB2/LN_IB6)</f>
        <v>10593.278536526546</v>
      </c>
      <c r="E48" s="465">
        <f t="shared" si="4"/>
        <v>-365.5694174483051</v>
      </c>
      <c r="F48" s="449">
        <f t="shared" si="5"/>
        <v>-3.3358380277163209E-2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659</v>
      </c>
      <c r="C49" s="465">
        <f>C21-C48</f>
        <v>-2568.4843153061429</v>
      </c>
      <c r="D49" s="465">
        <f>LN_IA7-LN_IB7</f>
        <v>-1764.3118465046446</v>
      </c>
      <c r="E49" s="465">
        <f t="shared" si="4"/>
        <v>804.17246880149833</v>
      </c>
      <c r="F49" s="449">
        <f t="shared" si="5"/>
        <v>-0.31309222486166804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660</v>
      </c>
      <c r="C50" s="479">
        <f>C49*C47</f>
        <v>-13830628.45115141</v>
      </c>
      <c r="D50" s="479">
        <f>LN_IB8*LN_IB6</f>
        <v>-9066000.4045080096</v>
      </c>
      <c r="E50" s="479">
        <f t="shared" si="4"/>
        <v>4764628.0466434006</v>
      </c>
      <c r="F50" s="449">
        <f t="shared" si="5"/>
        <v>-0.34449830414226346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15927</v>
      </c>
      <c r="D51" s="456">
        <v>16090</v>
      </c>
      <c r="E51" s="456">
        <f t="shared" si="4"/>
        <v>163</v>
      </c>
      <c r="F51" s="449">
        <f t="shared" si="5"/>
        <v>1.0234193507879701E-2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644</v>
      </c>
      <c r="C52" s="465">
        <f>IF(C51=0,0,C43/C51)</f>
        <v>3705.0657374270108</v>
      </c>
      <c r="D52" s="465">
        <f>IF(LN_IB10=0,0,LN_IB2/LN_IB10)</f>
        <v>3383.0991920447482</v>
      </c>
      <c r="E52" s="465">
        <f t="shared" si="4"/>
        <v>-321.96654538226267</v>
      </c>
      <c r="F52" s="449">
        <f t="shared" si="5"/>
        <v>-8.6899010219951695E-2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645</v>
      </c>
      <c r="C53" s="466">
        <f>IF(C45=0,0,C51/C45)</f>
        <v>3.3488225399495373</v>
      </c>
      <c r="D53" s="466">
        <f>IF(LN_IB4=0,0,LN_IB10/LN_IB4)</f>
        <v>3.6810798444291923</v>
      </c>
      <c r="E53" s="466">
        <f t="shared" si="4"/>
        <v>0.33225730447965507</v>
      </c>
      <c r="F53" s="449">
        <f t="shared" si="5"/>
        <v>9.9216157475057423E-2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661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647</v>
      </c>
      <c r="C56" s="448">
        <v>186106883</v>
      </c>
      <c r="D56" s="448">
        <v>183347521</v>
      </c>
      <c r="E56" s="448">
        <f t="shared" ref="E56:E63" si="6">D56-C56</f>
        <v>-2759362</v>
      </c>
      <c r="F56" s="449">
        <f t="shared" ref="F56:F63" si="7">IF(C56=0,0,E56/C56)</f>
        <v>-1.4826759523988159E-2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648</v>
      </c>
      <c r="C57" s="448">
        <v>101595013</v>
      </c>
      <c r="D57" s="448">
        <v>100464784</v>
      </c>
      <c r="E57" s="448">
        <f t="shared" si="6"/>
        <v>-1130229</v>
      </c>
      <c r="F57" s="449">
        <f t="shared" si="7"/>
        <v>-1.1124847240287276E-2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649</v>
      </c>
      <c r="C58" s="453">
        <f>IF(C56=0,0,C57/C56)</f>
        <v>0.54589605372091476</v>
      </c>
      <c r="D58" s="453">
        <f>IF(LN_IB13=0,0,LN_IB14/LN_IB13)</f>
        <v>0.54794732675987479</v>
      </c>
      <c r="E58" s="454">
        <f t="shared" si="6"/>
        <v>2.051273038960022E-3</v>
      </c>
      <c r="F58" s="449">
        <f t="shared" si="7"/>
        <v>3.7576256962808525E-3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650</v>
      </c>
      <c r="C59" s="453">
        <f>IF(C42=0,0,C56/C42)</f>
        <v>2.0839578313011522</v>
      </c>
      <c r="D59" s="453">
        <f>IF(LN_IB1=0,0,LN_IB13/LN_IB1)</f>
        <v>2.175957106516837</v>
      </c>
      <c r="E59" s="454">
        <f t="shared" si="6"/>
        <v>9.199927521568485E-2</v>
      </c>
      <c r="F59" s="449">
        <f t="shared" si="7"/>
        <v>4.4146418816086906E-2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651</v>
      </c>
      <c r="C60" s="463">
        <f>C59*C45</f>
        <v>9911.3034456682799</v>
      </c>
      <c r="D60" s="463">
        <f>LN_IB16*LN_IB4</f>
        <v>9511.108512585095</v>
      </c>
      <c r="E60" s="463">
        <f t="shared" si="6"/>
        <v>-400.19493308318488</v>
      </c>
      <c r="F60" s="449">
        <f t="shared" si="7"/>
        <v>-4.0377628964441553E-2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652</v>
      </c>
      <c r="C61" s="465">
        <f>IF(C60=0,0,C57/C60)</f>
        <v>10250.418984437607</v>
      </c>
      <c r="D61" s="465">
        <f>IF(LN_IB17=0,0,LN_IB14/LN_IB17)</f>
        <v>10562.889054106052</v>
      </c>
      <c r="E61" s="465">
        <f t="shared" si="6"/>
        <v>312.47006966844492</v>
      </c>
      <c r="F61" s="449">
        <f t="shared" si="7"/>
        <v>3.0483638780311642E-2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662</v>
      </c>
      <c r="C62" s="465">
        <f>C32-C61</f>
        <v>-3928.9483308846347</v>
      </c>
      <c r="D62" s="465">
        <f>LN_IA16-LN_IB18</f>
        <v>-3515.0484026628619</v>
      </c>
      <c r="E62" s="465">
        <f t="shared" si="6"/>
        <v>413.89992822177283</v>
      </c>
      <c r="F62" s="449">
        <f t="shared" si="7"/>
        <v>-0.10534623857692216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663</v>
      </c>
      <c r="C63" s="448">
        <f>C62*C60</f>
        <v>-38940999.129749514</v>
      </c>
      <c r="D63" s="448">
        <f>LN_IB19*LN_IB17</f>
        <v>-33432006.784715388</v>
      </c>
      <c r="E63" s="448">
        <f t="shared" si="6"/>
        <v>5508992.3450341262</v>
      </c>
      <c r="F63" s="449">
        <f t="shared" si="7"/>
        <v>-0.14147023620730509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664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654</v>
      </c>
      <c r="C66" s="448">
        <f>C42+C56</f>
        <v>275411417</v>
      </c>
      <c r="D66" s="448">
        <f>LN_IB1+LN_IB13</f>
        <v>267608153</v>
      </c>
      <c r="E66" s="448">
        <f>D66-C66</f>
        <v>-7803264</v>
      </c>
      <c r="F66" s="449">
        <f>IF(C66=0,0,E66/C66)</f>
        <v>-2.8333117359473883E-2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655</v>
      </c>
      <c r="C67" s="448">
        <f>C43+C57</f>
        <v>160605595</v>
      </c>
      <c r="D67" s="448">
        <f>LN_IB2+LN_IB14</f>
        <v>154898850</v>
      </c>
      <c r="E67" s="448">
        <f>D67-C67</f>
        <v>-5706745</v>
      </c>
      <c r="F67" s="449">
        <f>IF(C67=0,0,E67/C67)</f>
        <v>-3.5532666218757822E-2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656</v>
      </c>
      <c r="C68" s="448">
        <f>C66-C67</f>
        <v>114805822</v>
      </c>
      <c r="D68" s="448">
        <f>LN_IB21-LN_IB22</f>
        <v>112709303</v>
      </c>
      <c r="E68" s="448">
        <f>D68-C68</f>
        <v>-2096519</v>
      </c>
      <c r="F68" s="449">
        <f>IF(C68=0,0,E68/C68)</f>
        <v>-1.8261434511570328E-2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665</v>
      </c>
      <c r="C70" s="441">
        <f>C50+C63</f>
        <v>-52771627.580900922</v>
      </c>
      <c r="D70" s="441">
        <f>LN_IB9+LN_IB20</f>
        <v>-42498007.189223394</v>
      </c>
      <c r="E70" s="448">
        <f>D70-C70</f>
        <v>10273620.391677529</v>
      </c>
      <c r="F70" s="449">
        <f>IF(C70=0,0,E70/C70)</f>
        <v>-0.19468075673670809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666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667</v>
      </c>
      <c r="C73" s="488">
        <v>269161826</v>
      </c>
      <c r="D73" s="488">
        <v>267608153</v>
      </c>
      <c r="E73" s="488">
        <f>D73-C73</f>
        <v>-1553673</v>
      </c>
      <c r="F73" s="489">
        <f>IF(C73=0,0,E73/C73)</f>
        <v>-5.7722635601379817E-3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668</v>
      </c>
      <c r="C74" s="488">
        <v>154356004</v>
      </c>
      <c r="D74" s="488">
        <v>154898850</v>
      </c>
      <c r="E74" s="488">
        <f>D74-C74</f>
        <v>542846</v>
      </c>
      <c r="F74" s="489">
        <f>IF(C74=0,0,E74/C74)</f>
        <v>3.5168440872568843E-3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669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670</v>
      </c>
      <c r="C76" s="441">
        <f>C73-C74</f>
        <v>114805822</v>
      </c>
      <c r="D76" s="441">
        <f>LN_IB32-LN_IB33</f>
        <v>112709303</v>
      </c>
      <c r="E76" s="488">
        <f>D76-C76</f>
        <v>-2096519</v>
      </c>
      <c r="F76" s="489">
        <f>IF(E76=0,0,E76/C76)</f>
        <v>-1.8261434511570328E-2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671</v>
      </c>
      <c r="C77" s="453">
        <f>IF(C73=0,0,C76/C73)</f>
        <v>0.426530848397499</v>
      </c>
      <c r="D77" s="453">
        <f>IF(LN_IB32=0,0,LN_IB34/LN_IB32)</f>
        <v>0.42117290425004356</v>
      </c>
      <c r="E77" s="493">
        <f>D77-C77</f>
        <v>-5.3579441474554401E-3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672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673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638</v>
      </c>
      <c r="C83" s="448">
        <v>4494481</v>
      </c>
      <c r="D83" s="448">
        <v>4801848</v>
      </c>
      <c r="E83" s="448">
        <f t="shared" ref="E83:E95" si="8">D83-C83</f>
        <v>307367</v>
      </c>
      <c r="F83" s="449">
        <f t="shared" ref="F83:F95" si="9">IF(C83=0,0,E83/C83)</f>
        <v>6.8387651432946311E-2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639</v>
      </c>
      <c r="C84" s="448">
        <v>1006871</v>
      </c>
      <c r="D84" s="448">
        <v>635432</v>
      </c>
      <c r="E84" s="448">
        <f t="shared" si="8"/>
        <v>-371439</v>
      </c>
      <c r="F84" s="449">
        <f t="shared" si="9"/>
        <v>-0.36890425883752737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640</v>
      </c>
      <c r="C85" s="453">
        <f>IF(C83=0,0,C84/C83)</f>
        <v>0.2240238639344565</v>
      </c>
      <c r="D85" s="453">
        <f>IF(LN_IC1=0,0,LN_IC2/LN_IC1)</f>
        <v>0.13233071933972088</v>
      </c>
      <c r="E85" s="454">
        <f t="shared" si="8"/>
        <v>-9.1693144594735626E-2</v>
      </c>
      <c r="F85" s="449">
        <f t="shared" si="9"/>
        <v>-0.40930079047990453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206</v>
      </c>
      <c r="D86" s="456">
        <v>224</v>
      </c>
      <c r="E86" s="456">
        <f t="shared" si="8"/>
        <v>18</v>
      </c>
      <c r="F86" s="449">
        <f t="shared" si="9"/>
        <v>8.7378640776699032E-2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641</v>
      </c>
      <c r="C87" s="459">
        <v>1.0947100000000001</v>
      </c>
      <c r="D87" s="459">
        <v>1.1022000000000001</v>
      </c>
      <c r="E87" s="460">
        <f t="shared" si="8"/>
        <v>7.4899999999999967E-3</v>
      </c>
      <c r="F87" s="449">
        <f t="shared" si="9"/>
        <v>6.8419946835234866E-3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642</v>
      </c>
      <c r="C88" s="463">
        <f>C86*C87</f>
        <v>225.51026000000002</v>
      </c>
      <c r="D88" s="463">
        <f>LN_IC4*LN_IC5</f>
        <v>246.89280000000002</v>
      </c>
      <c r="E88" s="463">
        <f t="shared" si="8"/>
        <v>21.382540000000006</v>
      </c>
      <c r="F88" s="449">
        <f t="shared" si="9"/>
        <v>9.4818479655870216E-2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643</v>
      </c>
      <c r="C89" s="465">
        <f>IF(C88=0,0,C84/C88)</f>
        <v>4464.8567209314551</v>
      </c>
      <c r="D89" s="465">
        <f>IF(LN_IC6=0,0,LN_IC2/LN_IC6)</f>
        <v>2573.7162039557247</v>
      </c>
      <c r="E89" s="465">
        <f t="shared" si="8"/>
        <v>-1891.1405169757304</v>
      </c>
      <c r="F89" s="449">
        <f t="shared" si="9"/>
        <v>-0.42356129998751718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674</v>
      </c>
      <c r="C90" s="465">
        <f>C48-C89</f>
        <v>6493.9912330433963</v>
      </c>
      <c r="D90" s="465">
        <f>LN_IB7-LN_IC7</f>
        <v>8019.562332570822</v>
      </c>
      <c r="E90" s="465">
        <f t="shared" si="8"/>
        <v>1525.5710995274258</v>
      </c>
      <c r="F90" s="449">
        <f t="shared" si="9"/>
        <v>0.23492041254457774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675</v>
      </c>
      <c r="C91" s="465">
        <f>C21-C89</f>
        <v>3925.5069177372534</v>
      </c>
      <c r="D91" s="465">
        <f>LN_IA7-LN_IC7</f>
        <v>6255.2504860661775</v>
      </c>
      <c r="E91" s="465">
        <f t="shared" si="8"/>
        <v>2329.7435683289241</v>
      </c>
      <c r="F91" s="449">
        <f t="shared" si="9"/>
        <v>0.5934885906841908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660</v>
      </c>
      <c r="C92" s="441">
        <f>C91*C88</f>
        <v>885242.08565072669</v>
      </c>
      <c r="D92" s="441">
        <f>LN_IC9*LN_IC6</f>
        <v>1544376.3072062398</v>
      </c>
      <c r="E92" s="441">
        <f t="shared" si="8"/>
        <v>659134.2215555131</v>
      </c>
      <c r="F92" s="449">
        <f t="shared" si="9"/>
        <v>0.74458075620184117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557</v>
      </c>
      <c r="D93" s="456">
        <v>824</v>
      </c>
      <c r="E93" s="456">
        <f t="shared" si="8"/>
        <v>267</v>
      </c>
      <c r="F93" s="449">
        <f t="shared" si="9"/>
        <v>0.47935368043087973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644</v>
      </c>
      <c r="C94" s="499">
        <f>IF(C93=0,0,C84/C93)</f>
        <v>1807.6678635547576</v>
      </c>
      <c r="D94" s="499">
        <f>IF(LN_IC11=0,0,LN_IC2/LN_IC11)</f>
        <v>771.15533980582529</v>
      </c>
      <c r="E94" s="499">
        <f t="shared" si="8"/>
        <v>-1036.5125237489324</v>
      </c>
      <c r="F94" s="449">
        <f t="shared" si="9"/>
        <v>-0.5733976604035228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645</v>
      </c>
      <c r="C95" s="466">
        <f>IF(C86=0,0,C93/C86)</f>
        <v>2.703883495145631</v>
      </c>
      <c r="D95" s="466">
        <f>IF(LN_IC4=0,0,LN_IC11/LN_IC4)</f>
        <v>3.6785714285714284</v>
      </c>
      <c r="E95" s="466">
        <f t="shared" si="8"/>
        <v>0.9746879334257974</v>
      </c>
      <c r="F95" s="449">
        <f t="shared" si="9"/>
        <v>0.36047704539625541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676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647</v>
      </c>
      <c r="C98" s="448">
        <v>15286291</v>
      </c>
      <c r="D98" s="448">
        <v>12008293</v>
      </c>
      <c r="E98" s="448">
        <f t="shared" ref="E98:E106" si="10">D98-C98</f>
        <v>-3277998</v>
      </c>
      <c r="F98" s="449">
        <f t="shared" ref="F98:F106" si="11">IF(C98=0,0,E98/C98)</f>
        <v>-0.2144403766747604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648</v>
      </c>
      <c r="C99" s="448">
        <v>271415</v>
      </c>
      <c r="D99" s="448">
        <v>34721</v>
      </c>
      <c r="E99" s="448">
        <f t="shared" si="10"/>
        <v>-236694</v>
      </c>
      <c r="F99" s="449">
        <f t="shared" si="11"/>
        <v>-0.87207413002229062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649</v>
      </c>
      <c r="C100" s="453">
        <f>IF(C98=0,0,C99/C98)</f>
        <v>1.7755451600391488E-2</v>
      </c>
      <c r="D100" s="453">
        <f>IF(LN_IC14=0,0,LN_IC15/LN_IC14)</f>
        <v>2.891418455562335E-3</v>
      </c>
      <c r="E100" s="454">
        <f t="shared" si="10"/>
        <v>-1.4864033144829154E-2</v>
      </c>
      <c r="F100" s="449">
        <f t="shared" si="11"/>
        <v>-0.83715320113296465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650</v>
      </c>
      <c r="C101" s="453">
        <f>IF(C83=0,0,C98/C83)</f>
        <v>3.4011248462280741</v>
      </c>
      <c r="D101" s="453">
        <f>IF(LN_IC1=0,0,LN_IC14/LN_IC1)</f>
        <v>2.5007649138415045</v>
      </c>
      <c r="E101" s="454">
        <f t="shared" si="10"/>
        <v>-0.90035993238656964</v>
      </c>
      <c r="F101" s="449">
        <f t="shared" si="11"/>
        <v>-0.26472416423792544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651</v>
      </c>
      <c r="C102" s="463">
        <f>C101*C86</f>
        <v>700.63171832298326</v>
      </c>
      <c r="D102" s="463">
        <f>LN_IC17*LN_IC4</f>
        <v>560.17134070049701</v>
      </c>
      <c r="E102" s="463">
        <f t="shared" si="10"/>
        <v>-140.46037762248625</v>
      </c>
      <c r="F102" s="449">
        <f t="shared" si="11"/>
        <v>-0.20047676111308396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652</v>
      </c>
      <c r="C103" s="465">
        <f>IF(C102=0,0,C99/C102)</f>
        <v>387.38611584650062</v>
      </c>
      <c r="D103" s="465">
        <f>IF(LN_IC18=0,0,LN_IC15/LN_IC18)</f>
        <v>61.982821107165563</v>
      </c>
      <c r="E103" s="465">
        <f t="shared" si="10"/>
        <v>-325.40329473933502</v>
      </c>
      <c r="F103" s="449">
        <f t="shared" si="11"/>
        <v>-0.83999730870136324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677</v>
      </c>
      <c r="C104" s="465">
        <f>C61-C103</f>
        <v>9863.0328685911063</v>
      </c>
      <c r="D104" s="465">
        <f>LN_IB18-LN_IC19</f>
        <v>10500.906232998886</v>
      </c>
      <c r="E104" s="465">
        <f t="shared" si="10"/>
        <v>637.87336440778017</v>
      </c>
      <c r="F104" s="449">
        <f t="shared" si="11"/>
        <v>6.4673145969034757E-2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678</v>
      </c>
      <c r="C105" s="465">
        <f>C32-C103</f>
        <v>5934.0845377064716</v>
      </c>
      <c r="D105" s="465">
        <f>LN_IA16-LN_IC19</f>
        <v>6985.8578303360246</v>
      </c>
      <c r="E105" s="465">
        <f t="shared" si="10"/>
        <v>1051.773292629553</v>
      </c>
      <c r="F105" s="449">
        <f t="shared" si="11"/>
        <v>0.17724272142507499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663</v>
      </c>
      <c r="C106" s="448">
        <f>C105*C102</f>
        <v>4157607.8463271311</v>
      </c>
      <c r="D106" s="448">
        <f>LN_IC21*LN_IC18</f>
        <v>3913277.3467623959</v>
      </c>
      <c r="E106" s="448">
        <f t="shared" si="10"/>
        <v>-244330.49956473522</v>
      </c>
      <c r="F106" s="449">
        <f t="shared" si="11"/>
        <v>-5.8767086410176715E-2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679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654</v>
      </c>
      <c r="C109" s="448">
        <f>C83+C98</f>
        <v>19780772</v>
      </c>
      <c r="D109" s="448">
        <f>LN_IC1+LN_IC14</f>
        <v>16810141</v>
      </c>
      <c r="E109" s="448">
        <f>D109-C109</f>
        <v>-2970631</v>
      </c>
      <c r="F109" s="449">
        <f>IF(C109=0,0,E109/C109)</f>
        <v>-0.15017770792767846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655</v>
      </c>
      <c r="C110" s="448">
        <f>C84+C99</f>
        <v>1278286</v>
      </c>
      <c r="D110" s="448">
        <f>LN_IC2+LN_IC15</f>
        <v>670153</v>
      </c>
      <c r="E110" s="448">
        <f>D110-C110</f>
        <v>-608133</v>
      </c>
      <c r="F110" s="449">
        <f>IF(C110=0,0,E110/C110)</f>
        <v>-0.47574095312003728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656</v>
      </c>
      <c r="C111" s="448">
        <f>C109-C110</f>
        <v>18502486</v>
      </c>
      <c r="D111" s="448">
        <f>LN_IC23-LN_IC24</f>
        <v>16139988</v>
      </c>
      <c r="E111" s="448">
        <f>D111-C111</f>
        <v>-2362498</v>
      </c>
      <c r="F111" s="449">
        <f>IF(C111=0,0,E111/C111)</f>
        <v>-0.12768543643270422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665</v>
      </c>
      <c r="C113" s="448">
        <f>C92+C106</f>
        <v>5042849.9319778578</v>
      </c>
      <c r="D113" s="448">
        <f>LN_IC10+LN_IC22</f>
        <v>5457653.6539686359</v>
      </c>
      <c r="E113" s="448">
        <f>D113-C113</f>
        <v>414803.72199077811</v>
      </c>
      <c r="F113" s="449">
        <f>IF(C113=0,0,E113/C113)</f>
        <v>8.2255813198091304E-2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680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681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638</v>
      </c>
      <c r="C118" s="448">
        <v>79113082</v>
      </c>
      <c r="D118" s="448">
        <v>74498682</v>
      </c>
      <c r="E118" s="448">
        <f t="shared" ref="E118:E130" si="12">D118-C118</f>
        <v>-4614400</v>
      </c>
      <c r="F118" s="449">
        <f t="shared" ref="F118:F130" si="13">IF(C118=0,0,E118/C118)</f>
        <v>-5.8326636800725321E-2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639</v>
      </c>
      <c r="C119" s="448">
        <v>23621637</v>
      </c>
      <c r="D119" s="448">
        <v>25614674</v>
      </c>
      <c r="E119" s="448">
        <f t="shared" si="12"/>
        <v>1993037</v>
      </c>
      <c r="F119" s="449">
        <f t="shared" si="13"/>
        <v>8.4373364978896262E-2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640</v>
      </c>
      <c r="C120" s="453">
        <f>IF(C118=0,0,C119/C118)</f>
        <v>0.29858066962932883</v>
      </c>
      <c r="D120" s="453">
        <f>IF(LN_ID1=0,0,LN_1D2/LN_ID1)</f>
        <v>0.34382721025856539</v>
      </c>
      <c r="E120" s="454">
        <f t="shared" si="12"/>
        <v>4.5246540629236554E-2</v>
      </c>
      <c r="F120" s="449">
        <f t="shared" si="13"/>
        <v>0.15153874725181504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4668</v>
      </c>
      <c r="D121" s="456">
        <v>4161</v>
      </c>
      <c r="E121" s="456">
        <f t="shared" si="12"/>
        <v>-507</v>
      </c>
      <c r="F121" s="449">
        <f t="shared" si="13"/>
        <v>-0.10861182519280206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641</v>
      </c>
      <c r="C122" s="459">
        <v>1.00952</v>
      </c>
      <c r="D122" s="459">
        <v>1.0504</v>
      </c>
      <c r="E122" s="460">
        <f t="shared" si="12"/>
        <v>4.0880000000000027E-2</v>
      </c>
      <c r="F122" s="449">
        <f t="shared" si="13"/>
        <v>4.049449243204694E-2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642</v>
      </c>
      <c r="C123" s="463">
        <f>C121*C122</f>
        <v>4712.4393600000003</v>
      </c>
      <c r="D123" s="463">
        <f>LN_ID4*LN_ID5</f>
        <v>4370.7143999999998</v>
      </c>
      <c r="E123" s="463">
        <f t="shared" si="12"/>
        <v>-341.72496000000046</v>
      </c>
      <c r="F123" s="449">
        <f t="shared" si="13"/>
        <v>-7.2515513494055966E-2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643</v>
      </c>
      <c r="C124" s="465">
        <f>IF(C123=0,0,C119/C123)</f>
        <v>5012.6134673486813</v>
      </c>
      <c r="D124" s="465">
        <f>IF(LN_ID6=0,0,LN_1D2/LN_ID6)</f>
        <v>5860.5233963582705</v>
      </c>
      <c r="E124" s="465">
        <f t="shared" si="12"/>
        <v>847.90992900958918</v>
      </c>
      <c r="F124" s="449">
        <f t="shared" si="13"/>
        <v>0.16915525893483138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682</v>
      </c>
      <c r="C125" s="465">
        <f>C48-C124</f>
        <v>5946.2344866261701</v>
      </c>
      <c r="D125" s="465">
        <f>LN_IB7-LN_ID7</f>
        <v>4732.7551401682758</v>
      </c>
      <c r="E125" s="465">
        <f t="shared" si="12"/>
        <v>-1213.4793464578943</v>
      </c>
      <c r="F125" s="449">
        <f t="shared" si="13"/>
        <v>-0.20407525959279979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683</v>
      </c>
      <c r="C126" s="465">
        <f>C21-C124</f>
        <v>3377.7501713200272</v>
      </c>
      <c r="D126" s="465">
        <f>LN_IA7-LN_ID7</f>
        <v>2968.4432936636313</v>
      </c>
      <c r="E126" s="465">
        <f t="shared" si="12"/>
        <v>-409.30687765639595</v>
      </c>
      <c r="F126" s="449">
        <f t="shared" si="13"/>
        <v>-0.12117736863186614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660</v>
      </c>
      <c r="C127" s="479">
        <f>C126*C123</f>
        <v>15917442.855575241</v>
      </c>
      <c r="D127" s="479">
        <f>LN_ID9*LN_ID6</f>
        <v>12974217.849199062</v>
      </c>
      <c r="E127" s="479">
        <f t="shared" si="12"/>
        <v>-2943225.0063761789</v>
      </c>
      <c r="F127" s="449">
        <f t="shared" si="13"/>
        <v>-0.18490564301572382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18724</v>
      </c>
      <c r="D128" s="456">
        <v>17668</v>
      </c>
      <c r="E128" s="456">
        <f t="shared" si="12"/>
        <v>-1056</v>
      </c>
      <c r="F128" s="449">
        <f t="shared" si="13"/>
        <v>-5.6398205511642811E-2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644</v>
      </c>
      <c r="C129" s="465">
        <f>IF(C128=0,0,C119/C128)</f>
        <v>1261.5700170903654</v>
      </c>
      <c r="D129" s="465">
        <f>IF(LN_ID11=0,0,LN_1D2/LN_ID11)</f>
        <v>1449.7777903554449</v>
      </c>
      <c r="E129" s="465">
        <f t="shared" si="12"/>
        <v>188.2077732650796</v>
      </c>
      <c r="F129" s="449">
        <f t="shared" si="13"/>
        <v>0.14918535690880994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645</v>
      </c>
      <c r="C130" s="466">
        <f>IF(C121=0,0,C128/C121)</f>
        <v>4.0111396743787493</v>
      </c>
      <c r="D130" s="466">
        <f>IF(LN_ID4=0,0,LN_ID11/LN_ID4)</f>
        <v>4.2460946887767363</v>
      </c>
      <c r="E130" s="466">
        <f t="shared" si="12"/>
        <v>0.23495501439798705</v>
      </c>
      <c r="F130" s="449">
        <f t="shared" si="13"/>
        <v>5.8575625251538317E-2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684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647</v>
      </c>
      <c r="C133" s="448">
        <v>126611722</v>
      </c>
      <c r="D133" s="448">
        <v>133710380</v>
      </c>
      <c r="E133" s="448">
        <f t="shared" ref="E133:E141" si="14">D133-C133</f>
        <v>7098658</v>
      </c>
      <c r="F133" s="449">
        <f t="shared" ref="F133:F141" si="15">IF(C133=0,0,E133/C133)</f>
        <v>5.6066356952320734E-2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648</v>
      </c>
      <c r="C134" s="448">
        <v>35637819</v>
      </c>
      <c r="D134" s="448">
        <v>37126470</v>
      </c>
      <c r="E134" s="448">
        <f t="shared" si="14"/>
        <v>1488651</v>
      </c>
      <c r="F134" s="449">
        <f t="shared" si="15"/>
        <v>4.1771663973039427E-2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649</v>
      </c>
      <c r="C135" s="453">
        <f>IF(C133=0,0,C134/C133)</f>
        <v>0.28147329834120732</v>
      </c>
      <c r="D135" s="453">
        <f>IF(LN_ID14=0,0,LN_ID15/LN_ID14)</f>
        <v>0.27766333473885874</v>
      </c>
      <c r="E135" s="454">
        <f t="shared" si="14"/>
        <v>-3.8099636023485872E-3</v>
      </c>
      <c r="F135" s="449">
        <f t="shared" si="15"/>
        <v>-1.3535790516548666E-2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650</v>
      </c>
      <c r="C136" s="453">
        <f>IF(C118=0,0,C133/C118)</f>
        <v>1.6003891998544564</v>
      </c>
      <c r="D136" s="453">
        <f>IF(LN_ID1=0,0,LN_ID14/LN_ID1)</f>
        <v>1.7948019536775162</v>
      </c>
      <c r="E136" s="454">
        <f t="shared" si="14"/>
        <v>0.19441275382305978</v>
      </c>
      <c r="F136" s="449">
        <f t="shared" si="15"/>
        <v>0.1214784215244268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651</v>
      </c>
      <c r="C137" s="463">
        <f>C136*C121</f>
        <v>7470.6167849206022</v>
      </c>
      <c r="D137" s="463">
        <f>LN_ID17*LN_ID4</f>
        <v>7468.1709292521446</v>
      </c>
      <c r="E137" s="463">
        <f t="shared" si="14"/>
        <v>-2.4458556684576251</v>
      </c>
      <c r="F137" s="449">
        <f t="shared" si="15"/>
        <v>-3.2739675168381961E-4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652</v>
      </c>
      <c r="C138" s="465">
        <f>IF(C137=0,0,C134/C137)</f>
        <v>4770.3984859636676</v>
      </c>
      <c r="D138" s="465">
        <f>IF(LN_ID18=0,0,LN_ID15/LN_ID18)</f>
        <v>4971.29355389805</v>
      </c>
      <c r="E138" s="465">
        <f t="shared" si="14"/>
        <v>200.8950679343825</v>
      </c>
      <c r="F138" s="449">
        <f t="shared" si="15"/>
        <v>4.2112848334471938E-2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685</v>
      </c>
      <c r="C139" s="465">
        <f>C61-C138</f>
        <v>5480.0204984739394</v>
      </c>
      <c r="D139" s="465">
        <f>LN_IB18-LN_ID19</f>
        <v>5591.5955002080018</v>
      </c>
      <c r="E139" s="465">
        <f t="shared" si="14"/>
        <v>111.57500173406243</v>
      </c>
      <c r="F139" s="449">
        <f t="shared" si="15"/>
        <v>2.0360325616507004E-2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686</v>
      </c>
      <c r="C140" s="465">
        <f>C32-C138</f>
        <v>1551.0721675893046</v>
      </c>
      <c r="D140" s="465">
        <f>LN_IA16-LN_ID19</f>
        <v>2076.5470975451399</v>
      </c>
      <c r="E140" s="465">
        <f t="shared" si="14"/>
        <v>525.47492995583525</v>
      </c>
      <c r="F140" s="449">
        <f t="shared" si="15"/>
        <v>0.33878174138894829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663</v>
      </c>
      <c r="C141" s="441">
        <f>C140*C137</f>
        <v>11587465.76981584</v>
      </c>
      <c r="D141" s="441">
        <f>LN_ID21*LN_ID18</f>
        <v>15508008.66710953</v>
      </c>
      <c r="E141" s="441">
        <f t="shared" si="14"/>
        <v>3920542.8972936906</v>
      </c>
      <c r="F141" s="449">
        <f t="shared" si="15"/>
        <v>0.33834342859560396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687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654</v>
      </c>
      <c r="C144" s="448">
        <f>C118+C133</f>
        <v>205724804</v>
      </c>
      <c r="D144" s="448">
        <f>LN_ID1+LN_ID14</f>
        <v>208209062</v>
      </c>
      <c r="E144" s="448">
        <f>D144-C144</f>
        <v>2484258</v>
      </c>
      <c r="F144" s="449">
        <f>IF(C144=0,0,E144/C144)</f>
        <v>1.2075636732651839E-2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655</v>
      </c>
      <c r="C145" s="448">
        <f>C119+C134</f>
        <v>59259456</v>
      </c>
      <c r="D145" s="448">
        <f>LN_1D2+LN_ID15</f>
        <v>62741144</v>
      </c>
      <c r="E145" s="448">
        <f>D145-C145</f>
        <v>3481688</v>
      </c>
      <c r="F145" s="449">
        <f>IF(C145=0,0,E145/C145)</f>
        <v>5.8753289939077399E-2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656</v>
      </c>
      <c r="C146" s="448">
        <f>C144-C145</f>
        <v>146465348</v>
      </c>
      <c r="D146" s="448">
        <f>LN_ID23-LN_ID24</f>
        <v>145467918</v>
      </c>
      <c r="E146" s="448">
        <f>D146-C146</f>
        <v>-997430</v>
      </c>
      <c r="F146" s="449">
        <f>IF(C146=0,0,E146/C146)</f>
        <v>-6.8100066918217409E-3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665</v>
      </c>
      <c r="C148" s="448">
        <f>C127+C141</f>
        <v>27504908.625391081</v>
      </c>
      <c r="D148" s="448">
        <f>LN_ID10+LN_ID22</f>
        <v>28482226.516308591</v>
      </c>
      <c r="E148" s="448">
        <f>D148-C148</f>
        <v>977317.89091750979</v>
      </c>
      <c r="F148" s="503">
        <f>IF(C148=0,0,E148/C148)</f>
        <v>3.5532490008539835E-2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688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689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638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639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640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641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642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643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690</v>
      </c>
      <c r="C160" s="465">
        <f>C48-C159</f>
        <v>10958.847953974851</v>
      </c>
      <c r="D160" s="465">
        <f>LN_IB7-LN_IE7</f>
        <v>10593.278536526546</v>
      </c>
      <c r="E160" s="465">
        <f t="shared" si="16"/>
        <v>-365.5694174483051</v>
      </c>
      <c r="F160" s="449">
        <f t="shared" si="17"/>
        <v>-3.3358380277163209E-2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691</v>
      </c>
      <c r="C161" s="465">
        <f>C21-C159</f>
        <v>8390.3636386687085</v>
      </c>
      <c r="D161" s="465">
        <f>LN_IA7-LN_IE7</f>
        <v>8828.9666900219017</v>
      </c>
      <c r="E161" s="465">
        <f t="shared" si="16"/>
        <v>438.60305135319322</v>
      </c>
      <c r="F161" s="449">
        <f t="shared" si="17"/>
        <v>5.2274617673517897E-2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660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644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645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692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647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648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649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650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651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652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693</v>
      </c>
      <c r="C174" s="465">
        <f>C61-C173</f>
        <v>10250.418984437607</v>
      </c>
      <c r="D174" s="465">
        <f>LN_IB18-LN_IE19</f>
        <v>10562.889054106052</v>
      </c>
      <c r="E174" s="465">
        <f t="shared" si="18"/>
        <v>312.47006966844492</v>
      </c>
      <c r="F174" s="449">
        <f t="shared" si="19"/>
        <v>3.0483638780311642E-2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694</v>
      </c>
      <c r="C175" s="465">
        <f>C32-C173</f>
        <v>6321.4706535529722</v>
      </c>
      <c r="D175" s="465">
        <f>LN_IA16-LN_IE19</f>
        <v>7047.8406514431899</v>
      </c>
      <c r="E175" s="465">
        <f t="shared" si="18"/>
        <v>726.36999789021775</v>
      </c>
      <c r="F175" s="449">
        <f t="shared" si="19"/>
        <v>0.11490522343593618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663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695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654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655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656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696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697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698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638</v>
      </c>
      <c r="C188" s="448">
        <f>C118+C153</f>
        <v>79113082</v>
      </c>
      <c r="D188" s="448">
        <f>LN_ID1+LN_IE1</f>
        <v>74498682</v>
      </c>
      <c r="E188" s="448">
        <f t="shared" ref="E188:E200" si="20">D188-C188</f>
        <v>-4614400</v>
      </c>
      <c r="F188" s="449">
        <f t="shared" ref="F188:F200" si="21">IF(C188=0,0,E188/C188)</f>
        <v>-5.8326636800725321E-2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639</v>
      </c>
      <c r="C189" s="448">
        <f>C119+C154</f>
        <v>23621637</v>
      </c>
      <c r="D189" s="448">
        <f>LN_1D2+LN_IE2</f>
        <v>25614674</v>
      </c>
      <c r="E189" s="448">
        <f t="shared" si="20"/>
        <v>1993037</v>
      </c>
      <c r="F189" s="449">
        <f t="shared" si="21"/>
        <v>8.4373364978896262E-2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640</v>
      </c>
      <c r="C190" s="453">
        <f>IF(C188=0,0,C189/C188)</f>
        <v>0.29858066962932883</v>
      </c>
      <c r="D190" s="453">
        <f>IF(LN_IF1=0,0,LN_IF2/LN_IF1)</f>
        <v>0.34382721025856539</v>
      </c>
      <c r="E190" s="454">
        <f t="shared" si="20"/>
        <v>4.5246540629236554E-2</v>
      </c>
      <c r="F190" s="449">
        <f t="shared" si="21"/>
        <v>0.15153874725181504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4668</v>
      </c>
      <c r="D191" s="456">
        <f>LN_ID4+LN_IE4</f>
        <v>4161</v>
      </c>
      <c r="E191" s="456">
        <f t="shared" si="20"/>
        <v>-507</v>
      </c>
      <c r="F191" s="449">
        <f t="shared" si="21"/>
        <v>-0.10861182519280206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641</v>
      </c>
      <c r="C192" s="459">
        <f>IF((C121+C156)=0,0,(C123+C158)/(C121+C156))</f>
        <v>1.00952</v>
      </c>
      <c r="D192" s="459">
        <f>IF((LN_ID4+LN_IE4)=0,0,(LN_ID6+LN_IE6)/(LN_ID4+LN_IE4))</f>
        <v>1.0504</v>
      </c>
      <c r="E192" s="460">
        <f t="shared" si="20"/>
        <v>4.0880000000000027E-2</v>
      </c>
      <c r="F192" s="449">
        <f t="shared" si="21"/>
        <v>4.049449243204694E-2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642</v>
      </c>
      <c r="C193" s="463">
        <f>C123+C158</f>
        <v>4712.4393600000003</v>
      </c>
      <c r="D193" s="463">
        <f>LN_IF4*LN_IF5</f>
        <v>4370.7143999999998</v>
      </c>
      <c r="E193" s="463">
        <f t="shared" si="20"/>
        <v>-341.72496000000046</v>
      </c>
      <c r="F193" s="449">
        <f t="shared" si="21"/>
        <v>-7.2515513494055966E-2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643</v>
      </c>
      <c r="C194" s="465">
        <f>IF(C193=0,0,C189/C193)</f>
        <v>5012.6134673486813</v>
      </c>
      <c r="D194" s="465">
        <f>IF(LN_IF6=0,0,LN_IF2/LN_IF6)</f>
        <v>5860.5233963582705</v>
      </c>
      <c r="E194" s="465">
        <f t="shared" si="20"/>
        <v>847.90992900958918</v>
      </c>
      <c r="F194" s="449">
        <f t="shared" si="21"/>
        <v>0.16915525893483138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699</v>
      </c>
      <c r="C195" s="465">
        <f>C48-C194</f>
        <v>5946.2344866261701</v>
      </c>
      <c r="D195" s="465">
        <f>LN_IB7-LN_IF7</f>
        <v>4732.7551401682758</v>
      </c>
      <c r="E195" s="465">
        <f t="shared" si="20"/>
        <v>-1213.4793464578943</v>
      </c>
      <c r="F195" s="449">
        <f t="shared" si="21"/>
        <v>-0.20407525959279979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700</v>
      </c>
      <c r="C196" s="465">
        <f>C21-C194</f>
        <v>3377.7501713200272</v>
      </c>
      <c r="D196" s="465">
        <f>LN_IA7-LN_IF7</f>
        <v>2968.4432936636313</v>
      </c>
      <c r="E196" s="465">
        <f t="shared" si="20"/>
        <v>-409.30687765639595</v>
      </c>
      <c r="F196" s="449">
        <f t="shared" si="21"/>
        <v>-0.12117736863186614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660</v>
      </c>
      <c r="C197" s="479">
        <f>C127+C162</f>
        <v>15917442.855575241</v>
      </c>
      <c r="D197" s="479">
        <f>LN_IF9*LN_IF6</f>
        <v>12974217.849199062</v>
      </c>
      <c r="E197" s="479">
        <f t="shared" si="20"/>
        <v>-2943225.0063761789</v>
      </c>
      <c r="F197" s="449">
        <f t="shared" si="21"/>
        <v>-0.18490564301572382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18724</v>
      </c>
      <c r="D198" s="456">
        <f>LN_ID11+LN_IE11</f>
        <v>17668</v>
      </c>
      <c r="E198" s="456">
        <f t="shared" si="20"/>
        <v>-1056</v>
      </c>
      <c r="F198" s="449">
        <f t="shared" si="21"/>
        <v>-5.6398205511642811E-2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644</v>
      </c>
      <c r="C199" s="519">
        <f>IF(C198=0,0,C189/C198)</f>
        <v>1261.5700170903654</v>
      </c>
      <c r="D199" s="519">
        <f>IF(LN_IF11=0,0,LN_IF2/LN_IF11)</f>
        <v>1449.7777903554449</v>
      </c>
      <c r="E199" s="519">
        <f t="shared" si="20"/>
        <v>188.2077732650796</v>
      </c>
      <c r="F199" s="449">
        <f t="shared" si="21"/>
        <v>0.14918535690880994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645</v>
      </c>
      <c r="C200" s="466">
        <f>IF(C191=0,0,C198/C191)</f>
        <v>4.0111396743787493</v>
      </c>
      <c r="D200" s="466">
        <f>IF(LN_IF4=0,0,LN_IF11/LN_IF4)</f>
        <v>4.2460946887767363</v>
      </c>
      <c r="E200" s="466">
        <f t="shared" si="20"/>
        <v>0.23495501439798705</v>
      </c>
      <c r="F200" s="449">
        <f t="shared" si="21"/>
        <v>5.8575625251538317E-2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701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647</v>
      </c>
      <c r="C203" s="448">
        <f>C133+C168</f>
        <v>126611722</v>
      </c>
      <c r="D203" s="448">
        <f>LN_ID14+LN_IE14</f>
        <v>133710380</v>
      </c>
      <c r="E203" s="448">
        <f t="shared" ref="E203:E211" si="22">D203-C203</f>
        <v>7098658</v>
      </c>
      <c r="F203" s="449">
        <f t="shared" ref="F203:F211" si="23">IF(C203=0,0,E203/C203)</f>
        <v>5.6066356952320734E-2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648</v>
      </c>
      <c r="C204" s="448">
        <f>C134+C169</f>
        <v>35637819</v>
      </c>
      <c r="D204" s="448">
        <f>LN_ID15+LN_IE15</f>
        <v>37126470</v>
      </c>
      <c r="E204" s="448">
        <f t="shared" si="22"/>
        <v>1488651</v>
      </c>
      <c r="F204" s="449">
        <f t="shared" si="23"/>
        <v>4.1771663973039427E-2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649</v>
      </c>
      <c r="C205" s="453">
        <f>IF(C203=0,0,C204/C203)</f>
        <v>0.28147329834120732</v>
      </c>
      <c r="D205" s="453">
        <f>IF(LN_IF14=0,0,LN_IF15/LN_IF14)</f>
        <v>0.27766333473885874</v>
      </c>
      <c r="E205" s="454">
        <f t="shared" si="22"/>
        <v>-3.8099636023485872E-3</v>
      </c>
      <c r="F205" s="449">
        <f t="shared" si="23"/>
        <v>-1.3535790516548666E-2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650</v>
      </c>
      <c r="C206" s="453">
        <f>IF(C188=0,0,C203/C188)</f>
        <v>1.6003891998544564</v>
      </c>
      <c r="D206" s="453">
        <f>IF(LN_IF1=0,0,LN_IF14/LN_IF1)</f>
        <v>1.7948019536775162</v>
      </c>
      <c r="E206" s="454">
        <f t="shared" si="22"/>
        <v>0.19441275382305978</v>
      </c>
      <c r="F206" s="449">
        <f t="shared" si="23"/>
        <v>0.1214784215244268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651</v>
      </c>
      <c r="C207" s="463">
        <f>C137+C172</f>
        <v>7470.6167849206022</v>
      </c>
      <c r="D207" s="463">
        <f>LN_ID18+LN_IE18</f>
        <v>7468.1709292521446</v>
      </c>
      <c r="E207" s="463">
        <f t="shared" si="22"/>
        <v>-2.4458556684576251</v>
      </c>
      <c r="F207" s="449">
        <f t="shared" si="23"/>
        <v>-3.2739675168381961E-4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652</v>
      </c>
      <c r="C208" s="465">
        <f>IF(C207=0,0,C204/C207)</f>
        <v>4770.3984859636676</v>
      </c>
      <c r="D208" s="465">
        <f>IF(LN_IF18=0,0,LN_IF15/LN_IF18)</f>
        <v>4971.29355389805</v>
      </c>
      <c r="E208" s="465">
        <f t="shared" si="22"/>
        <v>200.8950679343825</v>
      </c>
      <c r="F208" s="449">
        <f t="shared" si="23"/>
        <v>4.2112848334471938E-2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702</v>
      </c>
      <c r="C209" s="465">
        <f>C61-C208</f>
        <v>5480.0204984739394</v>
      </c>
      <c r="D209" s="465">
        <f>LN_IB18-LN_IF19</f>
        <v>5591.5955002080018</v>
      </c>
      <c r="E209" s="465">
        <f t="shared" si="22"/>
        <v>111.57500173406243</v>
      </c>
      <c r="F209" s="449">
        <f t="shared" si="23"/>
        <v>2.0360325616507004E-2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703</v>
      </c>
      <c r="C210" s="465">
        <f>C32-C208</f>
        <v>1551.0721675893046</v>
      </c>
      <c r="D210" s="465">
        <f>LN_IA16-LN_IF19</f>
        <v>2076.5470975451399</v>
      </c>
      <c r="E210" s="465">
        <f t="shared" si="22"/>
        <v>525.47492995583525</v>
      </c>
      <c r="F210" s="449">
        <f t="shared" si="23"/>
        <v>0.33878174138894829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663</v>
      </c>
      <c r="C211" s="479">
        <f>C141+C176</f>
        <v>11587465.76981584</v>
      </c>
      <c r="D211" s="441">
        <f>LN_IF21*LN_IF18</f>
        <v>15508008.66710953</v>
      </c>
      <c r="E211" s="441">
        <f t="shared" si="22"/>
        <v>3920542.8972936906</v>
      </c>
      <c r="F211" s="449">
        <f t="shared" si="23"/>
        <v>0.33834342859560396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704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654</v>
      </c>
      <c r="C214" s="448">
        <f>C188+C203</f>
        <v>205724804</v>
      </c>
      <c r="D214" s="448">
        <f>LN_IF1+LN_IF14</f>
        <v>208209062</v>
      </c>
      <c r="E214" s="448">
        <f>D214-C214</f>
        <v>2484258</v>
      </c>
      <c r="F214" s="449">
        <f>IF(C214=0,0,E214/C214)</f>
        <v>1.2075636732651839E-2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655</v>
      </c>
      <c r="C215" s="448">
        <f>C189+C204</f>
        <v>59259456</v>
      </c>
      <c r="D215" s="448">
        <f>LN_IF2+LN_IF15</f>
        <v>62741144</v>
      </c>
      <c r="E215" s="448">
        <f>D215-C215</f>
        <v>3481688</v>
      </c>
      <c r="F215" s="449">
        <f>IF(C215=0,0,E215/C215)</f>
        <v>5.8753289939077399E-2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656</v>
      </c>
      <c r="C216" s="448">
        <f>C214-C215</f>
        <v>146465348</v>
      </c>
      <c r="D216" s="448">
        <f>LN_IF23-LN_IF24</f>
        <v>145467918</v>
      </c>
      <c r="E216" s="448">
        <f>D216-C216</f>
        <v>-997430</v>
      </c>
      <c r="F216" s="449">
        <f>IF(C216=0,0,E216/C216)</f>
        <v>-6.8100066918217409E-3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705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706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638</v>
      </c>
      <c r="C221" s="448">
        <v>298280</v>
      </c>
      <c r="D221" s="448">
        <v>252546</v>
      </c>
      <c r="E221" s="448">
        <f t="shared" ref="E221:E230" si="24">D221-C221</f>
        <v>-45734</v>
      </c>
      <c r="F221" s="449">
        <f t="shared" ref="F221:F230" si="25">IF(C221=0,0,E221/C221)</f>
        <v>-0.1533257342094676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639</v>
      </c>
      <c r="C222" s="448">
        <v>134575</v>
      </c>
      <c r="D222" s="448">
        <v>114113</v>
      </c>
      <c r="E222" s="448">
        <f t="shared" si="24"/>
        <v>-20462</v>
      </c>
      <c r="F222" s="449">
        <f t="shared" si="25"/>
        <v>-0.1520490432844139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640</v>
      </c>
      <c r="C223" s="453">
        <f>IF(C221=0,0,C222/C221)</f>
        <v>0.45117004157167762</v>
      </c>
      <c r="D223" s="453">
        <f>IF(LN_IG1=0,0,LN_IG2/LN_IG1)</f>
        <v>0.45185035597475309</v>
      </c>
      <c r="E223" s="454">
        <f t="shared" si="24"/>
        <v>6.8031440307547708E-4</v>
      </c>
      <c r="F223" s="449">
        <f t="shared" si="25"/>
        <v>1.5078891335638365E-3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19</v>
      </c>
      <c r="D224" s="456">
        <v>19</v>
      </c>
      <c r="E224" s="456">
        <f t="shared" si="24"/>
        <v>0</v>
      </c>
      <c r="F224" s="449">
        <f t="shared" si="25"/>
        <v>0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641</v>
      </c>
      <c r="C225" s="459">
        <v>1.35307</v>
      </c>
      <c r="D225" s="459">
        <v>1.0747</v>
      </c>
      <c r="E225" s="460">
        <f t="shared" si="24"/>
        <v>-0.27837000000000001</v>
      </c>
      <c r="F225" s="449">
        <f t="shared" si="25"/>
        <v>-0.20573214985181845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642</v>
      </c>
      <c r="C226" s="463">
        <f>C224*C225</f>
        <v>25.70833</v>
      </c>
      <c r="D226" s="463">
        <f>LN_IG3*LN_IG4</f>
        <v>20.4193</v>
      </c>
      <c r="E226" s="463">
        <f t="shared" si="24"/>
        <v>-5.2890300000000003</v>
      </c>
      <c r="F226" s="449">
        <f t="shared" si="25"/>
        <v>-0.20573214985181848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643</v>
      </c>
      <c r="C227" s="465">
        <f>IF(C226=0,0,C222/C226)</f>
        <v>5234.6846333464682</v>
      </c>
      <c r="D227" s="465">
        <f>IF(LN_IG5=0,0,LN_IG2/LN_IG5)</f>
        <v>5588.4873624463135</v>
      </c>
      <c r="E227" s="465">
        <f t="shared" si="24"/>
        <v>353.80272909984524</v>
      </c>
      <c r="F227" s="449">
        <f t="shared" si="25"/>
        <v>6.7588165072260259E-2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46</v>
      </c>
      <c r="D228" s="456">
        <v>58</v>
      </c>
      <c r="E228" s="456">
        <f t="shared" si="24"/>
        <v>12</v>
      </c>
      <c r="F228" s="449">
        <f t="shared" si="25"/>
        <v>0.2608695652173913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644</v>
      </c>
      <c r="C229" s="465">
        <f>IF(C228=0,0,C222/C228)</f>
        <v>2925.5434782608695</v>
      </c>
      <c r="D229" s="465">
        <f>IF(LN_IG6=0,0,LN_IG2/LN_IG6)</f>
        <v>1967.4655172413793</v>
      </c>
      <c r="E229" s="465">
        <f t="shared" si="24"/>
        <v>-958.0779610194902</v>
      </c>
      <c r="F229" s="449">
        <f t="shared" si="25"/>
        <v>-0.32748717226005236</v>
      </c>
      <c r="Q229" s="421"/>
      <c r="U229" s="462"/>
    </row>
    <row r="230" spans="1:21" ht="15.75" customHeight="1" x14ac:dyDescent="0.2">
      <c r="A230" s="451">
        <v>10</v>
      </c>
      <c r="B230" s="447" t="s">
        <v>645</v>
      </c>
      <c r="C230" s="466">
        <f>IF(C224=0,0,C228/C224)</f>
        <v>2.4210526315789473</v>
      </c>
      <c r="D230" s="466">
        <f>IF(LN_IG3=0,0,LN_IG6/LN_IG3)</f>
        <v>3.0526315789473686</v>
      </c>
      <c r="E230" s="466">
        <f t="shared" si="24"/>
        <v>0.63157894736842124</v>
      </c>
      <c r="F230" s="449">
        <f t="shared" si="25"/>
        <v>0.26086956521739141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707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647</v>
      </c>
      <c r="C233" s="448">
        <v>836904</v>
      </c>
      <c r="D233" s="448">
        <v>699200</v>
      </c>
      <c r="E233" s="448">
        <f>D233-C233</f>
        <v>-137704</v>
      </c>
      <c r="F233" s="449">
        <f>IF(C233=0,0,E233/C233)</f>
        <v>-0.16453977995086652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648</v>
      </c>
      <c r="C234" s="448">
        <v>241291</v>
      </c>
      <c r="D234" s="448">
        <v>39332</v>
      </c>
      <c r="E234" s="448">
        <f>D234-C234</f>
        <v>-201959</v>
      </c>
      <c r="F234" s="449">
        <f>IF(C234=0,0,E234/C234)</f>
        <v>-0.83699350576689557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708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654</v>
      </c>
      <c r="C237" s="448">
        <f>C221+C233</f>
        <v>1135184</v>
      </c>
      <c r="D237" s="448">
        <f>LN_IG1+LN_IG9</f>
        <v>951746</v>
      </c>
      <c r="E237" s="448">
        <f>D237-C237</f>
        <v>-183438</v>
      </c>
      <c r="F237" s="449">
        <f>IF(C237=0,0,E237/C237)</f>
        <v>-0.16159318665520303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655</v>
      </c>
      <c r="C238" s="448">
        <f>C222+C234</f>
        <v>375866</v>
      </c>
      <c r="D238" s="448">
        <f>LN_IG2+LN_IG10</f>
        <v>153445</v>
      </c>
      <c r="E238" s="448">
        <f>D238-C238</f>
        <v>-222421</v>
      </c>
      <c r="F238" s="449">
        <f>IF(C238=0,0,E238/C238)</f>
        <v>-0.5917561045691816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656</v>
      </c>
      <c r="C239" s="448">
        <f>C237-C238</f>
        <v>759318</v>
      </c>
      <c r="D239" s="448">
        <f>LN_IG13-LN_IG14</f>
        <v>798301</v>
      </c>
      <c r="E239" s="448">
        <f>D239-C239</f>
        <v>38983</v>
      </c>
      <c r="F239" s="449">
        <f>IF(C239=0,0,E239/C239)</f>
        <v>5.1339491491048543E-2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709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710</v>
      </c>
      <c r="C243" s="448">
        <v>31817639</v>
      </c>
      <c r="D243" s="448">
        <v>22666522</v>
      </c>
      <c r="E243" s="441">
        <f>D243-C243</f>
        <v>-9151117</v>
      </c>
      <c r="F243" s="503">
        <f>IF(C243=0,0,E243/C243)</f>
        <v>-0.28761144093689667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711</v>
      </c>
      <c r="C244" s="448">
        <v>377447207</v>
      </c>
      <c r="D244" s="448">
        <v>359304084</v>
      </c>
      <c r="E244" s="441">
        <f>D244-C244</f>
        <v>-18143123</v>
      </c>
      <c r="F244" s="503">
        <f>IF(C244=0,0,E244/C244)</f>
        <v>-4.8067975238719939E-2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712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713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714</v>
      </c>
      <c r="C248" s="441">
        <v>16310702</v>
      </c>
      <c r="D248" s="441">
        <v>17256889</v>
      </c>
      <c r="E248" s="441">
        <f>D248-C248</f>
        <v>946187</v>
      </c>
      <c r="F248" s="449">
        <f>IF(C248=0,0,E248/C248)</f>
        <v>5.8010194778863593E-2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715</v>
      </c>
      <c r="C249" s="441">
        <v>9742308</v>
      </c>
      <c r="D249" s="441">
        <v>5458239</v>
      </c>
      <c r="E249" s="441">
        <f>D249-C249</f>
        <v>-4284069</v>
      </c>
      <c r="F249" s="449">
        <f>IF(C249=0,0,E249/C249)</f>
        <v>-0.43973861224670785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716</v>
      </c>
      <c r="C250" s="441">
        <f>C248+C249</f>
        <v>26053010</v>
      </c>
      <c r="D250" s="441">
        <f>LN_IH4+LN_IH5</f>
        <v>22715128</v>
      </c>
      <c r="E250" s="441">
        <f>D250-C250</f>
        <v>-3337882</v>
      </c>
      <c r="F250" s="449">
        <f>IF(C250=0,0,E250/C250)</f>
        <v>-0.12811886227349545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717</v>
      </c>
      <c r="C251" s="441">
        <f>C250*C313</f>
        <v>9672132.4017373808</v>
      </c>
      <c r="D251" s="441">
        <f>LN_IH6*LN_III10</f>
        <v>8640391.7675316259</v>
      </c>
      <c r="E251" s="441">
        <f>D251-C251</f>
        <v>-1031740.6342057548</v>
      </c>
      <c r="F251" s="449">
        <f>IF(C251=0,0,E251/C251)</f>
        <v>-0.10667147546702585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718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654</v>
      </c>
      <c r="C254" s="441">
        <f>C188+C203</f>
        <v>205724804</v>
      </c>
      <c r="D254" s="441">
        <f>LN_IF23</f>
        <v>208209062</v>
      </c>
      <c r="E254" s="441">
        <f>D254-C254</f>
        <v>2484258</v>
      </c>
      <c r="F254" s="449">
        <f>IF(C254=0,0,E254/C254)</f>
        <v>1.2075636732651839E-2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655</v>
      </c>
      <c r="C255" s="441">
        <f>C189+C204</f>
        <v>59259456</v>
      </c>
      <c r="D255" s="441">
        <f>LN_IF24</f>
        <v>62741144</v>
      </c>
      <c r="E255" s="441">
        <f>D255-C255</f>
        <v>3481688</v>
      </c>
      <c r="F255" s="449">
        <f>IF(C255=0,0,E255/C255)</f>
        <v>5.8753289939077399E-2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719</v>
      </c>
      <c r="C256" s="441">
        <f>C254*C313</f>
        <v>76374957.926530257</v>
      </c>
      <c r="D256" s="441">
        <f>LN_IH8*LN_III10</f>
        <v>79198667.303582087</v>
      </c>
      <c r="E256" s="441">
        <f>D256-C256</f>
        <v>2823709.3770518303</v>
      </c>
      <c r="F256" s="449">
        <f>IF(C256=0,0,E256/C256)</f>
        <v>3.6971665238338058E-2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720</v>
      </c>
      <c r="C257" s="441">
        <f>C256-C255</f>
        <v>17115501.926530257</v>
      </c>
      <c r="D257" s="441">
        <f>LN_IH10-LN_IH9</f>
        <v>16457523.303582087</v>
      </c>
      <c r="E257" s="441">
        <f>D257-C257</f>
        <v>-657978.62294816971</v>
      </c>
      <c r="F257" s="449">
        <f>IF(C257=0,0,E257/C257)</f>
        <v>-3.8443431327494733E-2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721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722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410328218</v>
      </c>
      <c r="D261" s="448">
        <f>LN_IA1+LN_IB1+LN_IF1+LN_IG1</f>
        <v>370675621</v>
      </c>
      <c r="E261" s="448">
        <f t="shared" ref="E261:E274" si="26">D261-C261</f>
        <v>-39652597</v>
      </c>
      <c r="F261" s="503">
        <f t="shared" ref="F261:F274" si="27">IF(C261=0,0,E261/C261)</f>
        <v>-9.6636290804645558E-2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188021084</v>
      </c>
      <c r="D262" s="448">
        <f>+LN_IA2+LN_IB2+LN_IF2+LN_IG2</f>
        <v>176768272</v>
      </c>
      <c r="E262" s="448">
        <f t="shared" si="26"/>
        <v>-11252812</v>
      </c>
      <c r="F262" s="503">
        <f t="shared" si="27"/>
        <v>-5.9848671013937989E-2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723</v>
      </c>
      <c r="C263" s="453">
        <f>IF(C261=0,0,C262/C261)</f>
        <v>0.45822118916520627</v>
      </c>
      <c r="D263" s="453">
        <f>IF(LN_IIA1=0,0,LN_IIA2/LN_IIA1)</f>
        <v>0.47688129994392053</v>
      </c>
      <c r="E263" s="454">
        <f t="shared" si="26"/>
        <v>1.8660110778714267E-2</v>
      </c>
      <c r="F263" s="458">
        <f t="shared" si="27"/>
        <v>4.072293298507107E-2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17907</v>
      </c>
      <c r="D264" s="456">
        <f>LN_IA4+LN_IB4+LN_IF4+LN_IG3</f>
        <v>15640</v>
      </c>
      <c r="E264" s="456">
        <f t="shared" si="26"/>
        <v>-2267</v>
      </c>
      <c r="F264" s="503">
        <f t="shared" si="27"/>
        <v>-0.12659853688501704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724</v>
      </c>
      <c r="C265" s="525">
        <f>IF(C264=0,0,C266/C264)</f>
        <v>1.2658488060534989</v>
      </c>
      <c r="D265" s="525">
        <f>IF(LN_IIA4=0,0,LN_IIA6/LN_IIA4)</f>
        <v>1.3089228132992328</v>
      </c>
      <c r="E265" s="525">
        <f t="shared" si="26"/>
        <v>4.3074007245733847E-2</v>
      </c>
      <c r="F265" s="503">
        <f t="shared" si="27"/>
        <v>3.4027766222748564E-2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725</v>
      </c>
      <c r="C266" s="463">
        <f>C20+C47+C193+C226</f>
        <v>22667.554570000004</v>
      </c>
      <c r="D266" s="463">
        <f>LN_IA6+LN_IB6+LN_IF6+LN_IG5</f>
        <v>20471.552800000001</v>
      </c>
      <c r="E266" s="463">
        <f t="shared" si="26"/>
        <v>-2196.0017700000026</v>
      </c>
      <c r="F266" s="503">
        <f t="shared" si="27"/>
        <v>-9.6878636079533759E-2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473587183</v>
      </c>
      <c r="D267" s="448">
        <f>LN_IA11+LN_IB13+LN_IF14+LN_IG9</f>
        <v>483755858</v>
      </c>
      <c r="E267" s="448">
        <f t="shared" si="26"/>
        <v>10168675</v>
      </c>
      <c r="F267" s="503">
        <f t="shared" si="27"/>
        <v>2.1471600932240601E-2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650</v>
      </c>
      <c r="C268" s="453">
        <f>IF(C261=0,0,C267/C261)</f>
        <v>1.1541667431704636</v>
      </c>
      <c r="D268" s="453">
        <f>IF(LN_IIA1=0,0,LN_IIA7/LN_IIA1)</f>
        <v>1.3050652122600748</v>
      </c>
      <c r="E268" s="454">
        <f t="shared" si="26"/>
        <v>0.15089846908961113</v>
      </c>
      <c r="F268" s="458">
        <f t="shared" si="27"/>
        <v>0.13074234722367523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172913057</v>
      </c>
      <c r="D269" s="448">
        <f>LN_IA12+LN_IB14+LN_IF15+LN_IG10</f>
        <v>176813739</v>
      </c>
      <c r="E269" s="448">
        <f t="shared" si="26"/>
        <v>3900682</v>
      </c>
      <c r="F269" s="503">
        <f t="shared" si="27"/>
        <v>2.2558631879372765E-2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649</v>
      </c>
      <c r="C270" s="453">
        <f>IF(C267=0,0,C269/C267)</f>
        <v>0.36511346422987973</v>
      </c>
      <c r="D270" s="453">
        <f>IF(LN_IIA7=0,0,LN_IIA9/LN_IIA7)</f>
        <v>0.36550201114050385</v>
      </c>
      <c r="E270" s="454">
        <f t="shared" si="26"/>
        <v>3.8854691062412128E-4</v>
      </c>
      <c r="F270" s="458">
        <f t="shared" si="27"/>
        <v>1.0641812715498423E-3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726</v>
      </c>
      <c r="C271" s="441">
        <f>C261+C267</f>
        <v>883915401</v>
      </c>
      <c r="D271" s="441">
        <f>LN_IIA1+LN_IIA7</f>
        <v>854431479</v>
      </c>
      <c r="E271" s="441">
        <f t="shared" si="26"/>
        <v>-29483922</v>
      </c>
      <c r="F271" s="503">
        <f t="shared" si="27"/>
        <v>-3.3356045122241287E-2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727</v>
      </c>
      <c r="C272" s="441">
        <f>C262+C269</f>
        <v>360934141</v>
      </c>
      <c r="D272" s="441">
        <f>LN_IIA2+LN_IIA9</f>
        <v>353582011</v>
      </c>
      <c r="E272" s="441">
        <f t="shared" si="26"/>
        <v>-7352130</v>
      </c>
      <c r="F272" s="503">
        <f t="shared" si="27"/>
        <v>-2.0369727229544627E-2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728</v>
      </c>
      <c r="C273" s="453">
        <f>IF(C271=0,0,C272/C271)</f>
        <v>0.40833561740372937</v>
      </c>
      <c r="D273" s="453">
        <f>IF(LN_IIA11=0,0,LN_IIA12/LN_IIA11)</f>
        <v>0.41382137677537512</v>
      </c>
      <c r="E273" s="454">
        <f t="shared" si="26"/>
        <v>5.4857593716457487E-3</v>
      </c>
      <c r="F273" s="458">
        <f t="shared" si="27"/>
        <v>1.3434437599456017E-2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75467</v>
      </c>
      <c r="D274" s="508">
        <f>LN_IA8+LN_IB10+LN_IF11+LN_IG6</f>
        <v>69265</v>
      </c>
      <c r="E274" s="528">
        <f t="shared" si="26"/>
        <v>-6202</v>
      </c>
      <c r="F274" s="458">
        <f t="shared" si="27"/>
        <v>-8.2181615805583891E-2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729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730</v>
      </c>
      <c r="C277" s="448">
        <f>C15+C188+C221</f>
        <v>321023684</v>
      </c>
      <c r="D277" s="448">
        <f>LN_IA1+LN_IF1+LN_IG1</f>
        <v>286414989</v>
      </c>
      <c r="E277" s="448">
        <f t="shared" ref="E277:E291" si="28">D277-C277</f>
        <v>-34608695</v>
      </c>
      <c r="F277" s="503">
        <f t="shared" ref="F277:F291" si="29">IF(C277=0,0,E277/C277)</f>
        <v>-0.10780729499073345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731</v>
      </c>
      <c r="C278" s="448">
        <f>C16+C189+C222</f>
        <v>129010502</v>
      </c>
      <c r="D278" s="448">
        <f>LN_IA2+LN_IF2+LN_IG2</f>
        <v>122334206</v>
      </c>
      <c r="E278" s="448">
        <f t="shared" si="28"/>
        <v>-6676296</v>
      </c>
      <c r="F278" s="503">
        <f t="shared" si="29"/>
        <v>-5.1750019544920457E-2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732</v>
      </c>
      <c r="C279" s="453">
        <f>IF(C277=0,0,C278/C277)</f>
        <v>0.40187222448048415</v>
      </c>
      <c r="D279" s="453">
        <f>IF(D277=0,0,LN_IIB2/D277)</f>
        <v>0.42712222019916701</v>
      </c>
      <c r="E279" s="454">
        <f t="shared" si="28"/>
        <v>2.5249995718682861E-2</v>
      </c>
      <c r="F279" s="458">
        <f t="shared" si="29"/>
        <v>6.2830905398661263E-2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733</v>
      </c>
      <c r="C280" s="456">
        <f>C18+C191+C224</f>
        <v>13151</v>
      </c>
      <c r="D280" s="456">
        <f>LN_IA4+LN_IF4+LN_IG3</f>
        <v>11269</v>
      </c>
      <c r="E280" s="456">
        <f t="shared" si="28"/>
        <v>-1882</v>
      </c>
      <c r="F280" s="503">
        <f t="shared" si="29"/>
        <v>-0.14310698806174435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734</v>
      </c>
      <c r="C281" s="525">
        <f>IF(C280=0,0,C282/C280)</f>
        <v>1.3141822956429172</v>
      </c>
      <c r="D281" s="525">
        <f>IF(LN_IIB4=0,0,LN_IIB6/LN_IIB4)</f>
        <v>1.3606358328156891</v>
      </c>
      <c r="E281" s="525">
        <f t="shared" si="28"/>
        <v>4.6453537172771897E-2</v>
      </c>
      <c r="F281" s="503">
        <f t="shared" si="29"/>
        <v>3.5347864087642532E-2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735</v>
      </c>
      <c r="C282" s="463">
        <f>C20+C193+C226</f>
        <v>17282.811370000003</v>
      </c>
      <c r="D282" s="463">
        <f>LN_IA6+LN_IF6+LN_IG5</f>
        <v>15333.005200000001</v>
      </c>
      <c r="E282" s="463">
        <f t="shared" si="28"/>
        <v>-1949.8061700000017</v>
      </c>
      <c r="F282" s="503">
        <f t="shared" si="29"/>
        <v>-0.11281765033810014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736</v>
      </c>
      <c r="C283" s="448">
        <f>C27+C203+C233</f>
        <v>287480300</v>
      </c>
      <c r="D283" s="448">
        <f>LN_IA11+LN_IF14+LN_IG9</f>
        <v>300408337</v>
      </c>
      <c r="E283" s="448">
        <f t="shared" si="28"/>
        <v>12928037</v>
      </c>
      <c r="F283" s="503">
        <f t="shared" si="29"/>
        <v>4.4970166651419244E-2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737</v>
      </c>
      <c r="C284" s="453">
        <f>IF(C277=0,0,C283/C277)</f>
        <v>0.89551118602202573</v>
      </c>
      <c r="D284" s="453">
        <f>IF(D277=0,0,LN_IIB7/D277)</f>
        <v>1.048856898337817</v>
      </c>
      <c r="E284" s="454">
        <f t="shared" si="28"/>
        <v>0.1533457123157913</v>
      </c>
      <c r="F284" s="458">
        <f t="shared" si="29"/>
        <v>0.17123818742786723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738</v>
      </c>
      <c r="C285" s="448">
        <f>C28+C204+C234</f>
        <v>71318044</v>
      </c>
      <c r="D285" s="448">
        <f>LN_IA12+LN_IF15+LN_IG10</f>
        <v>76348955</v>
      </c>
      <c r="E285" s="448">
        <f t="shared" si="28"/>
        <v>5030911</v>
      </c>
      <c r="F285" s="503">
        <f t="shared" si="29"/>
        <v>7.0541909421969001E-2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739</v>
      </c>
      <c r="C286" s="453">
        <f>IF(C283=0,0,C285/C283)</f>
        <v>0.24807976059576953</v>
      </c>
      <c r="D286" s="453">
        <f>IF(LN_IIB7=0,0,LN_IIB9/LN_IIB7)</f>
        <v>0.25415058637337351</v>
      </c>
      <c r="E286" s="454">
        <f t="shared" si="28"/>
        <v>6.0708257776039831E-3</v>
      </c>
      <c r="F286" s="458">
        <f t="shared" si="29"/>
        <v>2.4471265866367931E-2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740</v>
      </c>
      <c r="C287" s="441">
        <f>C277+C283</f>
        <v>608503984</v>
      </c>
      <c r="D287" s="441">
        <f>D277+LN_IIB7</f>
        <v>586823326</v>
      </c>
      <c r="E287" s="441">
        <f t="shared" si="28"/>
        <v>-21680658</v>
      </c>
      <c r="F287" s="503">
        <f t="shared" si="29"/>
        <v>-3.5629442978305954E-2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741</v>
      </c>
      <c r="C288" s="441">
        <f>C278+C285</f>
        <v>200328546</v>
      </c>
      <c r="D288" s="441">
        <f>LN_IIB2+LN_IIB9</f>
        <v>198683161</v>
      </c>
      <c r="E288" s="441">
        <f t="shared" si="28"/>
        <v>-1645385</v>
      </c>
      <c r="F288" s="503">
        <f t="shared" si="29"/>
        <v>-8.2134325479505058E-3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742</v>
      </c>
      <c r="C289" s="453">
        <f>IF(C287=0,0,C288/C287)</f>
        <v>0.32921484701405013</v>
      </c>
      <c r="D289" s="453">
        <f>IF(LN_IIB11=0,0,LN_IIB12/LN_IIB11)</f>
        <v>0.33857406854341709</v>
      </c>
      <c r="E289" s="454">
        <f t="shared" si="28"/>
        <v>9.3592215293669678E-3</v>
      </c>
      <c r="F289" s="458">
        <f t="shared" si="29"/>
        <v>2.842891690412595E-2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59540</v>
      </c>
      <c r="D290" s="508">
        <f>LN_IA8+LN_IF11+LN_IG6</f>
        <v>53175</v>
      </c>
      <c r="E290" s="528">
        <f t="shared" si="28"/>
        <v>-6365</v>
      </c>
      <c r="F290" s="458">
        <f t="shared" si="29"/>
        <v>-0.10690292240510581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743</v>
      </c>
      <c r="C291" s="448">
        <f>C287-C288</f>
        <v>408175438</v>
      </c>
      <c r="D291" s="516">
        <f>LN_IIB11-LN_IIB12</f>
        <v>388140165</v>
      </c>
      <c r="E291" s="441">
        <f t="shared" si="28"/>
        <v>-20035273</v>
      </c>
      <c r="F291" s="503">
        <f t="shared" si="29"/>
        <v>-4.9084954984479005E-2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645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636</v>
      </c>
      <c r="C294" s="466">
        <f>IF(C18=0,0,C22/C18)</f>
        <v>4.8168714555765595</v>
      </c>
      <c r="D294" s="466">
        <f>IF(LN_IA4=0,0,LN_IA8/LN_IA4)</f>
        <v>5.0005642544787703</v>
      </c>
      <c r="E294" s="466">
        <f t="shared" ref="E294:E300" si="30">D294-C294</f>
        <v>0.1836927989022108</v>
      </c>
      <c r="F294" s="503">
        <f t="shared" ref="F294:F300" si="31">IF(C294=0,0,E294/C294)</f>
        <v>3.8135291879036352E-2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657</v>
      </c>
      <c r="C295" s="466">
        <f>IF(C45=0,0,C51/C45)</f>
        <v>3.3488225399495373</v>
      </c>
      <c r="D295" s="466">
        <f>IF(LN_IB4=0,0,(LN_IB10)/(LN_IB4))</f>
        <v>3.6810798444291923</v>
      </c>
      <c r="E295" s="466">
        <f t="shared" si="30"/>
        <v>0.33225730447965507</v>
      </c>
      <c r="F295" s="503">
        <f t="shared" si="31"/>
        <v>9.9216157475057423E-2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672</v>
      </c>
      <c r="C296" s="466">
        <f>IF(C86=0,0,C93/C86)</f>
        <v>2.703883495145631</v>
      </c>
      <c r="D296" s="466">
        <f>IF(LN_IC4=0,0,LN_IC11/LN_IC4)</f>
        <v>3.6785714285714284</v>
      </c>
      <c r="E296" s="466">
        <f t="shared" si="30"/>
        <v>0.9746879334257974</v>
      </c>
      <c r="F296" s="503">
        <f t="shared" si="31"/>
        <v>0.36047704539625541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4.0111396743787493</v>
      </c>
      <c r="D297" s="466">
        <f>IF(LN_ID4=0,0,LN_ID11/LN_ID4)</f>
        <v>4.2460946887767363</v>
      </c>
      <c r="E297" s="466">
        <f t="shared" si="30"/>
        <v>0.23495501439798705</v>
      </c>
      <c r="F297" s="503">
        <f t="shared" si="31"/>
        <v>5.8575625251538317E-2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744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2.4210526315789473</v>
      </c>
      <c r="D299" s="466">
        <f>IF(LN_IG3=0,0,LN_IG6/LN_IG3)</f>
        <v>3.0526315789473686</v>
      </c>
      <c r="E299" s="466">
        <f t="shared" si="30"/>
        <v>0.63157894736842124</v>
      </c>
      <c r="F299" s="503">
        <f t="shared" si="31"/>
        <v>0.26086956521739141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745</v>
      </c>
      <c r="C300" s="466">
        <f>IF(C264=0,0,C274/C264)</f>
        <v>4.2143854358630701</v>
      </c>
      <c r="D300" s="466">
        <f>IF(LN_IIA4=0,0,LN_IIA14/LN_IIA4)</f>
        <v>4.4287084398976981</v>
      </c>
      <c r="E300" s="466">
        <f t="shared" si="30"/>
        <v>0.21432300403462801</v>
      </c>
      <c r="F300" s="503">
        <f t="shared" si="31"/>
        <v>5.0855102670678359E-2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746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740</v>
      </c>
      <c r="C304" s="441">
        <f>C35+C66+C214+C221+C233</f>
        <v>883915401</v>
      </c>
      <c r="D304" s="441">
        <f>LN_IIA11</f>
        <v>854431479</v>
      </c>
      <c r="E304" s="441">
        <f t="shared" ref="E304:E316" si="32">D304-C304</f>
        <v>-29483922</v>
      </c>
      <c r="F304" s="449">
        <f>IF(C304=0,0,E304/C304)</f>
        <v>-3.3356045122241287E-2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743</v>
      </c>
      <c r="C305" s="441">
        <f>C291</f>
        <v>408175438</v>
      </c>
      <c r="D305" s="441">
        <f>LN_IIB14</f>
        <v>388140165</v>
      </c>
      <c r="E305" s="441">
        <f t="shared" si="32"/>
        <v>-20035273</v>
      </c>
      <c r="F305" s="449">
        <f>IF(C305=0,0,E305/C305)</f>
        <v>-4.9084954984479005E-2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747</v>
      </c>
      <c r="C306" s="441">
        <f>C250</f>
        <v>26053010</v>
      </c>
      <c r="D306" s="441">
        <f>LN_IH6</f>
        <v>22715128</v>
      </c>
      <c r="E306" s="441">
        <f t="shared" si="32"/>
        <v>-3337882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748</v>
      </c>
      <c r="C307" s="441">
        <f>C73-C74</f>
        <v>114805822</v>
      </c>
      <c r="D307" s="441">
        <f>LN_IB32-LN_IB33</f>
        <v>112709303</v>
      </c>
      <c r="E307" s="441">
        <f t="shared" si="32"/>
        <v>-2096519</v>
      </c>
      <c r="F307" s="449">
        <f t="shared" ref="F307:F316" si="33">IF(C307=0,0,E307/C307)</f>
        <v>-1.8261434511570328E-2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749</v>
      </c>
      <c r="C308" s="441">
        <v>6729152</v>
      </c>
      <c r="D308" s="441">
        <v>5857809</v>
      </c>
      <c r="E308" s="441">
        <f t="shared" si="32"/>
        <v>-871343</v>
      </c>
      <c r="F308" s="449">
        <f t="shared" si="33"/>
        <v>-0.12948778687121348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750</v>
      </c>
      <c r="C309" s="441">
        <f>C305+C307+C308+C306</f>
        <v>555763422</v>
      </c>
      <c r="D309" s="441">
        <f>LN_III2+LN_III3+LN_III4+LN_III5</f>
        <v>529422405</v>
      </c>
      <c r="E309" s="441">
        <f t="shared" si="32"/>
        <v>-26341017</v>
      </c>
      <c r="F309" s="449">
        <f t="shared" si="33"/>
        <v>-4.7396096895344075E-2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751</v>
      </c>
      <c r="C310" s="441">
        <f>C304-C309</f>
        <v>328151979</v>
      </c>
      <c r="D310" s="441">
        <f>LN_III1-LN_III6</f>
        <v>325009074</v>
      </c>
      <c r="E310" s="441">
        <f t="shared" si="32"/>
        <v>-3142905</v>
      </c>
      <c r="F310" s="449">
        <f t="shared" si="33"/>
        <v>-9.5775896570168186E-3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752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753</v>
      </c>
      <c r="C312" s="441">
        <f>C310+C311</f>
        <v>328151979</v>
      </c>
      <c r="D312" s="441">
        <f>LN_III7+LN_III8</f>
        <v>325009074</v>
      </c>
      <c r="E312" s="441">
        <f t="shared" si="32"/>
        <v>-3142905</v>
      </c>
      <c r="F312" s="449">
        <f t="shared" si="33"/>
        <v>-9.5775896570168186E-3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754</v>
      </c>
      <c r="C313" s="532">
        <f>IF(C304=0,0,C312/C304)</f>
        <v>0.37124817446189062</v>
      </c>
      <c r="D313" s="532">
        <f>IF(LN_III1=0,0,LN_III9/LN_III1)</f>
        <v>0.38038050093891729</v>
      </c>
      <c r="E313" s="532">
        <f t="shared" si="32"/>
        <v>9.1323264770266643E-3</v>
      </c>
      <c r="F313" s="449">
        <f t="shared" si="33"/>
        <v>2.4598980157312843E-2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717</v>
      </c>
      <c r="C314" s="441">
        <f>C306*C313</f>
        <v>9672132.4017373808</v>
      </c>
      <c r="D314" s="441">
        <f>D313*LN_III5</f>
        <v>8640391.7675316259</v>
      </c>
      <c r="E314" s="441">
        <f t="shared" si="32"/>
        <v>-1031740.6342057548</v>
      </c>
      <c r="F314" s="449">
        <f t="shared" si="33"/>
        <v>-0.10667147546702585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720</v>
      </c>
      <c r="C315" s="441">
        <f>(C214*C313)-C215</f>
        <v>17115501.926530257</v>
      </c>
      <c r="D315" s="441">
        <f>D313*LN_IH8-LN_IH9</f>
        <v>16457523.303582087</v>
      </c>
      <c r="E315" s="441">
        <f t="shared" si="32"/>
        <v>-657978.62294816971</v>
      </c>
      <c r="F315" s="449">
        <f t="shared" si="33"/>
        <v>-3.8443431327494733E-2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755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756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757</v>
      </c>
      <c r="C318" s="441">
        <f>C314+C315+C316</f>
        <v>26787634.328267638</v>
      </c>
      <c r="D318" s="441">
        <f>D314+D315+D316</f>
        <v>25097915.071113713</v>
      </c>
      <c r="E318" s="441">
        <f>D318-C318</f>
        <v>-1689719.2571539246</v>
      </c>
      <c r="F318" s="449">
        <f>IF(C318=0,0,E318/C318)</f>
        <v>-6.3078330712124486E-2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758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11587465.76981584</v>
      </c>
      <c r="D322" s="441">
        <f>LN_ID22</f>
        <v>15508008.66710953</v>
      </c>
      <c r="E322" s="441">
        <f>LN_IV2-C322</f>
        <v>3920542.8972936906</v>
      </c>
      <c r="F322" s="449">
        <f>IF(C322=0,0,E322/C322)</f>
        <v>0.33834342859560396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744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759</v>
      </c>
      <c r="C324" s="441">
        <f>C92+C106</f>
        <v>5042849.9319778578</v>
      </c>
      <c r="D324" s="441">
        <f>LN_IC10+LN_IC22</f>
        <v>5457653.6539686359</v>
      </c>
      <c r="E324" s="441">
        <f>LN_IV1-C324</f>
        <v>414803.72199077811</v>
      </c>
      <c r="F324" s="449">
        <f>IF(C324=0,0,E324/C324)</f>
        <v>8.2255813198091304E-2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760</v>
      </c>
      <c r="C325" s="516">
        <f>C324+C322+C323</f>
        <v>16630315.701793697</v>
      </c>
      <c r="D325" s="516">
        <f>LN_IV1+LN_IV2+LN_IV3</f>
        <v>20965662.321078166</v>
      </c>
      <c r="E325" s="441">
        <f>LN_IV4-C325</f>
        <v>4335346.6192844696</v>
      </c>
      <c r="F325" s="449">
        <f>IF(C325=0,0,E325/C325)</f>
        <v>0.26068937577756701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761</v>
      </c>
      <c r="B327" s="530" t="s">
        <v>762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763</v>
      </c>
      <c r="C329" s="518">
        <v>9762581</v>
      </c>
      <c r="D329" s="518">
        <v>9076083</v>
      </c>
      <c r="E329" s="518">
        <f t="shared" ref="E329:E335" si="34">D329-C329</f>
        <v>-686498</v>
      </c>
      <c r="F329" s="542">
        <f t="shared" ref="F329:F335" si="35">IF(C329=0,0,E329/C329)</f>
        <v>-7.0319314124000609E-2</v>
      </c>
    </row>
    <row r="330" spans="1:22" s="420" customFormat="1" ht="15.75" customHeight="1" x14ac:dyDescent="0.2">
      <c r="A330" s="451">
        <v>2</v>
      </c>
      <c r="B330" s="447" t="s">
        <v>764</v>
      </c>
      <c r="C330" s="516">
        <v>10973348</v>
      </c>
      <c r="D330" s="516">
        <v>8129690</v>
      </c>
      <c r="E330" s="518">
        <f t="shared" si="34"/>
        <v>-2843658</v>
      </c>
      <c r="F330" s="543">
        <f t="shared" si="35"/>
        <v>-0.25914224172968908</v>
      </c>
    </row>
    <row r="331" spans="1:22" s="420" customFormat="1" ht="15.75" customHeight="1" x14ac:dyDescent="0.2">
      <c r="A331" s="427">
        <v>3</v>
      </c>
      <c r="B331" s="447" t="s">
        <v>765</v>
      </c>
      <c r="C331" s="516">
        <v>371907491</v>
      </c>
      <c r="D331" s="516">
        <v>361711967</v>
      </c>
      <c r="E331" s="518">
        <f t="shared" si="34"/>
        <v>-10195524</v>
      </c>
      <c r="F331" s="542">
        <f t="shared" si="35"/>
        <v>-2.7414139931911188E-2</v>
      </c>
    </row>
    <row r="332" spans="1:22" s="420" customFormat="1" ht="27" customHeight="1" x14ac:dyDescent="0.2">
      <c r="A332" s="451">
        <v>4</v>
      </c>
      <c r="B332" s="447" t="s">
        <v>766</v>
      </c>
      <c r="C332" s="516">
        <v>10645868</v>
      </c>
      <c r="D332" s="516">
        <v>10177899</v>
      </c>
      <c r="E332" s="518">
        <f t="shared" si="34"/>
        <v>-467969</v>
      </c>
      <c r="F332" s="543">
        <f t="shared" si="35"/>
        <v>-4.3957805976929262E-2</v>
      </c>
    </row>
    <row r="333" spans="1:22" s="420" customFormat="1" ht="15.75" customHeight="1" x14ac:dyDescent="0.2">
      <c r="A333" s="451">
        <v>5</v>
      </c>
      <c r="B333" s="447" t="s">
        <v>767</v>
      </c>
      <c r="C333" s="516">
        <v>894561269</v>
      </c>
      <c r="D333" s="516">
        <v>864609377</v>
      </c>
      <c r="E333" s="518">
        <f t="shared" si="34"/>
        <v>-29951892</v>
      </c>
      <c r="F333" s="542">
        <f t="shared" si="35"/>
        <v>-3.348221417352689E-2</v>
      </c>
    </row>
    <row r="334" spans="1:22" s="420" customFormat="1" ht="15.75" customHeight="1" x14ac:dyDescent="0.2">
      <c r="A334" s="427">
        <v>6</v>
      </c>
      <c r="B334" s="447" t="s">
        <v>768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769</v>
      </c>
      <c r="C335" s="516">
        <v>26053010</v>
      </c>
      <c r="D335" s="516">
        <v>22715128</v>
      </c>
      <c r="E335" s="516">
        <f t="shared" si="34"/>
        <v>-3337882</v>
      </c>
      <c r="F335" s="542">
        <f t="shared" si="35"/>
        <v>-0.12811886227349545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FILING&amp;RTHE HOSPITAL OF CENTRAL CONNECTICUT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9.5703125" style="660" bestFit="1" customWidth="1"/>
    <col min="4" max="4" width="19.5703125" style="569" bestFit="1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630</v>
      </c>
      <c r="B3" s="820"/>
      <c r="C3" s="820"/>
      <c r="D3" s="820"/>
      <c r="E3" s="820"/>
    </row>
    <row r="4" spans="1:5" s="428" customFormat="1" ht="15.75" customHeight="1" x14ac:dyDescent="0.25">
      <c r="A4" s="820" t="s">
        <v>770</v>
      </c>
      <c r="B4" s="820"/>
      <c r="C4" s="820"/>
      <c r="D4" s="820"/>
      <c r="E4" s="820"/>
    </row>
    <row r="5" spans="1:5" s="428" customFormat="1" ht="15.75" customHeight="1" x14ac:dyDescent="0.25">
      <c r="A5" s="820" t="s">
        <v>771</v>
      </c>
      <c r="B5" s="820"/>
      <c r="C5" s="820"/>
      <c r="D5" s="820"/>
      <c r="E5" s="820"/>
    </row>
    <row r="6" spans="1:5" s="428" customFormat="1" ht="15.75" customHeight="1" x14ac:dyDescent="0.25">
      <c r="A6" s="820" t="s">
        <v>772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773</v>
      </c>
      <c r="D9" s="573" t="s">
        <v>774</v>
      </c>
      <c r="E9" s="573" t="s">
        <v>775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776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777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657</v>
      </c>
      <c r="C14" s="589">
        <v>89304534</v>
      </c>
      <c r="D14" s="589">
        <v>84260632</v>
      </c>
      <c r="E14" s="590">
        <f t="shared" ref="E14:E22" si="0">D14-C14</f>
        <v>-5043902</v>
      </c>
    </row>
    <row r="15" spans="1:5" s="421" customFormat="1" x14ac:dyDescent="0.2">
      <c r="A15" s="588">
        <v>2</v>
      </c>
      <c r="B15" s="587" t="s">
        <v>636</v>
      </c>
      <c r="C15" s="589">
        <v>241612322</v>
      </c>
      <c r="D15" s="591">
        <v>211663761</v>
      </c>
      <c r="E15" s="590">
        <f t="shared" si="0"/>
        <v>-29948561</v>
      </c>
    </row>
    <row r="16" spans="1:5" s="421" customFormat="1" x14ac:dyDescent="0.2">
      <c r="A16" s="588">
        <v>3</v>
      </c>
      <c r="B16" s="587" t="s">
        <v>778</v>
      </c>
      <c r="C16" s="589">
        <v>79113082</v>
      </c>
      <c r="D16" s="591">
        <v>74498682</v>
      </c>
      <c r="E16" s="590">
        <f t="shared" si="0"/>
        <v>-4614400</v>
      </c>
    </row>
    <row r="17" spans="1:5" s="421" customFormat="1" x14ac:dyDescent="0.2">
      <c r="A17" s="588">
        <v>4</v>
      </c>
      <c r="B17" s="587" t="s">
        <v>115</v>
      </c>
      <c r="C17" s="589">
        <v>79113082</v>
      </c>
      <c r="D17" s="591">
        <v>74498682</v>
      </c>
      <c r="E17" s="590">
        <f t="shared" si="0"/>
        <v>-4614400</v>
      </c>
    </row>
    <row r="18" spans="1:5" s="421" customFormat="1" x14ac:dyDescent="0.2">
      <c r="A18" s="588">
        <v>5</v>
      </c>
      <c r="B18" s="587" t="s">
        <v>744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298280</v>
      </c>
      <c r="D19" s="591">
        <v>252546</v>
      </c>
      <c r="E19" s="590">
        <f t="shared" si="0"/>
        <v>-45734</v>
      </c>
    </row>
    <row r="20" spans="1:5" s="421" customFormat="1" x14ac:dyDescent="0.2">
      <c r="A20" s="588">
        <v>7</v>
      </c>
      <c r="B20" s="587" t="s">
        <v>759</v>
      </c>
      <c r="C20" s="589">
        <v>4494481</v>
      </c>
      <c r="D20" s="591">
        <v>4801848</v>
      </c>
      <c r="E20" s="590">
        <f t="shared" si="0"/>
        <v>307367</v>
      </c>
    </row>
    <row r="21" spans="1:5" s="421" customFormat="1" x14ac:dyDescent="0.2">
      <c r="A21" s="588"/>
      <c r="B21" s="592" t="s">
        <v>779</v>
      </c>
      <c r="C21" s="593">
        <f>SUM(C15+C16+C19)</f>
        <v>321023684</v>
      </c>
      <c r="D21" s="593">
        <f>SUM(D15+D16+D19)</f>
        <v>286414989</v>
      </c>
      <c r="E21" s="593">
        <f t="shared" si="0"/>
        <v>-34608695</v>
      </c>
    </row>
    <row r="22" spans="1:5" s="421" customFormat="1" x14ac:dyDescent="0.2">
      <c r="A22" s="588"/>
      <c r="B22" s="592" t="s">
        <v>465</v>
      </c>
      <c r="C22" s="593">
        <f>SUM(C14+C21)</f>
        <v>410328218</v>
      </c>
      <c r="D22" s="593">
        <f>SUM(D14+D21)</f>
        <v>370675621</v>
      </c>
      <c r="E22" s="593">
        <f t="shared" si="0"/>
        <v>-39652597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780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657</v>
      </c>
      <c r="C25" s="589">
        <v>186106883</v>
      </c>
      <c r="D25" s="589">
        <v>183347521</v>
      </c>
      <c r="E25" s="590">
        <f t="shared" ref="E25:E33" si="1">D25-C25</f>
        <v>-2759362</v>
      </c>
    </row>
    <row r="26" spans="1:5" s="421" customFormat="1" x14ac:dyDescent="0.2">
      <c r="A26" s="588">
        <v>2</v>
      </c>
      <c r="B26" s="587" t="s">
        <v>636</v>
      </c>
      <c r="C26" s="589">
        <v>160031674</v>
      </c>
      <c r="D26" s="591">
        <v>165998757</v>
      </c>
      <c r="E26" s="590">
        <f t="shared" si="1"/>
        <v>5967083</v>
      </c>
    </row>
    <row r="27" spans="1:5" s="421" customFormat="1" x14ac:dyDescent="0.2">
      <c r="A27" s="588">
        <v>3</v>
      </c>
      <c r="B27" s="587" t="s">
        <v>778</v>
      </c>
      <c r="C27" s="589">
        <v>126611722</v>
      </c>
      <c r="D27" s="591">
        <v>133710380</v>
      </c>
      <c r="E27" s="590">
        <f t="shared" si="1"/>
        <v>7098658</v>
      </c>
    </row>
    <row r="28" spans="1:5" s="421" customFormat="1" x14ac:dyDescent="0.2">
      <c r="A28" s="588">
        <v>4</v>
      </c>
      <c r="B28" s="587" t="s">
        <v>115</v>
      </c>
      <c r="C28" s="589">
        <v>126611722</v>
      </c>
      <c r="D28" s="591">
        <v>133710380</v>
      </c>
      <c r="E28" s="590">
        <f t="shared" si="1"/>
        <v>7098658</v>
      </c>
    </row>
    <row r="29" spans="1:5" s="421" customFormat="1" x14ac:dyDescent="0.2">
      <c r="A29" s="588">
        <v>5</v>
      </c>
      <c r="B29" s="587" t="s">
        <v>744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836904</v>
      </c>
      <c r="D30" s="591">
        <v>699200</v>
      </c>
      <c r="E30" s="590">
        <f t="shared" si="1"/>
        <v>-137704</v>
      </c>
    </row>
    <row r="31" spans="1:5" s="421" customFormat="1" x14ac:dyDescent="0.2">
      <c r="A31" s="588">
        <v>7</v>
      </c>
      <c r="B31" s="587" t="s">
        <v>759</v>
      </c>
      <c r="C31" s="590">
        <v>15286291</v>
      </c>
      <c r="D31" s="594">
        <v>12008293</v>
      </c>
      <c r="E31" s="590">
        <f t="shared" si="1"/>
        <v>-3277998</v>
      </c>
    </row>
    <row r="32" spans="1:5" s="421" customFormat="1" x14ac:dyDescent="0.2">
      <c r="A32" s="588"/>
      <c r="B32" s="592" t="s">
        <v>781</v>
      </c>
      <c r="C32" s="593">
        <f>SUM(C26+C27+C30)</f>
        <v>287480300</v>
      </c>
      <c r="D32" s="593">
        <f>SUM(D26+D27+D30)</f>
        <v>300408337</v>
      </c>
      <c r="E32" s="593">
        <f t="shared" si="1"/>
        <v>12928037</v>
      </c>
    </row>
    <row r="33" spans="1:5" s="421" customFormat="1" x14ac:dyDescent="0.2">
      <c r="A33" s="588"/>
      <c r="B33" s="592" t="s">
        <v>467</v>
      </c>
      <c r="C33" s="593">
        <f>SUM(C25+C32)</f>
        <v>473587183</v>
      </c>
      <c r="D33" s="593">
        <f>SUM(D25+D32)</f>
        <v>483755858</v>
      </c>
      <c r="E33" s="593">
        <f t="shared" si="1"/>
        <v>10168675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654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782</v>
      </c>
      <c r="C36" s="590">
        <f t="shared" ref="C36:D42" si="2">C14+C25</f>
        <v>275411417</v>
      </c>
      <c r="D36" s="590">
        <f t="shared" si="2"/>
        <v>267608153</v>
      </c>
      <c r="E36" s="590">
        <f t="shared" ref="E36:E44" si="3">D36-C36</f>
        <v>-7803264</v>
      </c>
    </row>
    <row r="37" spans="1:5" s="421" customFormat="1" x14ac:dyDescent="0.2">
      <c r="A37" s="588">
        <v>2</v>
      </c>
      <c r="B37" s="587" t="s">
        <v>783</v>
      </c>
      <c r="C37" s="590">
        <f t="shared" si="2"/>
        <v>401643996</v>
      </c>
      <c r="D37" s="590">
        <f t="shared" si="2"/>
        <v>377662518</v>
      </c>
      <c r="E37" s="590">
        <f t="shared" si="3"/>
        <v>-23981478</v>
      </c>
    </row>
    <row r="38" spans="1:5" s="421" customFormat="1" x14ac:dyDescent="0.2">
      <c r="A38" s="588">
        <v>3</v>
      </c>
      <c r="B38" s="587" t="s">
        <v>784</v>
      </c>
      <c r="C38" s="590">
        <f t="shared" si="2"/>
        <v>205724804</v>
      </c>
      <c r="D38" s="590">
        <f t="shared" si="2"/>
        <v>208209062</v>
      </c>
      <c r="E38" s="590">
        <f t="shared" si="3"/>
        <v>2484258</v>
      </c>
    </row>
    <row r="39" spans="1:5" s="421" customFormat="1" x14ac:dyDescent="0.2">
      <c r="A39" s="588">
        <v>4</v>
      </c>
      <c r="B39" s="587" t="s">
        <v>785</v>
      </c>
      <c r="C39" s="590">
        <f t="shared" si="2"/>
        <v>205724804</v>
      </c>
      <c r="D39" s="590">
        <f t="shared" si="2"/>
        <v>208209062</v>
      </c>
      <c r="E39" s="590">
        <f t="shared" si="3"/>
        <v>2484258</v>
      </c>
    </row>
    <row r="40" spans="1:5" s="421" customFormat="1" x14ac:dyDescent="0.2">
      <c r="A40" s="588">
        <v>5</v>
      </c>
      <c r="B40" s="587" t="s">
        <v>786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787</v>
      </c>
      <c r="C41" s="590">
        <f t="shared" si="2"/>
        <v>1135184</v>
      </c>
      <c r="D41" s="590">
        <f t="shared" si="2"/>
        <v>951746</v>
      </c>
      <c r="E41" s="590">
        <f t="shared" si="3"/>
        <v>-183438</v>
      </c>
    </row>
    <row r="42" spans="1:5" s="421" customFormat="1" x14ac:dyDescent="0.2">
      <c r="A42" s="588">
        <v>7</v>
      </c>
      <c r="B42" s="587" t="s">
        <v>788</v>
      </c>
      <c r="C42" s="590">
        <f t="shared" si="2"/>
        <v>19780772</v>
      </c>
      <c r="D42" s="590">
        <f t="shared" si="2"/>
        <v>16810141</v>
      </c>
      <c r="E42" s="590">
        <f t="shared" si="3"/>
        <v>-2970631</v>
      </c>
    </row>
    <row r="43" spans="1:5" s="421" customFormat="1" x14ac:dyDescent="0.2">
      <c r="A43" s="588"/>
      <c r="B43" s="592" t="s">
        <v>789</v>
      </c>
      <c r="C43" s="593">
        <f>SUM(C37+C38+C41)</f>
        <v>608503984</v>
      </c>
      <c r="D43" s="593">
        <f>SUM(D37+D38+D41)</f>
        <v>586823326</v>
      </c>
      <c r="E43" s="593">
        <f t="shared" si="3"/>
        <v>-21680658</v>
      </c>
    </row>
    <row r="44" spans="1:5" s="421" customFormat="1" x14ac:dyDescent="0.2">
      <c r="A44" s="588"/>
      <c r="B44" s="592" t="s">
        <v>726</v>
      </c>
      <c r="C44" s="593">
        <f>SUM(C36+C43)</f>
        <v>883915401</v>
      </c>
      <c r="D44" s="593">
        <f>SUM(D36+D43)</f>
        <v>854431479</v>
      </c>
      <c r="E44" s="593">
        <f t="shared" si="3"/>
        <v>-29483922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790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657</v>
      </c>
      <c r="C47" s="589">
        <v>59010582</v>
      </c>
      <c r="D47" s="589">
        <v>54434066</v>
      </c>
      <c r="E47" s="590">
        <f t="shared" ref="E47:E55" si="4">D47-C47</f>
        <v>-4576516</v>
      </c>
    </row>
    <row r="48" spans="1:5" s="421" customFormat="1" x14ac:dyDescent="0.2">
      <c r="A48" s="588">
        <v>2</v>
      </c>
      <c r="B48" s="587" t="s">
        <v>636</v>
      </c>
      <c r="C48" s="589">
        <v>105254290</v>
      </c>
      <c r="D48" s="591">
        <v>96605419</v>
      </c>
      <c r="E48" s="590">
        <f t="shared" si="4"/>
        <v>-8648871</v>
      </c>
    </row>
    <row r="49" spans="1:5" s="421" customFormat="1" x14ac:dyDescent="0.2">
      <c r="A49" s="588">
        <v>3</v>
      </c>
      <c r="B49" s="587" t="s">
        <v>778</v>
      </c>
      <c r="C49" s="589">
        <v>23621637</v>
      </c>
      <c r="D49" s="591">
        <v>25614674</v>
      </c>
      <c r="E49" s="590">
        <f t="shared" si="4"/>
        <v>1993037</v>
      </c>
    </row>
    <row r="50" spans="1:5" s="421" customFormat="1" x14ac:dyDescent="0.2">
      <c r="A50" s="588">
        <v>4</v>
      </c>
      <c r="B50" s="587" t="s">
        <v>115</v>
      </c>
      <c r="C50" s="589">
        <v>23621637</v>
      </c>
      <c r="D50" s="591">
        <v>25614674</v>
      </c>
      <c r="E50" s="590">
        <f t="shared" si="4"/>
        <v>1993037</v>
      </c>
    </row>
    <row r="51" spans="1:5" s="421" customFormat="1" x14ac:dyDescent="0.2">
      <c r="A51" s="588">
        <v>5</v>
      </c>
      <c r="B51" s="587" t="s">
        <v>744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134575</v>
      </c>
      <c r="D52" s="591">
        <v>114113</v>
      </c>
      <c r="E52" s="590">
        <f t="shared" si="4"/>
        <v>-20462</v>
      </c>
    </row>
    <row r="53" spans="1:5" s="421" customFormat="1" x14ac:dyDescent="0.2">
      <c r="A53" s="588">
        <v>7</v>
      </c>
      <c r="B53" s="587" t="s">
        <v>759</v>
      </c>
      <c r="C53" s="589">
        <v>1006871</v>
      </c>
      <c r="D53" s="591">
        <v>635432</v>
      </c>
      <c r="E53" s="590">
        <f t="shared" si="4"/>
        <v>-371439</v>
      </c>
    </row>
    <row r="54" spans="1:5" s="421" customFormat="1" x14ac:dyDescent="0.2">
      <c r="A54" s="588"/>
      <c r="B54" s="592" t="s">
        <v>791</v>
      </c>
      <c r="C54" s="593">
        <f>SUM(C48+C49+C52)</f>
        <v>129010502</v>
      </c>
      <c r="D54" s="593">
        <f>SUM(D48+D49+D52)</f>
        <v>122334206</v>
      </c>
      <c r="E54" s="593">
        <f t="shared" si="4"/>
        <v>-6676296</v>
      </c>
    </row>
    <row r="55" spans="1:5" s="421" customFormat="1" x14ac:dyDescent="0.2">
      <c r="A55" s="588"/>
      <c r="B55" s="592" t="s">
        <v>466</v>
      </c>
      <c r="C55" s="593">
        <f>SUM(C47+C54)</f>
        <v>188021084</v>
      </c>
      <c r="D55" s="593">
        <f>SUM(D47+D54)</f>
        <v>176768272</v>
      </c>
      <c r="E55" s="593">
        <f t="shared" si="4"/>
        <v>-11252812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792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657</v>
      </c>
      <c r="C58" s="589">
        <v>101595013</v>
      </c>
      <c r="D58" s="589">
        <v>100464784</v>
      </c>
      <c r="E58" s="590">
        <f t="shared" ref="E58:E66" si="5">D58-C58</f>
        <v>-1130229</v>
      </c>
    </row>
    <row r="59" spans="1:5" s="421" customFormat="1" x14ac:dyDescent="0.2">
      <c r="A59" s="588">
        <v>2</v>
      </c>
      <c r="B59" s="587" t="s">
        <v>636</v>
      </c>
      <c r="C59" s="589">
        <v>35438934</v>
      </c>
      <c r="D59" s="591">
        <v>39183153</v>
      </c>
      <c r="E59" s="590">
        <f t="shared" si="5"/>
        <v>3744219</v>
      </c>
    </row>
    <row r="60" spans="1:5" s="421" customFormat="1" x14ac:dyDescent="0.2">
      <c r="A60" s="588">
        <v>3</v>
      </c>
      <c r="B60" s="587" t="s">
        <v>778</v>
      </c>
      <c r="C60" s="589">
        <f>C61+C62</f>
        <v>35637819</v>
      </c>
      <c r="D60" s="591">
        <f>D61+D62</f>
        <v>37126470</v>
      </c>
      <c r="E60" s="590">
        <f t="shared" si="5"/>
        <v>1488651</v>
      </c>
    </row>
    <row r="61" spans="1:5" s="421" customFormat="1" x14ac:dyDescent="0.2">
      <c r="A61" s="588">
        <v>4</v>
      </c>
      <c r="B61" s="587" t="s">
        <v>115</v>
      </c>
      <c r="C61" s="589">
        <v>35637819</v>
      </c>
      <c r="D61" s="591">
        <v>37126470</v>
      </c>
      <c r="E61" s="590">
        <f t="shared" si="5"/>
        <v>1488651</v>
      </c>
    </row>
    <row r="62" spans="1:5" s="421" customFormat="1" x14ac:dyDescent="0.2">
      <c r="A62" s="588">
        <v>5</v>
      </c>
      <c r="B62" s="587" t="s">
        <v>744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241291</v>
      </c>
      <c r="D63" s="591">
        <v>39332</v>
      </c>
      <c r="E63" s="590">
        <f t="shared" si="5"/>
        <v>-201959</v>
      </c>
    </row>
    <row r="64" spans="1:5" s="421" customFormat="1" x14ac:dyDescent="0.2">
      <c r="A64" s="588">
        <v>7</v>
      </c>
      <c r="B64" s="587" t="s">
        <v>759</v>
      </c>
      <c r="C64" s="589">
        <v>271415</v>
      </c>
      <c r="D64" s="591">
        <v>34721</v>
      </c>
      <c r="E64" s="590">
        <f t="shared" si="5"/>
        <v>-236694</v>
      </c>
    </row>
    <row r="65" spans="1:5" s="421" customFormat="1" x14ac:dyDescent="0.2">
      <c r="A65" s="588"/>
      <c r="B65" s="592" t="s">
        <v>793</v>
      </c>
      <c r="C65" s="593">
        <f>SUM(C59+C60+C63)</f>
        <v>71318044</v>
      </c>
      <c r="D65" s="593">
        <f>SUM(D59+D60+D63)</f>
        <v>76348955</v>
      </c>
      <c r="E65" s="593">
        <f t="shared" si="5"/>
        <v>5030911</v>
      </c>
    </row>
    <row r="66" spans="1:5" s="421" customFormat="1" x14ac:dyDescent="0.2">
      <c r="A66" s="588"/>
      <c r="B66" s="592" t="s">
        <v>468</v>
      </c>
      <c r="C66" s="593">
        <f>SUM(C58+C65)</f>
        <v>172913057</v>
      </c>
      <c r="D66" s="593">
        <f>SUM(D58+D65)</f>
        <v>176813739</v>
      </c>
      <c r="E66" s="593">
        <f t="shared" si="5"/>
        <v>3900682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655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782</v>
      </c>
      <c r="C69" s="590">
        <f t="shared" ref="C69:D75" si="6">C47+C58</f>
        <v>160605595</v>
      </c>
      <c r="D69" s="590">
        <f t="shared" si="6"/>
        <v>154898850</v>
      </c>
      <c r="E69" s="590">
        <f t="shared" ref="E69:E77" si="7">D69-C69</f>
        <v>-5706745</v>
      </c>
    </row>
    <row r="70" spans="1:5" s="421" customFormat="1" x14ac:dyDescent="0.2">
      <c r="A70" s="588">
        <v>2</v>
      </c>
      <c r="B70" s="587" t="s">
        <v>783</v>
      </c>
      <c r="C70" s="590">
        <f t="shared" si="6"/>
        <v>140693224</v>
      </c>
      <c r="D70" s="590">
        <f t="shared" si="6"/>
        <v>135788572</v>
      </c>
      <c r="E70" s="590">
        <f t="shared" si="7"/>
        <v>-4904652</v>
      </c>
    </row>
    <row r="71" spans="1:5" s="421" customFormat="1" x14ac:dyDescent="0.2">
      <c r="A71" s="588">
        <v>3</v>
      </c>
      <c r="B71" s="587" t="s">
        <v>784</v>
      </c>
      <c r="C71" s="590">
        <f t="shared" si="6"/>
        <v>59259456</v>
      </c>
      <c r="D71" s="590">
        <f t="shared" si="6"/>
        <v>62741144</v>
      </c>
      <c r="E71" s="590">
        <f t="shared" si="7"/>
        <v>3481688</v>
      </c>
    </row>
    <row r="72" spans="1:5" s="421" customFormat="1" x14ac:dyDescent="0.2">
      <c r="A72" s="588">
        <v>4</v>
      </c>
      <c r="B72" s="587" t="s">
        <v>785</v>
      </c>
      <c r="C72" s="590">
        <f t="shared" si="6"/>
        <v>59259456</v>
      </c>
      <c r="D72" s="590">
        <f t="shared" si="6"/>
        <v>62741144</v>
      </c>
      <c r="E72" s="590">
        <f t="shared" si="7"/>
        <v>3481688</v>
      </c>
    </row>
    <row r="73" spans="1:5" s="421" customFormat="1" x14ac:dyDescent="0.2">
      <c r="A73" s="588">
        <v>5</v>
      </c>
      <c r="B73" s="587" t="s">
        <v>786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787</v>
      </c>
      <c r="C74" s="590">
        <f t="shared" si="6"/>
        <v>375866</v>
      </c>
      <c r="D74" s="590">
        <f t="shared" si="6"/>
        <v>153445</v>
      </c>
      <c r="E74" s="590">
        <f t="shared" si="7"/>
        <v>-222421</v>
      </c>
    </row>
    <row r="75" spans="1:5" s="421" customFormat="1" x14ac:dyDescent="0.2">
      <c r="A75" s="588">
        <v>7</v>
      </c>
      <c r="B75" s="587" t="s">
        <v>788</v>
      </c>
      <c r="C75" s="590">
        <f t="shared" si="6"/>
        <v>1278286</v>
      </c>
      <c r="D75" s="590">
        <f t="shared" si="6"/>
        <v>670153</v>
      </c>
      <c r="E75" s="590">
        <f t="shared" si="7"/>
        <v>-608133</v>
      </c>
    </row>
    <row r="76" spans="1:5" s="421" customFormat="1" x14ac:dyDescent="0.2">
      <c r="A76" s="588"/>
      <c r="B76" s="592" t="s">
        <v>794</v>
      </c>
      <c r="C76" s="593">
        <f>SUM(C70+C71+C74)</f>
        <v>200328546</v>
      </c>
      <c r="D76" s="593">
        <f>SUM(D70+D71+D74)</f>
        <v>198683161</v>
      </c>
      <c r="E76" s="593">
        <f t="shared" si="7"/>
        <v>-1645385</v>
      </c>
    </row>
    <row r="77" spans="1:5" s="421" customFormat="1" x14ac:dyDescent="0.2">
      <c r="A77" s="588"/>
      <c r="B77" s="592" t="s">
        <v>727</v>
      </c>
      <c r="C77" s="593">
        <f>SUM(C69+C76)</f>
        <v>360934141</v>
      </c>
      <c r="D77" s="593">
        <f>SUM(D69+D76)</f>
        <v>353582011</v>
      </c>
      <c r="E77" s="593">
        <f t="shared" si="7"/>
        <v>-7352130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795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796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657</v>
      </c>
      <c r="C83" s="599">
        <f t="shared" ref="C83:D89" si="8">IF(C$44=0,0,C14/C$44)</f>
        <v>0.10103289737792452</v>
      </c>
      <c r="D83" s="599">
        <f t="shared" si="8"/>
        <v>9.8616020208684277E-2</v>
      </c>
      <c r="E83" s="599">
        <f t="shared" ref="E83:E91" si="9">D83-C83</f>
        <v>-2.4168771692402446E-3</v>
      </c>
    </row>
    <row r="84" spans="1:5" s="421" customFormat="1" x14ac:dyDescent="0.2">
      <c r="A84" s="588">
        <v>2</v>
      </c>
      <c r="B84" s="587" t="s">
        <v>636</v>
      </c>
      <c r="C84" s="599">
        <f t="shared" si="8"/>
        <v>0.27334326534717773</v>
      </c>
      <c r="D84" s="599">
        <f t="shared" si="8"/>
        <v>0.24772467564950285</v>
      </c>
      <c r="E84" s="599">
        <f t="shared" si="9"/>
        <v>-2.5618589697674887E-2</v>
      </c>
    </row>
    <row r="85" spans="1:5" s="421" customFormat="1" x14ac:dyDescent="0.2">
      <c r="A85" s="588">
        <v>3</v>
      </c>
      <c r="B85" s="587" t="s">
        <v>778</v>
      </c>
      <c r="C85" s="599">
        <f t="shared" si="8"/>
        <v>8.9503002109135102E-2</v>
      </c>
      <c r="D85" s="599">
        <f t="shared" si="8"/>
        <v>8.7190937870396515E-2</v>
      </c>
      <c r="E85" s="599">
        <f t="shared" si="9"/>
        <v>-2.312064238738587E-3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8.9503002109135102E-2</v>
      </c>
      <c r="D86" s="599">
        <f t="shared" si="8"/>
        <v>8.7190937870396515E-2</v>
      </c>
      <c r="E86" s="599">
        <f t="shared" si="9"/>
        <v>-2.312064238738587E-3</v>
      </c>
    </row>
    <row r="87" spans="1:5" s="421" customFormat="1" x14ac:dyDescent="0.2">
      <c r="A87" s="588">
        <v>5</v>
      </c>
      <c r="B87" s="587" t="s">
        <v>744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3.3745310881849879E-4</v>
      </c>
      <c r="D88" s="599">
        <f t="shared" si="8"/>
        <v>2.9557197529235692E-4</v>
      </c>
      <c r="E88" s="599">
        <f t="shared" si="9"/>
        <v>-4.1881133526141872E-5</v>
      </c>
    </row>
    <row r="89" spans="1:5" s="421" customFormat="1" x14ac:dyDescent="0.2">
      <c r="A89" s="588">
        <v>7</v>
      </c>
      <c r="B89" s="587" t="s">
        <v>759</v>
      </c>
      <c r="C89" s="599">
        <f t="shared" si="8"/>
        <v>5.0847411357639646E-3</v>
      </c>
      <c r="D89" s="599">
        <f t="shared" si="8"/>
        <v>5.6199333919905821E-3</v>
      </c>
      <c r="E89" s="599">
        <f t="shared" si="9"/>
        <v>5.3519225622661749E-4</v>
      </c>
    </row>
    <row r="90" spans="1:5" s="421" customFormat="1" x14ac:dyDescent="0.2">
      <c r="A90" s="588"/>
      <c r="B90" s="592" t="s">
        <v>797</v>
      </c>
      <c r="C90" s="600">
        <f>SUM(C84+C85+C88)</f>
        <v>0.36318372056513132</v>
      </c>
      <c r="D90" s="600">
        <f>SUM(D84+D85+D88)</f>
        <v>0.33521118549519169</v>
      </c>
      <c r="E90" s="601">
        <f t="shared" si="9"/>
        <v>-2.797253506993963E-2</v>
      </c>
    </row>
    <row r="91" spans="1:5" s="421" customFormat="1" x14ac:dyDescent="0.2">
      <c r="A91" s="588"/>
      <c r="B91" s="592" t="s">
        <v>798</v>
      </c>
      <c r="C91" s="600">
        <f>SUM(C83+C90)</f>
        <v>0.46421661794305585</v>
      </c>
      <c r="D91" s="600">
        <f>SUM(D83+D90)</f>
        <v>0.43382720570387595</v>
      </c>
      <c r="E91" s="601">
        <f t="shared" si="9"/>
        <v>-3.0389412239179903E-2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799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657</v>
      </c>
      <c r="C95" s="599">
        <f t="shared" ref="C95:D101" si="10">IF(C$44=0,0,C25/C$44)</f>
        <v>0.21054829770977143</v>
      </c>
      <c r="D95" s="599">
        <f t="shared" si="10"/>
        <v>0.21458422998949456</v>
      </c>
      <c r="E95" s="599">
        <f t="shared" ref="E95:E103" si="11">D95-C95</f>
        <v>4.0359322797231256E-3</v>
      </c>
    </row>
    <row r="96" spans="1:5" s="421" customFormat="1" x14ac:dyDescent="0.2">
      <c r="A96" s="588">
        <v>2</v>
      </c>
      <c r="B96" s="587" t="s">
        <v>636</v>
      </c>
      <c r="C96" s="599">
        <f t="shared" si="10"/>
        <v>0.18104863182489112</v>
      </c>
      <c r="D96" s="599">
        <f t="shared" si="10"/>
        <v>0.19427977676370231</v>
      </c>
      <c r="E96" s="599">
        <f t="shared" si="11"/>
        <v>1.3231144938811196E-2</v>
      </c>
    </row>
    <row r="97" spans="1:5" s="421" customFormat="1" x14ac:dyDescent="0.2">
      <c r="A97" s="588">
        <v>3</v>
      </c>
      <c r="B97" s="587" t="s">
        <v>778</v>
      </c>
      <c r="C97" s="599">
        <f t="shared" si="10"/>
        <v>0.14323963793001046</v>
      </c>
      <c r="D97" s="599">
        <f t="shared" si="10"/>
        <v>0.15649046563276259</v>
      </c>
      <c r="E97" s="599">
        <f t="shared" si="11"/>
        <v>1.3250827702752127E-2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0.14323963793001046</v>
      </c>
      <c r="D98" s="599">
        <f t="shared" si="10"/>
        <v>0.15649046563276259</v>
      </c>
      <c r="E98" s="599">
        <f t="shared" si="11"/>
        <v>1.3250827702752127E-2</v>
      </c>
    </row>
    <row r="99" spans="1:5" s="421" customFormat="1" x14ac:dyDescent="0.2">
      <c r="A99" s="588">
        <v>5</v>
      </c>
      <c r="B99" s="587" t="s">
        <v>744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9.4681459227114427E-4</v>
      </c>
      <c r="D100" s="599">
        <f t="shared" si="10"/>
        <v>8.1832191016454811E-4</v>
      </c>
      <c r="E100" s="599">
        <f t="shared" si="11"/>
        <v>-1.2849268210659616E-4</v>
      </c>
    </row>
    <row r="101" spans="1:5" s="421" customFormat="1" x14ac:dyDescent="0.2">
      <c r="A101" s="588">
        <v>7</v>
      </c>
      <c r="B101" s="587" t="s">
        <v>759</v>
      </c>
      <c r="C101" s="599">
        <f t="shared" si="10"/>
        <v>1.7293839413484776E-2</v>
      </c>
      <c r="D101" s="599">
        <f t="shared" si="10"/>
        <v>1.4054132244816322E-2</v>
      </c>
      <c r="E101" s="599">
        <f t="shared" si="11"/>
        <v>-3.2397071686684539E-3</v>
      </c>
    </row>
    <row r="102" spans="1:5" s="421" customFormat="1" x14ac:dyDescent="0.2">
      <c r="A102" s="588"/>
      <c r="B102" s="592" t="s">
        <v>800</v>
      </c>
      <c r="C102" s="600">
        <f>SUM(C96+C97+C100)</f>
        <v>0.32523508434717269</v>
      </c>
      <c r="D102" s="600">
        <f>SUM(D96+D97+D100)</f>
        <v>0.35158856430662949</v>
      </c>
      <c r="E102" s="601">
        <f t="shared" si="11"/>
        <v>2.6353479959456805E-2</v>
      </c>
    </row>
    <row r="103" spans="1:5" s="421" customFormat="1" x14ac:dyDescent="0.2">
      <c r="A103" s="588"/>
      <c r="B103" s="592" t="s">
        <v>801</v>
      </c>
      <c r="C103" s="600">
        <f>SUM(C95+C102)</f>
        <v>0.53578338205694409</v>
      </c>
      <c r="D103" s="600">
        <f>SUM(D95+D102)</f>
        <v>0.5661727942961241</v>
      </c>
      <c r="E103" s="601">
        <f t="shared" si="11"/>
        <v>3.0389412239180014E-2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802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803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657</v>
      </c>
      <c r="C109" s="599">
        <f t="shared" ref="C109:D115" si="12">IF(C$77=0,0,C47/C$77)</f>
        <v>0.16349404308638124</v>
      </c>
      <c r="D109" s="599">
        <f t="shared" si="12"/>
        <v>0.15395032639259468</v>
      </c>
      <c r="E109" s="599">
        <f t="shared" ref="E109:E117" si="13">D109-C109</f>
        <v>-9.5437166937865636E-3</v>
      </c>
    </row>
    <row r="110" spans="1:5" s="421" customFormat="1" x14ac:dyDescent="0.2">
      <c r="A110" s="588">
        <v>2</v>
      </c>
      <c r="B110" s="587" t="s">
        <v>636</v>
      </c>
      <c r="C110" s="599">
        <f t="shared" si="12"/>
        <v>0.2916163311910136</v>
      </c>
      <c r="D110" s="599">
        <f t="shared" si="12"/>
        <v>0.27321927019641279</v>
      </c>
      <c r="E110" s="599">
        <f t="shared" si="13"/>
        <v>-1.8397060994600811E-2</v>
      </c>
    </row>
    <row r="111" spans="1:5" s="421" customFormat="1" x14ac:dyDescent="0.2">
      <c r="A111" s="588">
        <v>3</v>
      </c>
      <c r="B111" s="587" t="s">
        <v>778</v>
      </c>
      <c r="C111" s="599">
        <f t="shared" si="12"/>
        <v>6.5445837111873545E-2</v>
      </c>
      <c r="D111" s="599">
        <f t="shared" si="12"/>
        <v>7.2443374388749662E-2</v>
      </c>
      <c r="E111" s="599">
        <f t="shared" si="13"/>
        <v>6.9975372768761174E-3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6.5445837111873545E-2</v>
      </c>
      <c r="D112" s="599">
        <f t="shared" si="12"/>
        <v>7.2443374388749662E-2</v>
      </c>
      <c r="E112" s="599">
        <f t="shared" si="13"/>
        <v>6.9975372768761174E-3</v>
      </c>
    </row>
    <row r="113" spans="1:5" s="421" customFormat="1" x14ac:dyDescent="0.2">
      <c r="A113" s="588">
        <v>5</v>
      </c>
      <c r="B113" s="587" t="s">
        <v>744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3.7285195472821733E-4</v>
      </c>
      <c r="D114" s="599">
        <f t="shared" si="12"/>
        <v>3.2273417891726396E-4</v>
      </c>
      <c r="E114" s="599">
        <f t="shared" si="13"/>
        <v>-5.011777581095337E-5</v>
      </c>
    </row>
    <row r="115" spans="1:5" s="421" customFormat="1" x14ac:dyDescent="0.2">
      <c r="A115" s="588">
        <v>7</v>
      </c>
      <c r="B115" s="587" t="s">
        <v>759</v>
      </c>
      <c r="C115" s="599">
        <f t="shared" si="12"/>
        <v>2.7896252685057021E-3</v>
      </c>
      <c r="D115" s="599">
        <f t="shared" si="12"/>
        <v>1.7971276259300421E-3</v>
      </c>
      <c r="E115" s="599">
        <f t="shared" si="13"/>
        <v>-9.9249764257565995E-4</v>
      </c>
    </row>
    <row r="116" spans="1:5" s="421" customFormat="1" x14ac:dyDescent="0.2">
      <c r="A116" s="588"/>
      <c r="B116" s="592" t="s">
        <v>797</v>
      </c>
      <c r="C116" s="600">
        <f>SUM(C110+C111+C114)</f>
        <v>0.35743502025761537</v>
      </c>
      <c r="D116" s="600">
        <f>SUM(D110+D111+D114)</f>
        <v>0.3459853787640797</v>
      </c>
      <c r="E116" s="601">
        <f t="shared" si="13"/>
        <v>-1.1449641493535667E-2</v>
      </c>
    </row>
    <row r="117" spans="1:5" s="421" customFormat="1" x14ac:dyDescent="0.2">
      <c r="A117" s="588"/>
      <c r="B117" s="592" t="s">
        <v>798</v>
      </c>
      <c r="C117" s="600">
        <f>SUM(C109+C116)</f>
        <v>0.52092906334399658</v>
      </c>
      <c r="D117" s="600">
        <f>SUM(D109+D116)</f>
        <v>0.4999357051566744</v>
      </c>
      <c r="E117" s="601">
        <f t="shared" si="13"/>
        <v>-2.0993358187322175E-2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804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657</v>
      </c>
      <c r="C121" s="599">
        <f t="shared" ref="C121:D127" si="14">IF(C$77=0,0,C58/C$77)</f>
        <v>0.28147798021689502</v>
      </c>
      <c r="D121" s="599">
        <f t="shared" si="14"/>
        <v>0.28413431926546739</v>
      </c>
      <c r="E121" s="599">
        <f t="shared" ref="E121:E129" si="15">D121-C121</f>
        <v>2.6563390485723759E-3</v>
      </c>
    </row>
    <row r="122" spans="1:5" s="421" customFormat="1" x14ac:dyDescent="0.2">
      <c r="A122" s="588">
        <v>2</v>
      </c>
      <c r="B122" s="587" t="s">
        <v>636</v>
      </c>
      <c r="C122" s="599">
        <f t="shared" si="14"/>
        <v>9.8186704925760954E-2</v>
      </c>
      <c r="D122" s="599">
        <f t="shared" si="14"/>
        <v>0.11081772200226556</v>
      </c>
      <c r="E122" s="599">
        <f t="shared" si="15"/>
        <v>1.2631017076504603E-2</v>
      </c>
    </row>
    <row r="123" spans="1:5" s="421" customFormat="1" x14ac:dyDescent="0.2">
      <c r="A123" s="588">
        <v>3</v>
      </c>
      <c r="B123" s="587" t="s">
        <v>778</v>
      </c>
      <c r="C123" s="599">
        <f t="shared" si="14"/>
        <v>9.8737733430432115E-2</v>
      </c>
      <c r="D123" s="599">
        <f t="shared" si="14"/>
        <v>0.10500101488477591</v>
      </c>
      <c r="E123" s="599">
        <f t="shared" si="15"/>
        <v>6.2632814543437942E-3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9.8737733430432115E-2</v>
      </c>
      <c r="D124" s="599">
        <f t="shared" si="14"/>
        <v>0.10500101488477591</v>
      </c>
      <c r="E124" s="599">
        <f t="shared" si="15"/>
        <v>6.2632814543437942E-3</v>
      </c>
    </row>
    <row r="125" spans="1:5" s="421" customFormat="1" x14ac:dyDescent="0.2">
      <c r="A125" s="588">
        <v>5</v>
      </c>
      <c r="B125" s="587" t="s">
        <v>744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6.6851808291529843E-4</v>
      </c>
      <c r="D126" s="599">
        <f t="shared" si="14"/>
        <v>1.1123869081676783E-4</v>
      </c>
      <c r="E126" s="599">
        <f t="shared" si="15"/>
        <v>-5.5727939209853066E-4</v>
      </c>
    </row>
    <row r="127" spans="1:5" s="421" customFormat="1" x14ac:dyDescent="0.2">
      <c r="A127" s="588">
        <v>7</v>
      </c>
      <c r="B127" s="587" t="s">
        <v>759</v>
      </c>
      <c r="C127" s="599">
        <f t="shared" si="14"/>
        <v>7.5197929253248451E-4</v>
      </c>
      <c r="D127" s="599">
        <f t="shared" si="14"/>
        <v>9.8197869008669679E-5</v>
      </c>
      <c r="E127" s="599">
        <f t="shared" si="15"/>
        <v>-6.5378142352381485E-4</v>
      </c>
    </row>
    <row r="128" spans="1:5" s="421" customFormat="1" x14ac:dyDescent="0.2">
      <c r="A128" s="588"/>
      <c r="B128" s="592" t="s">
        <v>800</v>
      </c>
      <c r="C128" s="600">
        <f>SUM(C122+C123+C126)</f>
        <v>0.19759295643910835</v>
      </c>
      <c r="D128" s="600">
        <f>SUM(D122+D123+D126)</f>
        <v>0.21592997557785823</v>
      </c>
      <c r="E128" s="601">
        <f t="shared" si="15"/>
        <v>1.8337019138749883E-2</v>
      </c>
    </row>
    <row r="129" spans="1:5" s="421" customFormat="1" x14ac:dyDescent="0.2">
      <c r="A129" s="588"/>
      <c r="B129" s="592" t="s">
        <v>801</v>
      </c>
      <c r="C129" s="600">
        <f>SUM(C121+C128)</f>
        <v>0.47907093665600337</v>
      </c>
      <c r="D129" s="600">
        <f>SUM(D121+D128)</f>
        <v>0.5000642948433256</v>
      </c>
      <c r="E129" s="601">
        <f t="shared" si="15"/>
        <v>2.0993358187322231E-2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805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806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807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657</v>
      </c>
      <c r="C137" s="606">
        <v>4756</v>
      </c>
      <c r="D137" s="606">
        <v>4371</v>
      </c>
      <c r="E137" s="607">
        <f t="shared" ref="E137:E145" si="16">D137-C137</f>
        <v>-385</v>
      </c>
    </row>
    <row r="138" spans="1:5" s="421" customFormat="1" x14ac:dyDescent="0.2">
      <c r="A138" s="588">
        <v>2</v>
      </c>
      <c r="B138" s="587" t="s">
        <v>636</v>
      </c>
      <c r="C138" s="606">
        <v>8464</v>
      </c>
      <c r="D138" s="606">
        <v>7089</v>
      </c>
      <c r="E138" s="607">
        <f t="shared" si="16"/>
        <v>-1375</v>
      </c>
    </row>
    <row r="139" spans="1:5" s="421" customFormat="1" x14ac:dyDescent="0.2">
      <c r="A139" s="588">
        <v>3</v>
      </c>
      <c r="B139" s="587" t="s">
        <v>778</v>
      </c>
      <c r="C139" s="606">
        <f>C140+C141</f>
        <v>4668</v>
      </c>
      <c r="D139" s="606">
        <f>D140+D141</f>
        <v>4161</v>
      </c>
      <c r="E139" s="607">
        <f t="shared" si="16"/>
        <v>-507</v>
      </c>
    </row>
    <row r="140" spans="1:5" s="421" customFormat="1" x14ac:dyDescent="0.2">
      <c r="A140" s="588">
        <v>4</v>
      </c>
      <c r="B140" s="587" t="s">
        <v>115</v>
      </c>
      <c r="C140" s="606">
        <v>4668</v>
      </c>
      <c r="D140" s="606">
        <v>4161</v>
      </c>
      <c r="E140" s="607">
        <f t="shared" si="16"/>
        <v>-507</v>
      </c>
    </row>
    <row r="141" spans="1:5" s="421" customFormat="1" x14ac:dyDescent="0.2">
      <c r="A141" s="588">
        <v>5</v>
      </c>
      <c r="B141" s="587" t="s">
        <v>744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19</v>
      </c>
      <c r="D142" s="606">
        <v>19</v>
      </c>
      <c r="E142" s="607">
        <f t="shared" si="16"/>
        <v>0</v>
      </c>
    </row>
    <row r="143" spans="1:5" s="421" customFormat="1" x14ac:dyDescent="0.2">
      <c r="A143" s="588">
        <v>7</v>
      </c>
      <c r="B143" s="587" t="s">
        <v>759</v>
      </c>
      <c r="C143" s="606">
        <v>206</v>
      </c>
      <c r="D143" s="606">
        <v>224</v>
      </c>
      <c r="E143" s="607">
        <f t="shared" si="16"/>
        <v>18</v>
      </c>
    </row>
    <row r="144" spans="1:5" s="421" customFormat="1" x14ac:dyDescent="0.2">
      <c r="A144" s="588"/>
      <c r="B144" s="592" t="s">
        <v>808</v>
      </c>
      <c r="C144" s="608">
        <f>SUM(C138+C139+C142)</f>
        <v>13151</v>
      </c>
      <c r="D144" s="608">
        <f>SUM(D138+D139+D142)</f>
        <v>11269</v>
      </c>
      <c r="E144" s="609">
        <f t="shared" si="16"/>
        <v>-1882</v>
      </c>
    </row>
    <row r="145" spans="1:5" s="421" customFormat="1" x14ac:dyDescent="0.2">
      <c r="A145" s="588"/>
      <c r="B145" s="592" t="s">
        <v>138</v>
      </c>
      <c r="C145" s="608">
        <f>SUM(C137+C144)</f>
        <v>17907</v>
      </c>
      <c r="D145" s="608">
        <f>SUM(D137+D144)</f>
        <v>15640</v>
      </c>
      <c r="E145" s="609">
        <f t="shared" si="16"/>
        <v>-2267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657</v>
      </c>
      <c r="C149" s="610">
        <v>15927</v>
      </c>
      <c r="D149" s="610">
        <v>16090</v>
      </c>
      <c r="E149" s="607">
        <f t="shared" ref="E149:E157" si="17">D149-C149</f>
        <v>163</v>
      </c>
    </row>
    <row r="150" spans="1:5" s="421" customFormat="1" x14ac:dyDescent="0.2">
      <c r="A150" s="588">
        <v>2</v>
      </c>
      <c r="B150" s="587" t="s">
        <v>636</v>
      </c>
      <c r="C150" s="610">
        <v>40770</v>
      </c>
      <c r="D150" s="610">
        <v>35449</v>
      </c>
      <c r="E150" s="607">
        <f t="shared" si="17"/>
        <v>-5321</v>
      </c>
    </row>
    <row r="151" spans="1:5" s="421" customFormat="1" x14ac:dyDescent="0.2">
      <c r="A151" s="588">
        <v>3</v>
      </c>
      <c r="B151" s="587" t="s">
        <v>778</v>
      </c>
      <c r="C151" s="610">
        <f>C152+C153</f>
        <v>18724</v>
      </c>
      <c r="D151" s="610">
        <f>D152+D153</f>
        <v>17668</v>
      </c>
      <c r="E151" s="607">
        <f t="shared" si="17"/>
        <v>-1056</v>
      </c>
    </row>
    <row r="152" spans="1:5" s="421" customFormat="1" x14ac:dyDescent="0.2">
      <c r="A152" s="588">
        <v>4</v>
      </c>
      <c r="B152" s="587" t="s">
        <v>115</v>
      </c>
      <c r="C152" s="610">
        <v>18724</v>
      </c>
      <c r="D152" s="610">
        <v>17668</v>
      </c>
      <c r="E152" s="607">
        <f t="shared" si="17"/>
        <v>-1056</v>
      </c>
    </row>
    <row r="153" spans="1:5" s="421" customFormat="1" x14ac:dyDescent="0.2">
      <c r="A153" s="588">
        <v>5</v>
      </c>
      <c r="B153" s="587" t="s">
        <v>744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46</v>
      </c>
      <c r="D154" s="610">
        <v>58</v>
      </c>
      <c r="E154" s="607">
        <f t="shared" si="17"/>
        <v>12</v>
      </c>
    </row>
    <row r="155" spans="1:5" s="421" customFormat="1" x14ac:dyDescent="0.2">
      <c r="A155" s="588">
        <v>7</v>
      </c>
      <c r="B155" s="587" t="s">
        <v>759</v>
      </c>
      <c r="C155" s="610">
        <v>557</v>
      </c>
      <c r="D155" s="610">
        <v>824</v>
      </c>
      <c r="E155" s="607">
        <f t="shared" si="17"/>
        <v>267</v>
      </c>
    </row>
    <row r="156" spans="1:5" s="421" customFormat="1" x14ac:dyDescent="0.2">
      <c r="A156" s="588"/>
      <c r="B156" s="592" t="s">
        <v>809</v>
      </c>
      <c r="C156" s="608">
        <f>SUM(C150+C151+C154)</f>
        <v>59540</v>
      </c>
      <c r="D156" s="608">
        <f>SUM(D150+D151+D154)</f>
        <v>53175</v>
      </c>
      <c r="E156" s="609">
        <f t="shared" si="17"/>
        <v>-6365</v>
      </c>
    </row>
    <row r="157" spans="1:5" s="421" customFormat="1" x14ac:dyDescent="0.2">
      <c r="A157" s="588"/>
      <c r="B157" s="592" t="s">
        <v>140</v>
      </c>
      <c r="C157" s="608">
        <f>SUM(C149+C156)</f>
        <v>75467</v>
      </c>
      <c r="D157" s="608">
        <f>SUM(D149+D156)</f>
        <v>69265</v>
      </c>
      <c r="E157" s="609">
        <f t="shared" si="17"/>
        <v>-6202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810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657</v>
      </c>
      <c r="C161" s="612">
        <f t="shared" ref="C161:D169" si="18">IF(C137=0,0,C149/C137)</f>
        <v>3.3488225399495373</v>
      </c>
      <c r="D161" s="612">
        <f t="shared" si="18"/>
        <v>3.6810798444291923</v>
      </c>
      <c r="E161" s="613">
        <f t="shared" ref="E161:E169" si="19">D161-C161</f>
        <v>0.33225730447965507</v>
      </c>
    </row>
    <row r="162" spans="1:5" s="421" customFormat="1" x14ac:dyDescent="0.2">
      <c r="A162" s="588">
        <v>2</v>
      </c>
      <c r="B162" s="587" t="s">
        <v>636</v>
      </c>
      <c r="C162" s="612">
        <f t="shared" si="18"/>
        <v>4.8168714555765595</v>
      </c>
      <c r="D162" s="612">
        <f t="shared" si="18"/>
        <v>5.0005642544787703</v>
      </c>
      <c r="E162" s="613">
        <f t="shared" si="19"/>
        <v>0.1836927989022108</v>
      </c>
    </row>
    <row r="163" spans="1:5" s="421" customFormat="1" x14ac:dyDescent="0.2">
      <c r="A163" s="588">
        <v>3</v>
      </c>
      <c r="B163" s="587" t="s">
        <v>778</v>
      </c>
      <c r="C163" s="612">
        <f t="shared" si="18"/>
        <v>4.0111396743787493</v>
      </c>
      <c r="D163" s="612">
        <f t="shared" si="18"/>
        <v>4.2460946887767363</v>
      </c>
      <c r="E163" s="613">
        <f t="shared" si="19"/>
        <v>0.23495501439798705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4.0111396743787493</v>
      </c>
      <c r="D164" s="612">
        <f t="shared" si="18"/>
        <v>4.2460946887767363</v>
      </c>
      <c r="E164" s="613">
        <f t="shared" si="19"/>
        <v>0.23495501439798705</v>
      </c>
    </row>
    <row r="165" spans="1:5" s="421" customFormat="1" x14ac:dyDescent="0.2">
      <c r="A165" s="588">
        <v>5</v>
      </c>
      <c r="B165" s="587" t="s">
        <v>744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2.4210526315789473</v>
      </c>
      <c r="D166" s="612">
        <f t="shared" si="18"/>
        <v>3.0526315789473686</v>
      </c>
      <c r="E166" s="613">
        <f t="shared" si="19"/>
        <v>0.63157894736842124</v>
      </c>
    </row>
    <row r="167" spans="1:5" s="421" customFormat="1" x14ac:dyDescent="0.2">
      <c r="A167" s="588">
        <v>7</v>
      </c>
      <c r="B167" s="587" t="s">
        <v>759</v>
      </c>
      <c r="C167" s="612">
        <f t="shared" si="18"/>
        <v>2.703883495145631</v>
      </c>
      <c r="D167" s="612">
        <f t="shared" si="18"/>
        <v>3.6785714285714284</v>
      </c>
      <c r="E167" s="613">
        <f t="shared" si="19"/>
        <v>0.9746879334257974</v>
      </c>
    </row>
    <row r="168" spans="1:5" s="421" customFormat="1" x14ac:dyDescent="0.2">
      <c r="A168" s="588"/>
      <c r="B168" s="592" t="s">
        <v>811</v>
      </c>
      <c r="C168" s="614">
        <f t="shared" si="18"/>
        <v>4.5274123640787769</v>
      </c>
      <c r="D168" s="614">
        <f t="shared" si="18"/>
        <v>4.7186973112077384</v>
      </c>
      <c r="E168" s="615">
        <f t="shared" si="19"/>
        <v>0.19128494712896149</v>
      </c>
    </row>
    <row r="169" spans="1:5" s="421" customFormat="1" x14ac:dyDescent="0.2">
      <c r="A169" s="588"/>
      <c r="B169" s="592" t="s">
        <v>745</v>
      </c>
      <c r="C169" s="614">
        <f t="shared" si="18"/>
        <v>4.2143854358630701</v>
      </c>
      <c r="D169" s="614">
        <f t="shared" si="18"/>
        <v>4.4287084398976981</v>
      </c>
      <c r="E169" s="615">
        <f t="shared" si="19"/>
        <v>0.21432300403462801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812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657</v>
      </c>
      <c r="C173" s="617">
        <f t="shared" ref="C173:D181" si="20">IF(C137=0,0,C203/C137)</f>
        <v>1.1322000000000001</v>
      </c>
      <c r="D173" s="617">
        <f t="shared" si="20"/>
        <v>1.1756</v>
      </c>
      <c r="E173" s="618">
        <f t="shared" ref="E173:E181" si="21">D173-C173</f>
        <v>4.3399999999999883E-2</v>
      </c>
    </row>
    <row r="174" spans="1:5" s="421" customFormat="1" x14ac:dyDescent="0.2">
      <c r="A174" s="588">
        <v>2</v>
      </c>
      <c r="B174" s="587" t="s">
        <v>636</v>
      </c>
      <c r="C174" s="617">
        <f t="shared" si="20"/>
        <v>1.4821200000000001</v>
      </c>
      <c r="D174" s="617">
        <f t="shared" si="20"/>
        <v>1.5435000000000001</v>
      </c>
      <c r="E174" s="618">
        <f t="shared" si="21"/>
        <v>6.137999999999999E-2</v>
      </c>
    </row>
    <row r="175" spans="1:5" s="421" customFormat="1" x14ac:dyDescent="0.2">
      <c r="A175" s="588">
        <v>3</v>
      </c>
      <c r="B175" s="587" t="s">
        <v>778</v>
      </c>
      <c r="C175" s="617">
        <f t="shared" si="20"/>
        <v>1.00952</v>
      </c>
      <c r="D175" s="617">
        <f t="shared" si="20"/>
        <v>1.0504</v>
      </c>
      <c r="E175" s="618">
        <f t="shared" si="21"/>
        <v>4.0880000000000027E-2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1.00952</v>
      </c>
      <c r="D176" s="617">
        <f t="shared" si="20"/>
        <v>1.0504</v>
      </c>
      <c r="E176" s="618">
        <f t="shared" si="21"/>
        <v>4.0880000000000027E-2</v>
      </c>
    </row>
    <row r="177" spans="1:5" s="421" customFormat="1" x14ac:dyDescent="0.2">
      <c r="A177" s="588">
        <v>5</v>
      </c>
      <c r="B177" s="587" t="s">
        <v>744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1.35307</v>
      </c>
      <c r="D178" s="617">
        <f t="shared" si="20"/>
        <v>1.0747</v>
      </c>
      <c r="E178" s="618">
        <f t="shared" si="21"/>
        <v>-0.27837000000000001</v>
      </c>
    </row>
    <row r="179" spans="1:5" s="421" customFormat="1" x14ac:dyDescent="0.2">
      <c r="A179" s="588">
        <v>7</v>
      </c>
      <c r="B179" s="587" t="s">
        <v>759</v>
      </c>
      <c r="C179" s="617">
        <f t="shared" si="20"/>
        <v>1.0947100000000001</v>
      </c>
      <c r="D179" s="617">
        <f t="shared" si="20"/>
        <v>1.1022000000000001</v>
      </c>
      <c r="E179" s="618">
        <f t="shared" si="21"/>
        <v>7.4899999999999967E-3</v>
      </c>
    </row>
    <row r="180" spans="1:5" s="421" customFormat="1" x14ac:dyDescent="0.2">
      <c r="A180" s="588"/>
      <c r="B180" s="592" t="s">
        <v>813</v>
      </c>
      <c r="C180" s="619">
        <f t="shared" si="20"/>
        <v>1.3141822956429172</v>
      </c>
      <c r="D180" s="619">
        <f t="shared" si="20"/>
        <v>1.3606358328156891</v>
      </c>
      <c r="E180" s="620">
        <f t="shared" si="21"/>
        <v>4.6453537172771897E-2</v>
      </c>
    </row>
    <row r="181" spans="1:5" s="421" customFormat="1" x14ac:dyDescent="0.2">
      <c r="A181" s="588"/>
      <c r="B181" s="592" t="s">
        <v>724</v>
      </c>
      <c r="C181" s="619">
        <f t="shared" si="20"/>
        <v>1.2658488060534989</v>
      </c>
      <c r="D181" s="619">
        <f t="shared" si="20"/>
        <v>1.3089228132992328</v>
      </c>
      <c r="E181" s="620">
        <f t="shared" si="21"/>
        <v>4.3074007245733847E-2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814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815</v>
      </c>
      <c r="C185" s="589">
        <v>269161826</v>
      </c>
      <c r="D185" s="589">
        <v>267608153</v>
      </c>
      <c r="E185" s="590">
        <f>D185-C185</f>
        <v>-1553673</v>
      </c>
    </row>
    <row r="186" spans="1:5" s="421" customFormat="1" ht="25.5" x14ac:dyDescent="0.2">
      <c r="A186" s="588">
        <v>2</v>
      </c>
      <c r="B186" s="587" t="s">
        <v>816</v>
      </c>
      <c r="C186" s="589">
        <v>154356004</v>
      </c>
      <c r="D186" s="589">
        <v>154898850</v>
      </c>
      <c r="E186" s="590">
        <f>D186-C186</f>
        <v>542846</v>
      </c>
    </row>
    <row r="187" spans="1:5" s="421" customFormat="1" x14ac:dyDescent="0.2">
      <c r="A187" s="588"/>
      <c r="B187" s="587" t="s">
        <v>669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748</v>
      </c>
      <c r="C188" s="622">
        <f>+C185-C186</f>
        <v>114805822</v>
      </c>
      <c r="D188" s="622">
        <f>+D185-D186</f>
        <v>112709303</v>
      </c>
      <c r="E188" s="590">
        <f t="shared" ref="E188:E197" si="22">D188-C188</f>
        <v>-2096519</v>
      </c>
    </row>
    <row r="189" spans="1:5" s="421" customFormat="1" x14ac:dyDescent="0.2">
      <c r="A189" s="588">
        <v>4</v>
      </c>
      <c r="B189" s="587" t="s">
        <v>671</v>
      </c>
      <c r="C189" s="623">
        <f>IF(C185=0,0,+C188/C185)</f>
        <v>0.426530848397499</v>
      </c>
      <c r="D189" s="623">
        <f>IF(D185=0,0,+D188/D185)</f>
        <v>0.42117290425004356</v>
      </c>
      <c r="E189" s="599">
        <f t="shared" si="22"/>
        <v>-5.3579441474554401E-3</v>
      </c>
    </row>
    <row r="190" spans="1:5" s="421" customFormat="1" x14ac:dyDescent="0.2">
      <c r="A190" s="588">
        <v>5</v>
      </c>
      <c r="B190" s="587" t="s">
        <v>763</v>
      </c>
      <c r="C190" s="589">
        <v>9762581</v>
      </c>
      <c r="D190" s="589">
        <v>9076083</v>
      </c>
      <c r="E190" s="622">
        <f t="shared" si="22"/>
        <v>-686498</v>
      </c>
    </row>
    <row r="191" spans="1:5" s="421" customFormat="1" x14ac:dyDescent="0.2">
      <c r="A191" s="588">
        <v>6</v>
      </c>
      <c r="B191" s="587" t="s">
        <v>749</v>
      </c>
      <c r="C191" s="589">
        <v>6729152</v>
      </c>
      <c r="D191" s="589">
        <v>5857809</v>
      </c>
      <c r="E191" s="622">
        <f t="shared" si="22"/>
        <v>-871343</v>
      </c>
    </row>
    <row r="192" spans="1:5" ht="29.25" x14ac:dyDescent="0.2">
      <c r="A192" s="588">
        <v>7</v>
      </c>
      <c r="B192" s="624" t="s">
        <v>817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818</v>
      </c>
      <c r="C193" s="589">
        <v>16310702</v>
      </c>
      <c r="D193" s="589">
        <v>17256889</v>
      </c>
      <c r="E193" s="622">
        <f t="shared" si="22"/>
        <v>946187</v>
      </c>
    </row>
    <row r="194" spans="1:5" s="421" customFormat="1" x14ac:dyDescent="0.2">
      <c r="A194" s="588">
        <v>9</v>
      </c>
      <c r="B194" s="587" t="s">
        <v>819</v>
      </c>
      <c r="C194" s="589">
        <v>9742308</v>
      </c>
      <c r="D194" s="589">
        <v>5458239</v>
      </c>
      <c r="E194" s="622">
        <f t="shared" si="22"/>
        <v>-4284069</v>
      </c>
    </row>
    <row r="195" spans="1:5" s="421" customFormat="1" x14ac:dyDescent="0.2">
      <c r="A195" s="588">
        <v>10</v>
      </c>
      <c r="B195" s="587" t="s">
        <v>820</v>
      </c>
      <c r="C195" s="589">
        <f>+C193+C194</f>
        <v>26053010</v>
      </c>
      <c r="D195" s="589">
        <f>+D193+D194</f>
        <v>22715128</v>
      </c>
      <c r="E195" s="625">
        <f t="shared" si="22"/>
        <v>-3337882</v>
      </c>
    </row>
    <row r="196" spans="1:5" s="421" customFormat="1" x14ac:dyDescent="0.2">
      <c r="A196" s="588">
        <v>11</v>
      </c>
      <c r="B196" s="587" t="s">
        <v>821</v>
      </c>
      <c r="C196" s="589">
        <v>31817639</v>
      </c>
      <c r="D196" s="589">
        <v>22666522</v>
      </c>
      <c r="E196" s="622">
        <f t="shared" si="22"/>
        <v>-9151117</v>
      </c>
    </row>
    <row r="197" spans="1:5" s="421" customFormat="1" x14ac:dyDescent="0.2">
      <c r="A197" s="588">
        <v>12</v>
      </c>
      <c r="B197" s="587" t="s">
        <v>711</v>
      </c>
      <c r="C197" s="589">
        <v>377447207</v>
      </c>
      <c r="D197" s="589">
        <v>359304084</v>
      </c>
      <c r="E197" s="622">
        <f t="shared" si="22"/>
        <v>-18143123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822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823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657</v>
      </c>
      <c r="C203" s="629">
        <v>5384.7432000000008</v>
      </c>
      <c r="D203" s="629">
        <v>5138.5475999999999</v>
      </c>
      <c r="E203" s="630">
        <f t="shared" ref="E203:E211" si="23">D203-C203</f>
        <v>-246.19560000000092</v>
      </c>
    </row>
    <row r="204" spans="1:5" s="421" customFormat="1" x14ac:dyDescent="0.2">
      <c r="A204" s="588">
        <v>2</v>
      </c>
      <c r="B204" s="587" t="s">
        <v>636</v>
      </c>
      <c r="C204" s="629">
        <v>12544.663680000001</v>
      </c>
      <c r="D204" s="629">
        <v>10941.871500000001</v>
      </c>
      <c r="E204" s="630">
        <f t="shared" si="23"/>
        <v>-1602.7921800000004</v>
      </c>
    </row>
    <row r="205" spans="1:5" s="421" customFormat="1" x14ac:dyDescent="0.2">
      <c r="A205" s="588">
        <v>3</v>
      </c>
      <c r="B205" s="587" t="s">
        <v>778</v>
      </c>
      <c r="C205" s="629">
        <f>C206+C207</f>
        <v>4712.4393600000003</v>
      </c>
      <c r="D205" s="629">
        <f>D206+D207</f>
        <v>4370.7143999999998</v>
      </c>
      <c r="E205" s="630">
        <f t="shared" si="23"/>
        <v>-341.72496000000046</v>
      </c>
    </row>
    <row r="206" spans="1:5" s="421" customFormat="1" x14ac:dyDescent="0.2">
      <c r="A206" s="588">
        <v>4</v>
      </c>
      <c r="B206" s="587" t="s">
        <v>115</v>
      </c>
      <c r="C206" s="629">
        <v>4712.4393600000003</v>
      </c>
      <c r="D206" s="629">
        <v>4370.7143999999998</v>
      </c>
      <c r="E206" s="630">
        <f t="shared" si="23"/>
        <v>-341.72496000000046</v>
      </c>
    </row>
    <row r="207" spans="1:5" s="421" customFormat="1" x14ac:dyDescent="0.2">
      <c r="A207" s="588">
        <v>5</v>
      </c>
      <c r="B207" s="587" t="s">
        <v>744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25.70833</v>
      </c>
      <c r="D208" s="629">
        <v>20.4193</v>
      </c>
      <c r="E208" s="630">
        <f t="shared" si="23"/>
        <v>-5.2890300000000003</v>
      </c>
    </row>
    <row r="209" spans="1:5" s="421" customFormat="1" x14ac:dyDescent="0.2">
      <c r="A209" s="588">
        <v>7</v>
      </c>
      <c r="B209" s="587" t="s">
        <v>759</v>
      </c>
      <c r="C209" s="629">
        <v>225.51026000000002</v>
      </c>
      <c r="D209" s="629">
        <v>246.89280000000002</v>
      </c>
      <c r="E209" s="630">
        <f t="shared" si="23"/>
        <v>21.382540000000006</v>
      </c>
    </row>
    <row r="210" spans="1:5" s="421" customFormat="1" x14ac:dyDescent="0.2">
      <c r="A210" s="588"/>
      <c r="B210" s="592" t="s">
        <v>824</v>
      </c>
      <c r="C210" s="631">
        <f>C204+C205+C208</f>
        <v>17282.811370000003</v>
      </c>
      <c r="D210" s="631">
        <f>D204+D205+D208</f>
        <v>15333.005200000001</v>
      </c>
      <c r="E210" s="632">
        <f t="shared" si="23"/>
        <v>-1949.8061700000017</v>
      </c>
    </row>
    <row r="211" spans="1:5" s="421" customFormat="1" x14ac:dyDescent="0.2">
      <c r="A211" s="588"/>
      <c r="B211" s="592" t="s">
        <v>725</v>
      </c>
      <c r="C211" s="631">
        <f>C210+C203</f>
        <v>22667.554570000004</v>
      </c>
      <c r="D211" s="631">
        <f>D210+D203</f>
        <v>20471.552800000001</v>
      </c>
      <c r="E211" s="632">
        <f t="shared" si="23"/>
        <v>-2196.0017700000026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825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657</v>
      </c>
      <c r="C215" s="633">
        <f>IF(C14*C137=0,0,C25/C14*C137)</f>
        <v>9911.3034456682799</v>
      </c>
      <c r="D215" s="633">
        <f>IF(D14*D137=0,0,D25/D14*D137)</f>
        <v>9511.108512585095</v>
      </c>
      <c r="E215" s="633">
        <f t="shared" ref="E215:E223" si="24">D215-C215</f>
        <v>-400.19493308318488</v>
      </c>
    </row>
    <row r="216" spans="1:5" s="421" customFormat="1" x14ac:dyDescent="0.2">
      <c r="A216" s="588">
        <v>2</v>
      </c>
      <c r="B216" s="587" t="s">
        <v>636</v>
      </c>
      <c r="C216" s="633">
        <f>IF(C15*C138=0,0,C26/C15*C138)</f>
        <v>5606.1217305630626</v>
      </c>
      <c r="D216" s="633">
        <f>IF(D15*D138=0,0,D26/D15*D138)</f>
        <v>5559.5968946852463</v>
      </c>
      <c r="E216" s="633">
        <f t="shared" si="24"/>
        <v>-46.524835877816258</v>
      </c>
    </row>
    <row r="217" spans="1:5" s="421" customFormat="1" x14ac:dyDescent="0.2">
      <c r="A217" s="588">
        <v>3</v>
      </c>
      <c r="B217" s="587" t="s">
        <v>778</v>
      </c>
      <c r="C217" s="633">
        <f>C218+C219</f>
        <v>7470.6167849206022</v>
      </c>
      <c r="D217" s="633">
        <f>D218+D219</f>
        <v>7468.1709292521446</v>
      </c>
      <c r="E217" s="633">
        <f t="shared" si="24"/>
        <v>-2.4458556684576251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7470.6167849206022</v>
      </c>
      <c r="D218" s="633">
        <f t="shared" si="25"/>
        <v>7468.1709292521446</v>
      </c>
      <c r="E218" s="633">
        <f t="shared" si="24"/>
        <v>-2.4458556684576251</v>
      </c>
    </row>
    <row r="219" spans="1:5" s="421" customFormat="1" x14ac:dyDescent="0.2">
      <c r="A219" s="588">
        <v>5</v>
      </c>
      <c r="B219" s="587" t="s">
        <v>744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53.309561485852221</v>
      </c>
      <c r="D220" s="633">
        <f t="shared" si="25"/>
        <v>52.60348609758222</v>
      </c>
      <c r="E220" s="633">
        <f t="shared" si="24"/>
        <v>-0.70607538827000127</v>
      </c>
    </row>
    <row r="221" spans="1:5" s="421" customFormat="1" x14ac:dyDescent="0.2">
      <c r="A221" s="588">
        <v>7</v>
      </c>
      <c r="B221" s="587" t="s">
        <v>759</v>
      </c>
      <c r="C221" s="633">
        <f t="shared" si="25"/>
        <v>700.63171832298326</v>
      </c>
      <c r="D221" s="633">
        <f t="shared" si="25"/>
        <v>560.17134070049701</v>
      </c>
      <c r="E221" s="633">
        <f t="shared" si="24"/>
        <v>-140.46037762248625</v>
      </c>
    </row>
    <row r="222" spans="1:5" s="421" customFormat="1" x14ac:dyDescent="0.2">
      <c r="A222" s="588"/>
      <c r="B222" s="592" t="s">
        <v>826</v>
      </c>
      <c r="C222" s="634">
        <f>C216+C218+C219+C220</f>
        <v>13130.048076969517</v>
      </c>
      <c r="D222" s="634">
        <f>D216+D218+D219+D220</f>
        <v>13080.371310034972</v>
      </c>
      <c r="E222" s="634">
        <f t="shared" si="24"/>
        <v>-49.676766934544503</v>
      </c>
    </row>
    <row r="223" spans="1:5" s="421" customFormat="1" x14ac:dyDescent="0.2">
      <c r="A223" s="588"/>
      <c r="B223" s="592" t="s">
        <v>827</v>
      </c>
      <c r="C223" s="634">
        <f>C215+C222</f>
        <v>23041.351522637797</v>
      </c>
      <c r="D223" s="634">
        <f>D215+D222</f>
        <v>22591.479822620066</v>
      </c>
      <c r="E223" s="634">
        <f t="shared" si="24"/>
        <v>-449.8717000177312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828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657</v>
      </c>
      <c r="C227" s="636">
        <f t="shared" ref="C227:D235" si="26">IF(C203=0,0,C47/C203)</f>
        <v>10958.847953974851</v>
      </c>
      <c r="D227" s="636">
        <f t="shared" si="26"/>
        <v>10593.278536526546</v>
      </c>
      <c r="E227" s="636">
        <f t="shared" ref="E227:E235" si="27">D227-C227</f>
        <v>-365.5694174483051</v>
      </c>
    </row>
    <row r="228" spans="1:5" s="421" customFormat="1" x14ac:dyDescent="0.2">
      <c r="A228" s="588">
        <v>2</v>
      </c>
      <c r="B228" s="587" t="s">
        <v>636</v>
      </c>
      <c r="C228" s="636">
        <f t="shared" si="26"/>
        <v>8390.3636386687085</v>
      </c>
      <c r="D228" s="636">
        <f t="shared" si="26"/>
        <v>8828.9666900219017</v>
      </c>
      <c r="E228" s="636">
        <f t="shared" si="27"/>
        <v>438.60305135319322</v>
      </c>
    </row>
    <row r="229" spans="1:5" s="421" customFormat="1" x14ac:dyDescent="0.2">
      <c r="A229" s="588">
        <v>3</v>
      </c>
      <c r="B229" s="587" t="s">
        <v>778</v>
      </c>
      <c r="C229" s="636">
        <f t="shared" si="26"/>
        <v>5012.6134673486813</v>
      </c>
      <c r="D229" s="636">
        <f t="shared" si="26"/>
        <v>5860.5233963582705</v>
      </c>
      <c r="E229" s="636">
        <f t="shared" si="27"/>
        <v>847.90992900958918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5012.6134673486813</v>
      </c>
      <c r="D230" s="636">
        <f t="shared" si="26"/>
        <v>5860.5233963582705</v>
      </c>
      <c r="E230" s="636">
        <f t="shared" si="27"/>
        <v>847.90992900958918</v>
      </c>
    </row>
    <row r="231" spans="1:5" s="421" customFormat="1" x14ac:dyDescent="0.2">
      <c r="A231" s="588">
        <v>5</v>
      </c>
      <c r="B231" s="587" t="s">
        <v>744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5234.6846333464682</v>
      </c>
      <c r="D232" s="636">
        <f t="shared" si="26"/>
        <v>5588.4873624463135</v>
      </c>
      <c r="E232" s="636">
        <f t="shared" si="27"/>
        <v>353.80272909984524</v>
      </c>
    </row>
    <row r="233" spans="1:5" s="421" customFormat="1" x14ac:dyDescent="0.2">
      <c r="A233" s="588">
        <v>7</v>
      </c>
      <c r="B233" s="587" t="s">
        <v>759</v>
      </c>
      <c r="C233" s="636">
        <f t="shared" si="26"/>
        <v>4464.8567209314551</v>
      </c>
      <c r="D233" s="636">
        <f t="shared" si="26"/>
        <v>2573.7162039557247</v>
      </c>
      <c r="E233" s="636">
        <f t="shared" si="27"/>
        <v>-1891.1405169757304</v>
      </c>
    </row>
    <row r="234" spans="1:5" x14ac:dyDescent="0.2">
      <c r="A234" s="588"/>
      <c r="B234" s="592" t="s">
        <v>829</v>
      </c>
      <c r="C234" s="637">
        <f t="shared" si="26"/>
        <v>7464.6710675752738</v>
      </c>
      <c r="D234" s="637">
        <f t="shared" si="26"/>
        <v>7978.488522263071</v>
      </c>
      <c r="E234" s="637">
        <f t="shared" si="27"/>
        <v>513.81745468779718</v>
      </c>
    </row>
    <row r="235" spans="1:5" s="421" customFormat="1" x14ac:dyDescent="0.2">
      <c r="A235" s="588"/>
      <c r="B235" s="592" t="s">
        <v>830</v>
      </c>
      <c r="C235" s="637">
        <f t="shared" si="26"/>
        <v>8294.7229009361981</v>
      </c>
      <c r="D235" s="637">
        <f t="shared" si="26"/>
        <v>8634.8248091859441</v>
      </c>
      <c r="E235" s="637">
        <f t="shared" si="27"/>
        <v>340.10190824974597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831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657</v>
      </c>
      <c r="C239" s="636">
        <f t="shared" ref="C239:D247" si="28">IF(C215=0,0,C58/C215)</f>
        <v>10250.418984437607</v>
      </c>
      <c r="D239" s="636">
        <f t="shared" si="28"/>
        <v>10562.889054106052</v>
      </c>
      <c r="E239" s="638">
        <f t="shared" ref="E239:E247" si="29">D239-C239</f>
        <v>312.47006966844492</v>
      </c>
    </row>
    <row r="240" spans="1:5" s="421" customFormat="1" x14ac:dyDescent="0.2">
      <c r="A240" s="588">
        <v>2</v>
      </c>
      <c r="B240" s="587" t="s">
        <v>636</v>
      </c>
      <c r="C240" s="636">
        <f t="shared" si="28"/>
        <v>6321.4706535529722</v>
      </c>
      <c r="D240" s="636">
        <f t="shared" si="28"/>
        <v>7047.8406514431899</v>
      </c>
      <c r="E240" s="638">
        <f t="shared" si="29"/>
        <v>726.36999789021775</v>
      </c>
    </row>
    <row r="241" spans="1:5" x14ac:dyDescent="0.2">
      <c r="A241" s="588">
        <v>3</v>
      </c>
      <c r="B241" s="587" t="s">
        <v>778</v>
      </c>
      <c r="C241" s="636">
        <f t="shared" si="28"/>
        <v>4770.3984859636676</v>
      </c>
      <c r="D241" s="636">
        <f t="shared" si="28"/>
        <v>4971.29355389805</v>
      </c>
      <c r="E241" s="638">
        <f t="shared" si="29"/>
        <v>200.8950679343825</v>
      </c>
    </row>
    <row r="242" spans="1:5" x14ac:dyDescent="0.2">
      <c r="A242" s="588">
        <v>4</v>
      </c>
      <c r="B242" s="587" t="s">
        <v>115</v>
      </c>
      <c r="C242" s="636">
        <f t="shared" si="28"/>
        <v>4770.3984859636676</v>
      </c>
      <c r="D242" s="636">
        <f t="shared" si="28"/>
        <v>4971.29355389805</v>
      </c>
      <c r="E242" s="638">
        <f t="shared" si="29"/>
        <v>200.8950679343825</v>
      </c>
    </row>
    <row r="243" spans="1:5" x14ac:dyDescent="0.2">
      <c r="A243" s="588">
        <v>5</v>
      </c>
      <c r="B243" s="587" t="s">
        <v>744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4526.2236881096087</v>
      </c>
      <c r="D244" s="636">
        <f t="shared" si="28"/>
        <v>747.7070992412381</v>
      </c>
      <c r="E244" s="638">
        <f t="shared" si="29"/>
        <v>-3778.5165888683705</v>
      </c>
    </row>
    <row r="245" spans="1:5" x14ac:dyDescent="0.2">
      <c r="A245" s="588">
        <v>7</v>
      </c>
      <c r="B245" s="587" t="s">
        <v>759</v>
      </c>
      <c r="C245" s="636">
        <f t="shared" si="28"/>
        <v>387.38611584650062</v>
      </c>
      <c r="D245" s="636">
        <f t="shared" si="28"/>
        <v>61.982821107165563</v>
      </c>
      <c r="E245" s="638">
        <f t="shared" si="29"/>
        <v>-325.40329473933502</v>
      </c>
    </row>
    <row r="246" spans="1:5" ht="25.5" x14ac:dyDescent="0.2">
      <c r="A246" s="588"/>
      <c r="B246" s="592" t="s">
        <v>832</v>
      </c>
      <c r="C246" s="637">
        <f t="shared" si="28"/>
        <v>5431.6666307638206</v>
      </c>
      <c r="D246" s="637">
        <f t="shared" si="28"/>
        <v>5836.9103743581627</v>
      </c>
      <c r="E246" s="639">
        <f t="shared" si="29"/>
        <v>405.24374359434205</v>
      </c>
    </row>
    <row r="247" spans="1:5" x14ac:dyDescent="0.2">
      <c r="A247" s="588"/>
      <c r="B247" s="592" t="s">
        <v>833</v>
      </c>
      <c r="C247" s="637">
        <f t="shared" si="28"/>
        <v>7504.4667770514852</v>
      </c>
      <c r="D247" s="637">
        <f t="shared" si="28"/>
        <v>7826.5673779794861</v>
      </c>
      <c r="E247" s="639">
        <f t="shared" si="29"/>
        <v>322.10060092800086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761</v>
      </c>
      <c r="B249" s="626" t="s">
        <v>758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11587465.76981584</v>
      </c>
      <c r="D251" s="622">
        <f>((IF((IF(D15=0,0,D26/D15)*D138)=0,0,D59/(IF(D15=0,0,D26/D15)*D138)))-(IF((IF(D17=0,0,D28/D17)*D140)=0,0,D61/(IF(D17=0,0,D28/D17)*D140))))*(IF(D17=0,0,D28/D17)*D140)</f>
        <v>15508008.66710953</v>
      </c>
      <c r="E251" s="622">
        <f>D251-C251</f>
        <v>3920542.8972936906</v>
      </c>
    </row>
    <row r="252" spans="1:5" x14ac:dyDescent="0.2">
      <c r="A252" s="588">
        <v>2</v>
      </c>
      <c r="B252" s="587" t="s">
        <v>744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759</v>
      </c>
      <c r="C253" s="622">
        <f>IF(C233=0,0,(C228-C233)*C209+IF(C221=0,0,(C240-C245)*C221))</f>
        <v>5042849.9319778578</v>
      </c>
      <c r="D253" s="622">
        <f>IF(D233=0,0,(D228-D233)*D209+IF(D221=0,0,(D240-D245)*D221))</f>
        <v>5457653.6539686359</v>
      </c>
      <c r="E253" s="622">
        <f>D253-C253</f>
        <v>414803.72199077811</v>
      </c>
    </row>
    <row r="254" spans="1:5" ht="15" customHeight="1" x14ac:dyDescent="0.2">
      <c r="A254" s="588"/>
      <c r="B254" s="592" t="s">
        <v>760</v>
      </c>
      <c r="C254" s="640">
        <f>+C251+C252+C253</f>
        <v>16630315.701793697</v>
      </c>
      <c r="D254" s="640">
        <f>+D251+D252+D253</f>
        <v>20965662.321078166</v>
      </c>
      <c r="E254" s="640">
        <f>D254-C254</f>
        <v>4335346.6192844696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834</v>
      </c>
      <c r="B256" s="626" t="s">
        <v>835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726</v>
      </c>
      <c r="C258" s="622">
        <f>+C44</f>
        <v>883915401</v>
      </c>
      <c r="D258" s="625">
        <f>+D44</f>
        <v>854431479</v>
      </c>
      <c r="E258" s="622">
        <f t="shared" ref="E258:E271" si="30">D258-C258</f>
        <v>-29483922</v>
      </c>
    </row>
    <row r="259" spans="1:5" x14ac:dyDescent="0.2">
      <c r="A259" s="588">
        <v>2</v>
      </c>
      <c r="B259" s="587" t="s">
        <v>743</v>
      </c>
      <c r="C259" s="622">
        <f>+(C43-C76)</f>
        <v>408175438</v>
      </c>
      <c r="D259" s="625">
        <f>+(D43-D76)</f>
        <v>388140165</v>
      </c>
      <c r="E259" s="622">
        <f t="shared" si="30"/>
        <v>-20035273</v>
      </c>
    </row>
    <row r="260" spans="1:5" x14ac:dyDescent="0.2">
      <c r="A260" s="588">
        <v>3</v>
      </c>
      <c r="B260" s="587" t="s">
        <v>747</v>
      </c>
      <c r="C260" s="622">
        <f>C195</f>
        <v>26053010</v>
      </c>
      <c r="D260" s="622">
        <f>D195</f>
        <v>22715128</v>
      </c>
      <c r="E260" s="622">
        <f t="shared" si="30"/>
        <v>-3337882</v>
      </c>
    </row>
    <row r="261" spans="1:5" x14ac:dyDescent="0.2">
      <c r="A261" s="588">
        <v>4</v>
      </c>
      <c r="B261" s="587" t="s">
        <v>748</v>
      </c>
      <c r="C261" s="622">
        <f>C188</f>
        <v>114805822</v>
      </c>
      <c r="D261" s="622">
        <f>D188</f>
        <v>112709303</v>
      </c>
      <c r="E261" s="622">
        <f t="shared" si="30"/>
        <v>-2096519</v>
      </c>
    </row>
    <row r="262" spans="1:5" x14ac:dyDescent="0.2">
      <c r="A262" s="588">
        <v>5</v>
      </c>
      <c r="B262" s="587" t="s">
        <v>749</v>
      </c>
      <c r="C262" s="622">
        <f>C191</f>
        <v>6729152</v>
      </c>
      <c r="D262" s="622">
        <f>D191</f>
        <v>5857809</v>
      </c>
      <c r="E262" s="622">
        <f t="shared" si="30"/>
        <v>-871343</v>
      </c>
    </row>
    <row r="263" spans="1:5" x14ac:dyDescent="0.2">
      <c r="A263" s="588">
        <v>6</v>
      </c>
      <c r="B263" s="587" t="s">
        <v>750</v>
      </c>
      <c r="C263" s="622">
        <f>+C259+C260+C261+C262</f>
        <v>555763422</v>
      </c>
      <c r="D263" s="622">
        <f>+D259+D260+D261+D262</f>
        <v>529422405</v>
      </c>
      <c r="E263" s="622">
        <f t="shared" si="30"/>
        <v>-26341017</v>
      </c>
    </row>
    <row r="264" spans="1:5" x14ac:dyDescent="0.2">
      <c r="A264" s="588">
        <v>7</v>
      </c>
      <c r="B264" s="587" t="s">
        <v>655</v>
      </c>
      <c r="C264" s="622">
        <f>+C258-C263</f>
        <v>328151979</v>
      </c>
      <c r="D264" s="622">
        <f>+D258-D263</f>
        <v>325009074</v>
      </c>
      <c r="E264" s="622">
        <f t="shared" si="30"/>
        <v>-3142905</v>
      </c>
    </row>
    <row r="265" spans="1:5" x14ac:dyDescent="0.2">
      <c r="A265" s="588">
        <v>8</v>
      </c>
      <c r="B265" s="587" t="s">
        <v>836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837</v>
      </c>
      <c r="C266" s="622">
        <f>+C264+C265</f>
        <v>328151979</v>
      </c>
      <c r="D266" s="622">
        <f>+D264+D265</f>
        <v>325009074</v>
      </c>
      <c r="E266" s="641">
        <f t="shared" si="30"/>
        <v>-3142905</v>
      </c>
    </row>
    <row r="267" spans="1:5" x14ac:dyDescent="0.2">
      <c r="A267" s="588">
        <v>10</v>
      </c>
      <c r="B267" s="587" t="s">
        <v>838</v>
      </c>
      <c r="C267" s="642">
        <f>IF(C258=0,0,C266/C258)</f>
        <v>0.37124817446189062</v>
      </c>
      <c r="D267" s="642">
        <f>IF(D258=0,0,D266/D258)</f>
        <v>0.38038050093891729</v>
      </c>
      <c r="E267" s="643">
        <f t="shared" si="30"/>
        <v>9.1323264770266643E-3</v>
      </c>
    </row>
    <row r="268" spans="1:5" x14ac:dyDescent="0.2">
      <c r="A268" s="588">
        <v>11</v>
      </c>
      <c r="B268" s="587" t="s">
        <v>717</v>
      </c>
      <c r="C268" s="622">
        <f>+C260*C267</f>
        <v>9672132.4017373808</v>
      </c>
      <c r="D268" s="644">
        <f>+D260*D267</f>
        <v>8640391.7675316259</v>
      </c>
      <c r="E268" s="622">
        <f t="shared" si="30"/>
        <v>-1031740.6342057548</v>
      </c>
    </row>
    <row r="269" spans="1:5" x14ac:dyDescent="0.2">
      <c r="A269" s="588">
        <v>12</v>
      </c>
      <c r="B269" s="587" t="s">
        <v>839</v>
      </c>
      <c r="C269" s="622">
        <f>((C17+C18+C28+C29)*C267)-(C50+C51+C61+C62)</f>
        <v>17115501.926530257</v>
      </c>
      <c r="D269" s="644">
        <f>((D17+D18+D28+D29)*D267)-(D50+D51+D61+D62)</f>
        <v>16457523.303582087</v>
      </c>
      <c r="E269" s="622">
        <f t="shared" si="30"/>
        <v>-657978.62294816971</v>
      </c>
    </row>
    <row r="270" spans="1:5" s="648" customFormat="1" x14ac:dyDescent="0.2">
      <c r="A270" s="645">
        <v>13</v>
      </c>
      <c r="B270" s="646" t="s">
        <v>840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841</v>
      </c>
      <c r="C271" s="622">
        <f>+C268+C269+C270</f>
        <v>26787634.328267638</v>
      </c>
      <c r="D271" s="622">
        <f>+D268+D269+D270</f>
        <v>25097915.071113713</v>
      </c>
      <c r="E271" s="625">
        <f t="shared" si="30"/>
        <v>-1689719.2571539246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842</v>
      </c>
      <c r="B273" s="626" t="s">
        <v>843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844</v>
      </c>
      <c r="C275" s="425"/>
      <c r="D275" s="425"/>
      <c r="E275" s="596"/>
    </row>
    <row r="276" spans="1:5" x14ac:dyDescent="0.2">
      <c r="A276" s="588">
        <v>1</v>
      </c>
      <c r="B276" s="587" t="s">
        <v>657</v>
      </c>
      <c r="C276" s="623">
        <f t="shared" ref="C276:D284" si="31">IF(C14=0,0,+C47/C14)</f>
        <v>0.66077923882341738</v>
      </c>
      <c r="D276" s="623">
        <f t="shared" si="31"/>
        <v>0.64602014853152301</v>
      </c>
      <c r="E276" s="650">
        <f t="shared" ref="E276:E284" si="32">D276-C276</f>
        <v>-1.4759090291894372E-2</v>
      </c>
    </row>
    <row r="277" spans="1:5" x14ac:dyDescent="0.2">
      <c r="A277" s="588">
        <v>2</v>
      </c>
      <c r="B277" s="587" t="s">
        <v>636</v>
      </c>
      <c r="C277" s="623">
        <f t="shared" si="31"/>
        <v>0.43563295583906519</v>
      </c>
      <c r="D277" s="623">
        <f t="shared" si="31"/>
        <v>0.45640981972346223</v>
      </c>
      <c r="E277" s="650">
        <f t="shared" si="32"/>
        <v>2.0776863884397034E-2</v>
      </c>
    </row>
    <row r="278" spans="1:5" x14ac:dyDescent="0.2">
      <c r="A278" s="588">
        <v>3</v>
      </c>
      <c r="B278" s="587" t="s">
        <v>778</v>
      </c>
      <c r="C278" s="623">
        <f t="shared" si="31"/>
        <v>0.29858066962932883</v>
      </c>
      <c r="D278" s="623">
        <f t="shared" si="31"/>
        <v>0.34382721025856539</v>
      </c>
      <c r="E278" s="650">
        <f t="shared" si="32"/>
        <v>4.5246540629236554E-2</v>
      </c>
    </row>
    <row r="279" spans="1:5" x14ac:dyDescent="0.2">
      <c r="A279" s="588">
        <v>4</v>
      </c>
      <c r="B279" s="587" t="s">
        <v>115</v>
      </c>
      <c r="C279" s="623">
        <f t="shared" si="31"/>
        <v>0.29858066962932883</v>
      </c>
      <c r="D279" s="623">
        <f t="shared" si="31"/>
        <v>0.34382721025856539</v>
      </c>
      <c r="E279" s="650">
        <f t="shared" si="32"/>
        <v>4.5246540629236554E-2</v>
      </c>
    </row>
    <row r="280" spans="1:5" x14ac:dyDescent="0.2">
      <c r="A280" s="588">
        <v>5</v>
      </c>
      <c r="B280" s="587" t="s">
        <v>744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0.45117004157167762</v>
      </c>
      <c r="D281" s="623">
        <f t="shared" si="31"/>
        <v>0.45185035597475309</v>
      </c>
      <c r="E281" s="650">
        <f t="shared" si="32"/>
        <v>6.8031440307547708E-4</v>
      </c>
    </row>
    <row r="282" spans="1:5" x14ac:dyDescent="0.2">
      <c r="A282" s="588">
        <v>7</v>
      </c>
      <c r="B282" s="587" t="s">
        <v>759</v>
      </c>
      <c r="C282" s="623">
        <f t="shared" si="31"/>
        <v>0.2240238639344565</v>
      </c>
      <c r="D282" s="623">
        <f t="shared" si="31"/>
        <v>0.13233071933972088</v>
      </c>
      <c r="E282" s="650">
        <f t="shared" si="32"/>
        <v>-9.1693144594735626E-2</v>
      </c>
    </row>
    <row r="283" spans="1:5" ht="29.25" customHeight="1" x14ac:dyDescent="0.2">
      <c r="A283" s="588"/>
      <c r="B283" s="592" t="s">
        <v>845</v>
      </c>
      <c r="C283" s="651">
        <f t="shared" si="31"/>
        <v>0.40187222448048415</v>
      </c>
      <c r="D283" s="651">
        <f t="shared" si="31"/>
        <v>0.42712222019916701</v>
      </c>
      <c r="E283" s="652">
        <f t="shared" si="32"/>
        <v>2.5249995718682861E-2</v>
      </c>
    </row>
    <row r="284" spans="1:5" x14ac:dyDescent="0.2">
      <c r="A284" s="588"/>
      <c r="B284" s="592" t="s">
        <v>846</v>
      </c>
      <c r="C284" s="651">
        <f t="shared" si="31"/>
        <v>0.45822118916520627</v>
      </c>
      <c r="D284" s="651">
        <f t="shared" si="31"/>
        <v>0.47688129994392053</v>
      </c>
      <c r="E284" s="652">
        <f t="shared" si="32"/>
        <v>1.8660110778714267E-2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847</v>
      </c>
      <c r="C286" s="596"/>
      <c r="D286" s="596"/>
      <c r="E286" s="596"/>
    </row>
    <row r="287" spans="1:5" x14ac:dyDescent="0.2">
      <c r="A287" s="588">
        <v>1</v>
      </c>
      <c r="B287" s="587" t="s">
        <v>657</v>
      </c>
      <c r="C287" s="623">
        <f t="shared" ref="C287:D295" si="33">IF(C25=0,0,+C58/C25)</f>
        <v>0.54589605372091476</v>
      </c>
      <c r="D287" s="623">
        <f t="shared" si="33"/>
        <v>0.54794732675987479</v>
      </c>
      <c r="E287" s="650">
        <f t="shared" ref="E287:E295" si="34">D287-C287</f>
        <v>2.051273038960022E-3</v>
      </c>
    </row>
    <row r="288" spans="1:5" x14ac:dyDescent="0.2">
      <c r="A288" s="588">
        <v>2</v>
      </c>
      <c r="B288" s="587" t="s">
        <v>636</v>
      </c>
      <c r="C288" s="623">
        <f t="shared" si="33"/>
        <v>0.2214494988035931</v>
      </c>
      <c r="D288" s="623">
        <f t="shared" si="33"/>
        <v>0.23604485785396573</v>
      </c>
      <c r="E288" s="650">
        <f t="shared" si="34"/>
        <v>1.4595359050372625E-2</v>
      </c>
    </row>
    <row r="289" spans="1:5" x14ac:dyDescent="0.2">
      <c r="A289" s="588">
        <v>3</v>
      </c>
      <c r="B289" s="587" t="s">
        <v>778</v>
      </c>
      <c r="C289" s="623">
        <f t="shared" si="33"/>
        <v>0.28147329834120732</v>
      </c>
      <c r="D289" s="623">
        <f t="shared" si="33"/>
        <v>0.27766333473885874</v>
      </c>
      <c r="E289" s="650">
        <f t="shared" si="34"/>
        <v>-3.8099636023485872E-3</v>
      </c>
    </row>
    <row r="290" spans="1:5" x14ac:dyDescent="0.2">
      <c r="A290" s="588">
        <v>4</v>
      </c>
      <c r="B290" s="587" t="s">
        <v>115</v>
      </c>
      <c r="C290" s="623">
        <f t="shared" si="33"/>
        <v>0.28147329834120732</v>
      </c>
      <c r="D290" s="623">
        <f t="shared" si="33"/>
        <v>0.27766333473885874</v>
      </c>
      <c r="E290" s="650">
        <f t="shared" si="34"/>
        <v>-3.8099636023485872E-3</v>
      </c>
    </row>
    <row r="291" spans="1:5" x14ac:dyDescent="0.2">
      <c r="A291" s="588">
        <v>5</v>
      </c>
      <c r="B291" s="587" t="s">
        <v>744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0.28831383288883788</v>
      </c>
      <c r="D292" s="623">
        <f t="shared" si="33"/>
        <v>5.6252860411899315E-2</v>
      </c>
      <c r="E292" s="650">
        <f t="shared" si="34"/>
        <v>-0.23206097247693858</v>
      </c>
    </row>
    <row r="293" spans="1:5" x14ac:dyDescent="0.2">
      <c r="A293" s="588">
        <v>7</v>
      </c>
      <c r="B293" s="587" t="s">
        <v>759</v>
      </c>
      <c r="C293" s="623">
        <f t="shared" si="33"/>
        <v>1.7755451600391488E-2</v>
      </c>
      <c r="D293" s="623">
        <f t="shared" si="33"/>
        <v>2.891418455562335E-3</v>
      </c>
      <c r="E293" s="650">
        <f t="shared" si="34"/>
        <v>-1.4864033144829154E-2</v>
      </c>
    </row>
    <row r="294" spans="1:5" ht="29.25" customHeight="1" x14ac:dyDescent="0.2">
      <c r="A294" s="588"/>
      <c r="B294" s="592" t="s">
        <v>848</v>
      </c>
      <c r="C294" s="651">
        <f t="shared" si="33"/>
        <v>0.24807976059576953</v>
      </c>
      <c r="D294" s="651">
        <f t="shared" si="33"/>
        <v>0.25415058637337351</v>
      </c>
      <c r="E294" s="652">
        <f t="shared" si="34"/>
        <v>6.0708257776039831E-3</v>
      </c>
    </row>
    <row r="295" spans="1:5" x14ac:dyDescent="0.2">
      <c r="A295" s="588"/>
      <c r="B295" s="592" t="s">
        <v>849</v>
      </c>
      <c r="C295" s="651">
        <f t="shared" si="33"/>
        <v>0.36511346422987973</v>
      </c>
      <c r="D295" s="651">
        <f t="shared" si="33"/>
        <v>0.36550201114050385</v>
      </c>
      <c r="E295" s="652">
        <f t="shared" si="34"/>
        <v>3.8854691062412128E-4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850</v>
      </c>
      <c r="B297" s="579" t="s">
        <v>851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852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655</v>
      </c>
      <c r="C301" s="590">
        <f>+C48+C47+C50+C51+C52+C59+C58+C61+C62+C63</f>
        <v>360934141</v>
      </c>
      <c r="D301" s="590">
        <f>+D48+D47+D50+D51+D52+D59+D58+D61+D62+D63</f>
        <v>353582011</v>
      </c>
      <c r="E301" s="590">
        <f>D301-C301</f>
        <v>-7352130</v>
      </c>
    </row>
    <row r="302" spans="1:5" ht="25.5" x14ac:dyDescent="0.2">
      <c r="A302" s="588">
        <v>2</v>
      </c>
      <c r="B302" s="587" t="s">
        <v>853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854</v>
      </c>
      <c r="C303" s="593">
        <f>+C301+C302</f>
        <v>360934141</v>
      </c>
      <c r="D303" s="593">
        <f>+D301+D302</f>
        <v>353582011</v>
      </c>
      <c r="E303" s="593">
        <f>D303-C303</f>
        <v>-7352130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855</v>
      </c>
      <c r="C305" s="589">
        <v>10973348</v>
      </c>
      <c r="D305" s="654">
        <v>8129690</v>
      </c>
      <c r="E305" s="655">
        <f>D305-C305</f>
        <v>-2843658</v>
      </c>
    </row>
    <row r="306" spans="1:5" x14ac:dyDescent="0.2">
      <c r="A306" s="588">
        <v>4</v>
      </c>
      <c r="B306" s="592" t="s">
        <v>856</v>
      </c>
      <c r="C306" s="593">
        <f>+C303+C305+C194+C190-C191</f>
        <v>384683226</v>
      </c>
      <c r="D306" s="593">
        <f>+D303+D305</f>
        <v>361711701</v>
      </c>
      <c r="E306" s="656">
        <f>D306-C306</f>
        <v>-22971525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857</v>
      </c>
      <c r="C308" s="589">
        <v>371907491</v>
      </c>
      <c r="D308" s="589">
        <v>361711967</v>
      </c>
      <c r="E308" s="590">
        <f>D308-C308</f>
        <v>-10195524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858</v>
      </c>
      <c r="C310" s="657">
        <f>C306-C308</f>
        <v>12775735</v>
      </c>
      <c r="D310" s="658">
        <f>D306-D308</f>
        <v>-266</v>
      </c>
      <c r="E310" s="656">
        <f>D310-C310</f>
        <v>-12776001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859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860</v>
      </c>
      <c r="C314" s="590">
        <f>+C14+C15+C16+C19+C25+C26+C27+C30</f>
        <v>883915401</v>
      </c>
      <c r="D314" s="590">
        <f>+D14+D15+D16+D19+D25+D26+D27+D30</f>
        <v>854431479</v>
      </c>
      <c r="E314" s="590">
        <f>D314-C314</f>
        <v>-29483922</v>
      </c>
    </row>
    <row r="315" spans="1:5" x14ac:dyDescent="0.2">
      <c r="A315" s="588">
        <v>2</v>
      </c>
      <c r="B315" s="659" t="s">
        <v>861</v>
      </c>
      <c r="C315" s="589">
        <v>10645868</v>
      </c>
      <c r="D315" s="589">
        <v>10177899</v>
      </c>
      <c r="E315" s="590">
        <f>D315-C315</f>
        <v>-467969</v>
      </c>
    </row>
    <row r="316" spans="1:5" x14ac:dyDescent="0.2">
      <c r="A316" s="588"/>
      <c r="B316" s="592" t="s">
        <v>862</v>
      </c>
      <c r="C316" s="657">
        <f>C314+C315</f>
        <v>894561269</v>
      </c>
      <c r="D316" s="657">
        <f>D314+D315</f>
        <v>864609378</v>
      </c>
      <c r="E316" s="593">
        <f>D316-C316</f>
        <v>-29951891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863</v>
      </c>
      <c r="C318" s="589">
        <v>894561269</v>
      </c>
      <c r="D318" s="589">
        <v>864609377</v>
      </c>
      <c r="E318" s="590">
        <f>D318-C318</f>
        <v>-29951892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858</v>
      </c>
      <c r="C320" s="657">
        <f>C316-C318</f>
        <v>0</v>
      </c>
      <c r="D320" s="657">
        <f>D316-D318</f>
        <v>1</v>
      </c>
      <c r="E320" s="593">
        <f>D320-C320</f>
        <v>1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864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865</v>
      </c>
      <c r="C324" s="589">
        <f>+C193+C194</f>
        <v>26053010</v>
      </c>
      <c r="D324" s="589">
        <f>+D193+D194</f>
        <v>22715128</v>
      </c>
      <c r="E324" s="590">
        <f>D324-C324</f>
        <v>-3337882</v>
      </c>
    </row>
    <row r="325" spans="1:5" x14ac:dyDescent="0.2">
      <c r="A325" s="588">
        <v>2</v>
      </c>
      <c r="B325" s="587" t="s">
        <v>866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867</v>
      </c>
      <c r="C326" s="657">
        <f>C324+C325</f>
        <v>26053010</v>
      </c>
      <c r="D326" s="657">
        <f>D324+D325</f>
        <v>22715128</v>
      </c>
      <c r="E326" s="593">
        <f>D326-C326</f>
        <v>-3337882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868</v>
      </c>
      <c r="C328" s="589">
        <v>26053010</v>
      </c>
      <c r="D328" s="589">
        <v>22715128</v>
      </c>
      <c r="E328" s="590">
        <f>D328-C328</f>
        <v>-3337882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869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6" fitToHeight="0" orientation="portrait" horizontalDpi="1200" verticalDpi="1200" r:id="rId1"/>
  <headerFooter>
    <oddHeader>_x000D_
                &amp;LOFFICE OF HEALTH CARE ACCESS&amp;CTWELVE MONTHS ACTUAL FILING&amp;RTHE HOSPITAL OF CENTRAL CONNECTICUT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630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870</v>
      </c>
      <c r="B5" s="824"/>
      <c r="C5" s="825"/>
      <c r="D5" s="661"/>
    </row>
    <row r="6" spans="1:58" s="662" customFormat="1" ht="15.75" customHeight="1" x14ac:dyDescent="0.25">
      <c r="A6" s="823" t="s">
        <v>871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872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873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777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657</v>
      </c>
      <c r="C14" s="589">
        <v>84260632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636</v>
      </c>
      <c r="C15" s="591">
        <v>211663761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778</v>
      </c>
      <c r="C16" s="591">
        <v>74498682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74498682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744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252546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759</v>
      </c>
      <c r="C20" s="591">
        <v>4801848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779</v>
      </c>
      <c r="C21" s="593">
        <f>SUM(C15+C16+C19)</f>
        <v>286414989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370675621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780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657</v>
      </c>
      <c r="C25" s="589">
        <v>183347521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636</v>
      </c>
      <c r="C26" s="591">
        <v>165998757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778</v>
      </c>
      <c r="C27" s="591">
        <v>133710380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133710380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744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699200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759</v>
      </c>
      <c r="C31" s="594">
        <v>12008293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781</v>
      </c>
      <c r="C32" s="593">
        <f>SUM(C26+C27+C30)</f>
        <v>300408337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483755858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654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874</v>
      </c>
      <c r="C36" s="590">
        <f>SUM(C14+C25)</f>
        <v>267608153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875</v>
      </c>
      <c r="C37" s="594">
        <f>SUM(C21+C32)</f>
        <v>586823326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654</v>
      </c>
      <c r="C38" s="593">
        <f>SUM(+C36+C37)</f>
        <v>854431479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790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657</v>
      </c>
      <c r="C41" s="589">
        <v>54434066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636</v>
      </c>
      <c r="C42" s="591">
        <v>96605419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778</v>
      </c>
      <c r="C43" s="591">
        <v>25614674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25614674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744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114113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759</v>
      </c>
      <c r="C47" s="591">
        <v>635432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791</v>
      </c>
      <c r="C48" s="593">
        <f>SUM(C42+C43+C46)</f>
        <v>122334206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176768272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792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657</v>
      </c>
      <c r="C52" s="589">
        <v>100464784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636</v>
      </c>
      <c r="C53" s="591">
        <v>39183153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778</v>
      </c>
      <c r="C54" s="591">
        <v>37126470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37126470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744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39332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759</v>
      </c>
      <c r="C58" s="591">
        <v>34721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793</v>
      </c>
      <c r="C59" s="593">
        <f>SUM(C53+C54+C57)</f>
        <v>76348955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176813739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655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876</v>
      </c>
      <c r="C63" s="590">
        <f>SUM(C41+C52)</f>
        <v>154898850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877</v>
      </c>
      <c r="C64" s="594">
        <f>SUM(C48+C59)</f>
        <v>198683161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655</v>
      </c>
      <c r="C65" s="593">
        <f>SUM(+C63+C64)</f>
        <v>353582011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878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879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657</v>
      </c>
      <c r="C70" s="606">
        <v>4371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636</v>
      </c>
      <c r="C71" s="606">
        <v>7089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778</v>
      </c>
      <c r="C72" s="606">
        <v>4161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4161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744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19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759</v>
      </c>
      <c r="C76" s="621">
        <v>224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808</v>
      </c>
      <c r="C77" s="608">
        <f>SUM(C71+C72+C75)</f>
        <v>11269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15640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812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657</v>
      </c>
      <c r="C81" s="617">
        <v>1.1756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636</v>
      </c>
      <c r="C82" s="617">
        <v>1.5435000000000001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778</v>
      </c>
      <c r="C83" s="617">
        <f>((C73*C84)+(C74*C85))/(C73+C74)</f>
        <v>1.0504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1.0504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744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1.0747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759</v>
      </c>
      <c r="C87" s="617">
        <v>1.1022000000000001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813</v>
      </c>
      <c r="C88" s="619">
        <f>((C71*C82)+(C73*C84)+(C74*C85)+(C75*C86))/(C71+C73+C74+C75)</f>
        <v>1.3606358328156891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724</v>
      </c>
      <c r="C89" s="619">
        <f>((C70*C81)+(C71*C82)+(C73*C84)+(C74*C85)+(C75*C86))/(C70+C71+C73+C74+C75)</f>
        <v>1.3089228132992328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814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815</v>
      </c>
      <c r="C92" s="589">
        <v>267608153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816</v>
      </c>
      <c r="C93" s="622">
        <v>154898850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669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748</v>
      </c>
      <c r="C95" s="589">
        <f>+C92-C93</f>
        <v>112709303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671</v>
      </c>
      <c r="C96" s="681">
        <f>(+C92-C93)/C92</f>
        <v>0.42117290425004356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763</v>
      </c>
      <c r="C98" s="589">
        <v>9076083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749</v>
      </c>
      <c r="C99" s="589">
        <v>5857809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880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818</v>
      </c>
      <c r="C103" s="589">
        <v>17256889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819</v>
      </c>
      <c r="C104" s="589">
        <v>5458239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820</v>
      </c>
      <c r="C105" s="654">
        <f>+C103+C104</f>
        <v>22715128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821</v>
      </c>
      <c r="C107" s="589">
        <v>22666522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711</v>
      </c>
      <c r="C108" s="589">
        <v>359304084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851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852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655</v>
      </c>
      <c r="C114" s="590">
        <f>+C65</f>
        <v>353582011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853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854</v>
      </c>
      <c r="C116" s="593">
        <f>+C114+C115</f>
        <v>353582011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855</v>
      </c>
      <c r="C118" s="654">
        <v>8129690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856</v>
      </c>
      <c r="C119" s="656">
        <f>+C116+C118</f>
        <v>361711701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857</v>
      </c>
      <c r="C121" s="589">
        <v>361711967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858</v>
      </c>
      <c r="C123" s="658">
        <f>C119-C121</f>
        <v>-266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859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860</v>
      </c>
      <c r="C127" s="590">
        <f>C38</f>
        <v>854431479</v>
      </c>
      <c r="D127" s="664"/>
      <c r="AR127" s="485"/>
    </row>
    <row r="128" spans="1:58" s="421" customFormat="1" ht="12.75" x14ac:dyDescent="0.2">
      <c r="A128" s="588">
        <v>2</v>
      </c>
      <c r="B128" s="659" t="s">
        <v>861</v>
      </c>
      <c r="C128" s="589">
        <v>10177899</v>
      </c>
      <c r="D128" s="664"/>
      <c r="AR128" s="485"/>
    </row>
    <row r="129" spans="1:44" s="421" customFormat="1" ht="12.75" x14ac:dyDescent="0.2">
      <c r="A129" s="588"/>
      <c r="B129" s="671" t="s">
        <v>862</v>
      </c>
      <c r="C129" s="657">
        <f>C127+C128</f>
        <v>864609378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863</v>
      </c>
      <c r="C131" s="589">
        <v>864609377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858</v>
      </c>
      <c r="C133" s="657">
        <f>C129-C131</f>
        <v>1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864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865</v>
      </c>
      <c r="C137" s="589">
        <f>C105</f>
        <v>22715128</v>
      </c>
      <c r="D137" s="664"/>
      <c r="AR137" s="485"/>
    </row>
    <row r="138" spans="1:44" s="421" customFormat="1" ht="12.75" x14ac:dyDescent="0.2">
      <c r="A138" s="588">
        <v>2</v>
      </c>
      <c r="B138" s="669" t="s">
        <v>881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867</v>
      </c>
      <c r="C139" s="657">
        <f>C137+C138</f>
        <v>22715128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882</v>
      </c>
      <c r="C141" s="589">
        <v>22715128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869</v>
      </c>
      <c r="C143" s="657">
        <f>C139-C141</f>
        <v>0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FILING&amp;RTHE HOSPITAL OF CENTRAL CONNECTICUT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883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633</v>
      </c>
      <c r="D8" s="177" t="s">
        <v>633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884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885</v>
      </c>
      <c r="C12" s="185">
        <v>1973</v>
      </c>
      <c r="D12" s="185">
        <v>1982</v>
      </c>
      <c r="E12" s="185">
        <f>+D12-C12</f>
        <v>9</v>
      </c>
      <c r="F12" s="77">
        <f>IF(C12=0,0,+E12/C12)</f>
        <v>4.5615813482007099E-3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886</v>
      </c>
      <c r="C13" s="185">
        <v>1080</v>
      </c>
      <c r="D13" s="185">
        <v>1094</v>
      </c>
      <c r="E13" s="185">
        <f>+D13-C13</f>
        <v>14</v>
      </c>
      <c r="F13" s="77">
        <f>IF(C13=0,0,+E13/C13)</f>
        <v>1.2962962962962963E-2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887</v>
      </c>
      <c r="C15" s="76">
        <v>16310702</v>
      </c>
      <c r="D15" s="76">
        <v>17256889</v>
      </c>
      <c r="E15" s="76">
        <f>+D15-C15</f>
        <v>946187</v>
      </c>
      <c r="F15" s="77">
        <f>IF(C15=0,0,+E15/C15)</f>
        <v>5.8010194778863593E-2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888</v>
      </c>
      <c r="C16" s="79">
        <f>IF(C13=0,0,+C15/+C13)</f>
        <v>15102.501851851852</v>
      </c>
      <c r="D16" s="79">
        <f>IF(D13=0,0,+D15/+D13)</f>
        <v>15774.121572212065</v>
      </c>
      <c r="E16" s="79">
        <f>+D16-C16</f>
        <v>671.61972036021325</v>
      </c>
      <c r="F16" s="80">
        <f>IF(C16=0,0,+E16/C16)</f>
        <v>4.4470759013868953E-2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889</v>
      </c>
      <c r="C18" s="704">
        <v>0.43822499999999998</v>
      </c>
      <c r="D18" s="704">
        <v>0.41217999999999999</v>
      </c>
      <c r="E18" s="704">
        <f>+D18-C18</f>
        <v>-2.6044999999999985E-2</v>
      </c>
      <c r="F18" s="77">
        <f>IF(C18=0,0,+E18/C18)</f>
        <v>-5.9432939699925809E-2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890</v>
      </c>
      <c r="C19" s="79">
        <f>+C15*C18</f>
        <v>7147757.3839499997</v>
      </c>
      <c r="D19" s="79">
        <f>+D15*D18</f>
        <v>7112944.5080199996</v>
      </c>
      <c r="E19" s="79">
        <f>+D19-C19</f>
        <v>-34812.875930000097</v>
      </c>
      <c r="F19" s="80">
        <f>IF(C19=0,0,+E19/C19)</f>
        <v>-4.8704613293354083E-3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891</v>
      </c>
      <c r="C20" s="79">
        <f>IF(C13=0,0,+C19/C13)</f>
        <v>6618.2938740277777</v>
      </c>
      <c r="D20" s="79">
        <f>IF(D13=0,0,+D19/D13)</f>
        <v>6501.7774296343687</v>
      </c>
      <c r="E20" s="79">
        <f>+D20-C20</f>
        <v>-116.51644439340907</v>
      </c>
      <c r="F20" s="80">
        <f>IF(C20=0,0,+E20/C20)</f>
        <v>-1.7605208624938137E-2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892</v>
      </c>
      <c r="C22" s="76">
        <v>3019515</v>
      </c>
      <c r="D22" s="76">
        <v>3542918</v>
      </c>
      <c r="E22" s="76">
        <f>+D22-C22</f>
        <v>523403</v>
      </c>
      <c r="F22" s="77">
        <f>IF(C22=0,0,+E22/C22)</f>
        <v>0.17334008938521583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893</v>
      </c>
      <c r="C23" s="185">
        <v>10144199</v>
      </c>
      <c r="D23" s="185">
        <v>10513667</v>
      </c>
      <c r="E23" s="185">
        <f>+D23-C23</f>
        <v>369468</v>
      </c>
      <c r="F23" s="77">
        <f>IF(C23=0,0,+E23/C23)</f>
        <v>3.6421604110881502E-2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894</v>
      </c>
      <c r="C24" s="185">
        <v>3146988</v>
      </c>
      <c r="D24" s="185">
        <v>3200304</v>
      </c>
      <c r="E24" s="185">
        <f>+D24-C24</f>
        <v>53316</v>
      </c>
      <c r="F24" s="77">
        <f>IF(C24=0,0,+E24/C24)</f>
        <v>1.6941913982512803E-2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895</v>
      </c>
      <c r="C25" s="79">
        <f>+C22+C23+C24</f>
        <v>16310702</v>
      </c>
      <c r="D25" s="79">
        <f>+D22+D23+D24</f>
        <v>17256889</v>
      </c>
      <c r="E25" s="79">
        <f>+E22+E23+E24</f>
        <v>946187</v>
      </c>
      <c r="F25" s="80">
        <f>IF(C25=0,0,+E25/C25)</f>
        <v>5.8010194778863593E-2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896</v>
      </c>
      <c r="C27" s="185">
        <v>2684</v>
      </c>
      <c r="D27" s="185">
        <v>3192</v>
      </c>
      <c r="E27" s="185">
        <f>+D27-C27</f>
        <v>508</v>
      </c>
      <c r="F27" s="77">
        <f>IF(C27=0,0,+E27/C27)</f>
        <v>0.18926974664679583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897</v>
      </c>
      <c r="C28" s="185">
        <v>503</v>
      </c>
      <c r="D28" s="185">
        <v>635</v>
      </c>
      <c r="E28" s="185">
        <f>+D28-C28</f>
        <v>132</v>
      </c>
      <c r="F28" s="77">
        <f>IF(C28=0,0,+E28/C28)</f>
        <v>0.2624254473161034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898</v>
      </c>
      <c r="C29" s="185">
        <v>9192</v>
      </c>
      <c r="D29" s="185">
        <v>9613</v>
      </c>
      <c r="E29" s="185">
        <f>+D29-C29</f>
        <v>421</v>
      </c>
      <c r="F29" s="77">
        <f>IF(C29=0,0,+E29/C29)</f>
        <v>4.580069625761532E-2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899</v>
      </c>
      <c r="C30" s="185">
        <v>4138</v>
      </c>
      <c r="D30" s="185">
        <v>4935</v>
      </c>
      <c r="E30" s="185">
        <f>+D30-C30</f>
        <v>797</v>
      </c>
      <c r="F30" s="77">
        <f>IF(C30=0,0,+E30/C30)</f>
        <v>0.19260512324794588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900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901</v>
      </c>
      <c r="C33" s="76">
        <v>3498973</v>
      </c>
      <c r="D33" s="76">
        <v>1738543</v>
      </c>
      <c r="E33" s="76">
        <f>+D33-C33</f>
        <v>-1760430</v>
      </c>
      <c r="F33" s="77">
        <f>IF(C33=0,0,+E33/C33)</f>
        <v>-0.50312763202231059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902</v>
      </c>
      <c r="C34" s="185">
        <v>3162333</v>
      </c>
      <c r="D34" s="185">
        <v>1884076</v>
      </c>
      <c r="E34" s="185">
        <f>+D34-C34</f>
        <v>-1278257</v>
      </c>
      <c r="F34" s="77">
        <f>IF(C34=0,0,+E34/C34)</f>
        <v>-0.4042132817764606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903</v>
      </c>
      <c r="C35" s="185">
        <v>3081002</v>
      </c>
      <c r="D35" s="185">
        <v>1835620</v>
      </c>
      <c r="E35" s="185">
        <f>+D35-C35</f>
        <v>-1245382</v>
      </c>
      <c r="F35" s="77">
        <f>IF(C35=0,0,+E35/C35)</f>
        <v>-0.40421330463271365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904</v>
      </c>
      <c r="C36" s="79">
        <f>+C33+C34+C35</f>
        <v>9742308</v>
      </c>
      <c r="D36" s="79">
        <f>+D33+D34+D35</f>
        <v>5458239</v>
      </c>
      <c r="E36" s="79">
        <f>+E33+E34+E35</f>
        <v>-4284069</v>
      </c>
      <c r="F36" s="80">
        <f>IF(C36=0,0,+E36/C36)</f>
        <v>-0.43973861224670785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905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906</v>
      </c>
      <c r="C39" s="76">
        <f>+C25</f>
        <v>16310702</v>
      </c>
      <c r="D39" s="76">
        <f>+D25</f>
        <v>17256889</v>
      </c>
      <c r="E39" s="76">
        <f>+D39-C39</f>
        <v>946187</v>
      </c>
      <c r="F39" s="77">
        <f>IF(C39=0,0,+E39/C39)</f>
        <v>5.8010194778863593E-2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907</v>
      </c>
      <c r="C40" s="185">
        <f>+C36</f>
        <v>9742308</v>
      </c>
      <c r="D40" s="185">
        <f>+D36</f>
        <v>5458239</v>
      </c>
      <c r="E40" s="185">
        <f>+D40-C40</f>
        <v>-4284069</v>
      </c>
      <c r="F40" s="77">
        <f>IF(C40=0,0,+E40/C40)</f>
        <v>-0.43973861224670785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908</v>
      </c>
      <c r="C41" s="79">
        <f>+C39+C40</f>
        <v>26053010</v>
      </c>
      <c r="D41" s="79">
        <f>+D39+D40</f>
        <v>22715128</v>
      </c>
      <c r="E41" s="79">
        <f>+E39+E40</f>
        <v>-3337882</v>
      </c>
      <c r="F41" s="80">
        <f>IF(C41=0,0,+E41/C41)</f>
        <v>-0.12811886227349545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909</v>
      </c>
      <c r="C43" s="76">
        <f t="shared" ref="C43:D45" si="0">+C22+C33</f>
        <v>6518488</v>
      </c>
      <c r="D43" s="76">
        <f t="shared" si="0"/>
        <v>5281461</v>
      </c>
      <c r="E43" s="76">
        <f>+D43-C43</f>
        <v>-1237027</v>
      </c>
      <c r="F43" s="77">
        <f>IF(C43=0,0,+E43/C43)</f>
        <v>-0.18977207597835571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910</v>
      </c>
      <c r="C44" s="185">
        <f t="shared" si="0"/>
        <v>13306532</v>
      </c>
      <c r="D44" s="185">
        <f t="shared" si="0"/>
        <v>12397743</v>
      </c>
      <c r="E44" s="185">
        <f>+D44-C44</f>
        <v>-908789</v>
      </c>
      <c r="F44" s="77">
        <f>IF(C44=0,0,+E44/C44)</f>
        <v>-6.8296457709642155E-2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911</v>
      </c>
      <c r="C45" s="185">
        <f t="shared" si="0"/>
        <v>6227990</v>
      </c>
      <c r="D45" s="185">
        <f t="shared" si="0"/>
        <v>5035924</v>
      </c>
      <c r="E45" s="185">
        <f>+D45-C45</f>
        <v>-1192066</v>
      </c>
      <c r="F45" s="77">
        <f>IF(C45=0,0,+E45/C45)</f>
        <v>-0.19140461047625318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908</v>
      </c>
      <c r="C46" s="79">
        <f>+C43+C44+C45</f>
        <v>26053010</v>
      </c>
      <c r="D46" s="79">
        <f>+D43+D44+D45</f>
        <v>22715128</v>
      </c>
      <c r="E46" s="79">
        <f>+E43+E44+E45</f>
        <v>-3337882</v>
      </c>
      <c r="F46" s="80">
        <f>IF(C46=0,0,+E46/C46)</f>
        <v>-0.12811886227349545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912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FILING&amp;RTHE HOSPITAL OF CENTRAL CONNECTICUT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913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914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915</v>
      </c>
      <c r="D10" s="177" t="s">
        <v>915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916</v>
      </c>
      <c r="D11" s="693" t="s">
        <v>916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917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269161826</v>
      </c>
      <c r="D15" s="76">
        <v>267608153</v>
      </c>
      <c r="E15" s="76">
        <f>+D15-C15</f>
        <v>-1553673</v>
      </c>
      <c r="F15" s="77">
        <f>IF(C15=0,0,E15/C15)</f>
        <v>-5.7722635601379817E-3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918</v>
      </c>
      <c r="C17" s="76">
        <v>114805822</v>
      </c>
      <c r="D17" s="76">
        <v>112709303</v>
      </c>
      <c r="E17" s="76">
        <f>+D17-C17</f>
        <v>-2096519</v>
      </c>
      <c r="F17" s="77">
        <f>IF(C17=0,0,E17/C17)</f>
        <v>-1.8261434511570328E-2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919</v>
      </c>
      <c r="C19" s="79">
        <f>+C15-C17</f>
        <v>154356004</v>
      </c>
      <c r="D19" s="79">
        <f>+D15-D17</f>
        <v>154898850</v>
      </c>
      <c r="E19" s="79">
        <f>+D19-C19</f>
        <v>542846</v>
      </c>
      <c r="F19" s="80">
        <f>IF(C19=0,0,E19/C19)</f>
        <v>3.5168440872568843E-3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920</v>
      </c>
      <c r="C21" s="720">
        <f>IF(C15=0,0,C17/C15)</f>
        <v>0.426530848397499</v>
      </c>
      <c r="D21" s="720">
        <f>IF(D15=0,0,D17/D15)</f>
        <v>0.42117290425004356</v>
      </c>
      <c r="E21" s="720">
        <f>+D21-C21</f>
        <v>-5.3579441474554401E-3</v>
      </c>
      <c r="F21" s="80">
        <f>IF(C21=0,0,E21/C21)</f>
        <v>-1.2561680280771122E-2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921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FILING&amp;R&amp;12THE HOSPITAL OF CENTRAL CONNECTICUT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922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923</v>
      </c>
      <c r="B6" s="734" t="s">
        <v>924</v>
      </c>
      <c r="C6" s="734" t="s">
        <v>925</v>
      </c>
      <c r="D6" s="734" t="s">
        <v>926</v>
      </c>
      <c r="E6" s="734" t="s">
        <v>927</v>
      </c>
    </row>
    <row r="7" spans="1:6" ht="37.5" customHeight="1" x14ac:dyDescent="0.25">
      <c r="A7" s="735" t="s">
        <v>8</v>
      </c>
      <c r="B7" s="736" t="s">
        <v>9</v>
      </c>
      <c r="C7" s="737" t="s">
        <v>928</v>
      </c>
      <c r="D7" s="737" t="s">
        <v>929</v>
      </c>
      <c r="E7" s="737" t="s">
        <v>930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931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932</v>
      </c>
      <c r="C10" s="744">
        <v>411477153</v>
      </c>
      <c r="D10" s="744">
        <v>410328218</v>
      </c>
      <c r="E10" s="744">
        <v>370675621</v>
      </c>
    </row>
    <row r="11" spans="1:6" ht="26.1" customHeight="1" x14ac:dyDescent="0.25">
      <c r="A11" s="742">
        <v>2</v>
      </c>
      <c r="B11" s="743" t="s">
        <v>933</v>
      </c>
      <c r="C11" s="744">
        <v>449270966</v>
      </c>
      <c r="D11" s="744">
        <v>473587183</v>
      </c>
      <c r="E11" s="744">
        <v>483755858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860748119</v>
      </c>
      <c r="D12" s="744">
        <f>+D11+D10</f>
        <v>883915401</v>
      </c>
      <c r="E12" s="744">
        <f>+E11+E10</f>
        <v>854431479</v>
      </c>
    </row>
    <row r="13" spans="1:6" ht="26.1" customHeight="1" x14ac:dyDescent="0.25">
      <c r="A13" s="742">
        <v>4</v>
      </c>
      <c r="B13" s="743" t="s">
        <v>507</v>
      </c>
      <c r="C13" s="744">
        <v>393528986</v>
      </c>
      <c r="D13" s="744">
        <v>371907491</v>
      </c>
      <c r="E13" s="744">
        <v>361711967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934</v>
      </c>
      <c r="C16" s="744">
        <v>389521494</v>
      </c>
      <c r="D16" s="744">
        <v>377447207</v>
      </c>
      <c r="E16" s="744">
        <v>359304084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935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76771</v>
      </c>
      <c r="D19" s="747">
        <v>75467</v>
      </c>
      <c r="E19" s="747">
        <v>69265</v>
      </c>
    </row>
    <row r="20" spans="1:5" ht="26.1" customHeight="1" x14ac:dyDescent="0.25">
      <c r="A20" s="742">
        <v>2</v>
      </c>
      <c r="B20" s="743" t="s">
        <v>381</v>
      </c>
      <c r="C20" s="748">
        <v>18252</v>
      </c>
      <c r="D20" s="748">
        <v>17907</v>
      </c>
      <c r="E20" s="748">
        <v>15640</v>
      </c>
    </row>
    <row r="21" spans="1:5" ht="26.1" customHeight="1" x14ac:dyDescent="0.25">
      <c r="A21" s="742">
        <v>3</v>
      </c>
      <c r="B21" s="743" t="s">
        <v>936</v>
      </c>
      <c r="C21" s="749">
        <f>IF(C20=0,0,+C19/C20)</f>
        <v>4.2061691869384177</v>
      </c>
      <c r="D21" s="749">
        <f>IF(D20=0,0,+D19/D20)</f>
        <v>4.2143854358630701</v>
      </c>
      <c r="E21" s="749">
        <f>IF(E20=0,0,+E19/E20)</f>
        <v>4.4287084398976981</v>
      </c>
    </row>
    <row r="22" spans="1:5" ht="26.1" customHeight="1" x14ac:dyDescent="0.25">
      <c r="A22" s="742">
        <v>4</v>
      </c>
      <c r="B22" s="743" t="s">
        <v>937</v>
      </c>
      <c r="C22" s="748">
        <f>IF(C10=0,0,C19*(C12/C10))</f>
        <v>160593.34852972749</v>
      </c>
      <c r="D22" s="748">
        <f>IF(D10=0,0,D19*(D12/D10))</f>
        <v>162568.50160684536</v>
      </c>
      <c r="E22" s="748">
        <f>IF(E10=0,0,E19*(E12/E10))</f>
        <v>159660.34192719407</v>
      </c>
    </row>
    <row r="23" spans="1:5" ht="26.1" customHeight="1" x14ac:dyDescent="0.25">
      <c r="A23" s="742">
        <v>0</v>
      </c>
      <c r="B23" s="743" t="s">
        <v>938</v>
      </c>
      <c r="C23" s="748">
        <f>IF(C10=0,0,C20*(C12/C10))</f>
        <v>38180.430075999873</v>
      </c>
      <c r="D23" s="748">
        <f>IF(D10=0,0,D20*(D12/D10))</f>
        <v>38574.663869953489</v>
      </c>
      <c r="E23" s="748">
        <f>IF(E10=0,0,E20*(E12/E10))</f>
        <v>36051.219919747571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939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1.2001706278763971</v>
      </c>
      <c r="D26" s="750">
        <v>1.2658488060534989</v>
      </c>
      <c r="E26" s="750">
        <v>1.3089228132992328</v>
      </c>
    </row>
    <row r="27" spans="1:5" ht="26.1" customHeight="1" x14ac:dyDescent="0.25">
      <c r="A27" s="742">
        <v>2</v>
      </c>
      <c r="B27" s="743" t="s">
        <v>940</v>
      </c>
      <c r="C27" s="748">
        <f>C19*C26</f>
        <v>92138.299272698874</v>
      </c>
      <c r="D27" s="748">
        <f>D19*D26</f>
        <v>95529.811846439407</v>
      </c>
      <c r="E27" s="748">
        <f>E19*E26</f>
        <v>90662.538663171363</v>
      </c>
    </row>
    <row r="28" spans="1:5" ht="26.1" customHeight="1" x14ac:dyDescent="0.25">
      <c r="A28" s="742">
        <v>3</v>
      </c>
      <c r="B28" s="743" t="s">
        <v>941</v>
      </c>
      <c r="C28" s="748">
        <f>C20*C26</f>
        <v>21905.514299999999</v>
      </c>
      <c r="D28" s="748">
        <f>D20*D26</f>
        <v>22667.554570000004</v>
      </c>
      <c r="E28" s="748">
        <f>E20*E26</f>
        <v>20471.552800000001</v>
      </c>
    </row>
    <row r="29" spans="1:5" ht="26.1" customHeight="1" x14ac:dyDescent="0.25">
      <c r="A29" s="742">
        <v>4</v>
      </c>
      <c r="B29" s="743" t="s">
        <v>942</v>
      </c>
      <c r="C29" s="748">
        <f>C22*C26</f>
        <v>192739.4199376961</v>
      </c>
      <c r="D29" s="748">
        <f>D22*D26</f>
        <v>205787.14366093153</v>
      </c>
      <c r="E29" s="748">
        <f>E22*E26</f>
        <v>208983.06392766032</v>
      </c>
    </row>
    <row r="30" spans="1:5" ht="26.1" customHeight="1" x14ac:dyDescent="0.25">
      <c r="A30" s="742">
        <v>5</v>
      </c>
      <c r="B30" s="743" t="s">
        <v>943</v>
      </c>
      <c r="C30" s="748">
        <f>C23*C26</f>
        <v>45823.030736903645</v>
      </c>
      <c r="D30" s="748">
        <f>D23*D26</f>
        <v>48829.692203695668</v>
      </c>
      <c r="E30" s="748">
        <f>E23*E26</f>
        <v>47188.264200225334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944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945</v>
      </c>
      <c r="C33" s="744">
        <f>IF(C19=0,0,C12/C19)</f>
        <v>11211.891456409321</v>
      </c>
      <c r="D33" s="744">
        <f>IF(D19=0,0,D12/D19)</f>
        <v>11712.608173108776</v>
      </c>
      <c r="E33" s="744">
        <f>IF(E19=0,0,E12/E19)</f>
        <v>12335.688717245363</v>
      </c>
    </row>
    <row r="34" spans="1:5" ht="26.1" customHeight="1" x14ac:dyDescent="0.25">
      <c r="A34" s="742">
        <v>2</v>
      </c>
      <c r="B34" s="743" t="s">
        <v>946</v>
      </c>
      <c r="C34" s="744">
        <f>IF(C20=0,0,C12/C20)</f>
        <v>47159.112371246985</v>
      </c>
      <c r="D34" s="744">
        <f>IF(D20=0,0,D12/D20)</f>
        <v>49361.445300720392</v>
      </c>
      <c r="E34" s="744">
        <f>IF(E20=0,0,E12/E20)</f>
        <v>54631.168734015344</v>
      </c>
    </row>
    <row r="35" spans="1:5" ht="26.1" customHeight="1" x14ac:dyDescent="0.25">
      <c r="A35" s="742">
        <v>3</v>
      </c>
      <c r="B35" s="743" t="s">
        <v>947</v>
      </c>
      <c r="C35" s="744">
        <f>IF(C22=0,0,C12/C22)</f>
        <v>5359.7993122402986</v>
      </c>
      <c r="D35" s="744">
        <f>IF(D22=0,0,D12/D22)</f>
        <v>5437.1873534127508</v>
      </c>
      <c r="E35" s="744">
        <f>IF(E22=0,0,E12/E22)</f>
        <v>5351.5573666353857</v>
      </c>
    </row>
    <row r="36" spans="1:5" ht="26.1" customHeight="1" x14ac:dyDescent="0.25">
      <c r="A36" s="742">
        <v>4</v>
      </c>
      <c r="B36" s="743" t="s">
        <v>948</v>
      </c>
      <c r="C36" s="744">
        <f>IF(C23=0,0,C12/C23)</f>
        <v>22544.222715318869</v>
      </c>
      <c r="D36" s="744">
        <f>IF(D23=0,0,D12/D23)</f>
        <v>22914.403194281567</v>
      </c>
      <c r="E36" s="744">
        <f>IF(E23=0,0,E12/E23)</f>
        <v>23700.487276214833</v>
      </c>
    </row>
    <row r="37" spans="1:5" ht="26.1" customHeight="1" x14ac:dyDescent="0.25">
      <c r="A37" s="742">
        <v>5</v>
      </c>
      <c r="B37" s="743" t="s">
        <v>949</v>
      </c>
      <c r="C37" s="744">
        <f>IF(C29=0,0,C12/C29)</f>
        <v>4465.8644260641686</v>
      </c>
      <c r="D37" s="744">
        <f>IF(D29=0,0,D12/D29)</f>
        <v>4295.2897118607043</v>
      </c>
      <c r="E37" s="744">
        <f>IF(E29=0,0,E12/E29)</f>
        <v>4088.520203224517</v>
      </c>
    </row>
    <row r="38" spans="1:5" ht="26.1" customHeight="1" x14ac:dyDescent="0.25">
      <c r="A38" s="742">
        <v>6</v>
      </c>
      <c r="B38" s="743" t="s">
        <v>950</v>
      </c>
      <c r="C38" s="744">
        <f>IF(C30=0,0,C12/C30)</f>
        <v>18784.181341955526</v>
      </c>
      <c r="D38" s="744">
        <f>IF(D30=0,0,D12/D30)</f>
        <v>18102.006404478238</v>
      </c>
      <c r="E38" s="744">
        <f>IF(E30=0,0,E12/E30)</f>
        <v>18106.863930712669</v>
      </c>
    </row>
    <row r="39" spans="1:5" ht="26.1" customHeight="1" x14ac:dyDescent="0.25">
      <c r="A39" s="742">
        <v>7</v>
      </c>
      <c r="B39" s="743" t="s">
        <v>951</v>
      </c>
      <c r="C39" s="744">
        <f>IF(C22=0,0,C10/C22)</f>
        <v>2562.2303586492021</v>
      </c>
      <c r="D39" s="744">
        <f>IF(D22=0,0,D10/D22)</f>
        <v>2524.0327243240217</v>
      </c>
      <c r="E39" s="744">
        <f>IF(E22=0,0,E10/E22)</f>
        <v>2321.6511785314224</v>
      </c>
    </row>
    <row r="40" spans="1:5" ht="26.1" customHeight="1" x14ac:dyDescent="0.25">
      <c r="A40" s="742">
        <v>8</v>
      </c>
      <c r="B40" s="743" t="s">
        <v>952</v>
      </c>
      <c r="C40" s="744">
        <f>IF(C23=0,0,C10/C23)</f>
        <v>10777.174384388445</v>
      </c>
      <c r="D40" s="744">
        <f>IF(D23=0,0,D10/D23)</f>
        <v>10637.246753032945</v>
      </c>
      <c r="E40" s="744">
        <f>IF(E23=0,0,E10/E23)</f>
        <v>10281.916168860547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953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954</v>
      </c>
      <c r="C43" s="744">
        <f>IF(C19=0,0,C13/C19)</f>
        <v>5126.0109416316054</v>
      </c>
      <c r="D43" s="744">
        <f>IF(D19=0,0,D13/D19)</f>
        <v>4928.0810287940421</v>
      </c>
      <c r="E43" s="744">
        <f>IF(E19=0,0,E13/E19)</f>
        <v>5222.1463509709092</v>
      </c>
    </row>
    <row r="44" spans="1:5" ht="26.1" customHeight="1" x14ac:dyDescent="0.25">
      <c r="A44" s="742">
        <v>2</v>
      </c>
      <c r="B44" s="743" t="s">
        <v>955</v>
      </c>
      <c r="C44" s="744">
        <f>IF(C20=0,0,C13/C20)</f>
        <v>21560.869274600045</v>
      </c>
      <c r="D44" s="744">
        <f>IF(D20=0,0,D13/D20)</f>
        <v>20768.832914502709</v>
      </c>
      <c r="E44" s="744">
        <f>IF(E20=0,0,E13/E20)</f>
        <v>23127.363618925832</v>
      </c>
    </row>
    <row r="45" spans="1:5" ht="26.1" customHeight="1" x14ac:dyDescent="0.25">
      <c r="A45" s="742">
        <v>3</v>
      </c>
      <c r="B45" s="743" t="s">
        <v>956</v>
      </c>
      <c r="C45" s="744">
        <f>IF(C22=0,0,C13/C22)</f>
        <v>2450.4687747211005</v>
      </c>
      <c r="D45" s="744">
        <f>IF(D22=0,0,D13/D22)</f>
        <v>2287.6971081361057</v>
      </c>
      <c r="E45" s="744">
        <f>IF(E22=0,0,E13/E22)</f>
        <v>2265.5091592184021</v>
      </c>
    </row>
    <row r="46" spans="1:5" ht="26.1" customHeight="1" x14ac:dyDescent="0.25">
      <c r="A46" s="742">
        <v>4</v>
      </c>
      <c r="B46" s="743" t="s">
        <v>957</v>
      </c>
      <c r="C46" s="744">
        <f>IF(C23=0,0,C13/C23)</f>
        <v>10307.086253786632</v>
      </c>
      <c r="D46" s="744">
        <f>IF(D23=0,0,D13/D23)</f>
        <v>9641.2373741948668</v>
      </c>
      <c r="E46" s="744">
        <f>IF(E23=0,0,E13/E23)</f>
        <v>10033.279534096073</v>
      </c>
    </row>
    <row r="47" spans="1:5" ht="26.1" customHeight="1" x14ac:dyDescent="0.25">
      <c r="A47" s="742">
        <v>5</v>
      </c>
      <c r="B47" s="743" t="s">
        <v>958</v>
      </c>
      <c r="C47" s="744">
        <f>IF(C29=0,0,C13/C29)</f>
        <v>2041.7669936290667</v>
      </c>
      <c r="D47" s="744">
        <f>IF(D29=0,0,D13/D29)</f>
        <v>1807.2435643150736</v>
      </c>
      <c r="E47" s="744">
        <f>IF(E29=0,0,E13/E29)</f>
        <v>1730.8195228930463</v>
      </c>
    </row>
    <row r="48" spans="1:5" ht="26.1" customHeight="1" x14ac:dyDescent="0.25">
      <c r="A48" s="742">
        <v>6</v>
      </c>
      <c r="B48" s="743" t="s">
        <v>959</v>
      </c>
      <c r="C48" s="744">
        <f>IF(C30=0,0,C13/C30)</f>
        <v>8588.0174155104687</v>
      </c>
      <c r="D48" s="744">
        <f>IF(D30=0,0,D13/D30)</f>
        <v>7616.4209565067104</v>
      </c>
      <c r="E48" s="744">
        <f>IF(E30=0,0,E13/E30)</f>
        <v>7665.2950289761402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960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961</v>
      </c>
      <c r="C51" s="744">
        <f>IF(C19=0,0,C16/C19)</f>
        <v>5073.8103450521685</v>
      </c>
      <c r="D51" s="744">
        <f>IF(D19=0,0,D16/D19)</f>
        <v>5001.4868353054981</v>
      </c>
      <c r="E51" s="744">
        <f>IF(E19=0,0,E16/E19)</f>
        <v>5187.3830072908395</v>
      </c>
    </row>
    <row r="52" spans="1:6" ht="26.1" customHeight="1" x14ac:dyDescent="0.25">
      <c r="A52" s="742">
        <v>2</v>
      </c>
      <c r="B52" s="743" t="s">
        <v>962</v>
      </c>
      <c r="C52" s="744">
        <f>IF(C20=0,0,C16/C20)</f>
        <v>21341.304733727811</v>
      </c>
      <c r="D52" s="744">
        <f>IF(D20=0,0,D16/D20)</f>
        <v>21078.193276372367</v>
      </c>
      <c r="E52" s="744">
        <f>IF(E20=0,0,E16/E20)</f>
        <v>22973.406905370844</v>
      </c>
    </row>
    <row r="53" spans="1:6" ht="26.1" customHeight="1" x14ac:dyDescent="0.25">
      <c r="A53" s="742">
        <v>3</v>
      </c>
      <c r="B53" s="743" t="s">
        <v>963</v>
      </c>
      <c r="C53" s="744">
        <f>IF(C22=0,0,C16/C22)</f>
        <v>2425.5144908937218</v>
      </c>
      <c r="D53" s="744">
        <f>IF(D22=0,0,D16/D22)</f>
        <v>2321.7733033722361</v>
      </c>
      <c r="E53" s="744">
        <f>IF(E22=0,0,E16/E22)</f>
        <v>2250.4278749687542</v>
      </c>
    </row>
    <row r="54" spans="1:6" ht="26.1" customHeight="1" x14ac:dyDescent="0.25">
      <c r="A54" s="742">
        <v>4</v>
      </c>
      <c r="B54" s="743" t="s">
        <v>964</v>
      </c>
      <c r="C54" s="744">
        <f>IF(C23=0,0,C16/C23)</f>
        <v>10202.124314069795</v>
      </c>
      <c r="D54" s="744">
        <f>IF(D23=0,0,D16/D23)</f>
        <v>9784.8475951076416</v>
      </c>
      <c r="E54" s="744">
        <f>IF(E23=0,0,E16/E23)</f>
        <v>9966.4889232551614</v>
      </c>
    </row>
    <row r="55" spans="1:6" ht="26.1" customHeight="1" x14ac:dyDescent="0.25">
      <c r="A55" s="742">
        <v>5</v>
      </c>
      <c r="B55" s="743" t="s">
        <v>965</v>
      </c>
      <c r="C55" s="744">
        <f>IF(C29=0,0,C16/C29)</f>
        <v>2020.9747135584128</v>
      </c>
      <c r="D55" s="744">
        <f>IF(D29=0,0,D16/D29)</f>
        <v>1834.1632051704207</v>
      </c>
      <c r="E55" s="744">
        <f>IF(E29=0,0,E16/E29)</f>
        <v>1719.2976179369896</v>
      </c>
    </row>
    <row r="56" spans="1:6" ht="26.1" customHeight="1" x14ac:dyDescent="0.25">
      <c r="A56" s="742">
        <v>6</v>
      </c>
      <c r="B56" s="743" t="s">
        <v>966</v>
      </c>
      <c r="C56" s="744">
        <f>IF(C30=0,0,C16/C30)</f>
        <v>8500.5615677510887</v>
      </c>
      <c r="D56" s="744">
        <f>IF(D30=0,0,D16/D30)</f>
        <v>7729.8706988661497</v>
      </c>
      <c r="E56" s="744">
        <f>IF(E30=0,0,E16/E30)</f>
        <v>7614.2678712535526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967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968</v>
      </c>
      <c r="C59" s="752">
        <v>60308808</v>
      </c>
      <c r="D59" s="752">
        <v>59452944</v>
      </c>
      <c r="E59" s="752">
        <v>55467737</v>
      </c>
    </row>
    <row r="60" spans="1:6" ht="26.1" customHeight="1" x14ac:dyDescent="0.25">
      <c r="A60" s="742">
        <v>2</v>
      </c>
      <c r="B60" s="743" t="s">
        <v>969</v>
      </c>
      <c r="C60" s="752">
        <v>15653134</v>
      </c>
      <c r="D60" s="752">
        <v>18429333</v>
      </c>
      <c r="E60" s="752">
        <v>16863617</v>
      </c>
    </row>
    <row r="61" spans="1:6" ht="26.1" customHeight="1" x14ac:dyDescent="0.25">
      <c r="A61" s="753">
        <v>3</v>
      </c>
      <c r="B61" s="754" t="s">
        <v>970</v>
      </c>
      <c r="C61" s="755">
        <f>C59+C60</f>
        <v>75961942</v>
      </c>
      <c r="D61" s="755">
        <f>D59+D60</f>
        <v>77882277</v>
      </c>
      <c r="E61" s="755">
        <f>E59+E60</f>
        <v>72331354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971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972</v>
      </c>
      <c r="C64" s="744">
        <v>27064007</v>
      </c>
      <c r="D64" s="744">
        <v>28826455</v>
      </c>
      <c r="E64" s="752">
        <v>26775789</v>
      </c>
      <c r="F64" s="756"/>
    </row>
    <row r="65" spans="1:6" ht="26.1" customHeight="1" x14ac:dyDescent="0.25">
      <c r="A65" s="742">
        <v>2</v>
      </c>
      <c r="B65" s="743" t="s">
        <v>973</v>
      </c>
      <c r="C65" s="752">
        <v>7024455</v>
      </c>
      <c r="D65" s="752">
        <v>8638705</v>
      </c>
      <c r="E65" s="752">
        <v>8140528</v>
      </c>
      <c r="F65" s="756"/>
    </row>
    <row r="66" spans="1:6" ht="26.1" customHeight="1" x14ac:dyDescent="0.25">
      <c r="A66" s="753">
        <v>3</v>
      </c>
      <c r="B66" s="754" t="s">
        <v>974</v>
      </c>
      <c r="C66" s="757">
        <f>C64+C65</f>
        <v>34088462</v>
      </c>
      <c r="D66" s="757">
        <f>D64+D65</f>
        <v>37465160</v>
      </c>
      <c r="E66" s="757">
        <f>E64+E65</f>
        <v>34916317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975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976</v>
      </c>
      <c r="C69" s="752">
        <v>77920320</v>
      </c>
      <c r="D69" s="752">
        <v>80427441</v>
      </c>
      <c r="E69" s="752">
        <v>66172692</v>
      </c>
    </row>
    <row r="70" spans="1:6" ht="26.1" customHeight="1" x14ac:dyDescent="0.25">
      <c r="A70" s="742">
        <v>2</v>
      </c>
      <c r="B70" s="743" t="s">
        <v>977</v>
      </c>
      <c r="C70" s="752">
        <v>20224197</v>
      </c>
      <c r="D70" s="752">
        <v>24660487</v>
      </c>
      <c r="E70" s="752">
        <v>20118199</v>
      </c>
    </row>
    <row r="71" spans="1:6" ht="26.1" customHeight="1" x14ac:dyDescent="0.25">
      <c r="A71" s="753">
        <v>3</v>
      </c>
      <c r="B71" s="754" t="s">
        <v>978</v>
      </c>
      <c r="C71" s="755">
        <f>C69+C70</f>
        <v>98144517</v>
      </c>
      <c r="D71" s="755">
        <f>D69+D70</f>
        <v>105087928</v>
      </c>
      <c r="E71" s="755">
        <f>E69+E70</f>
        <v>86290891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979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980</v>
      </c>
      <c r="C75" s="744">
        <f t="shared" ref="C75:E76" si="0">+C59+C64+C69</f>
        <v>165293135</v>
      </c>
      <c r="D75" s="744">
        <f t="shared" si="0"/>
        <v>168706840</v>
      </c>
      <c r="E75" s="744">
        <f t="shared" si="0"/>
        <v>148416218</v>
      </c>
    </row>
    <row r="76" spans="1:6" ht="26.1" customHeight="1" x14ac:dyDescent="0.25">
      <c r="A76" s="742">
        <v>2</v>
      </c>
      <c r="B76" s="743" t="s">
        <v>981</v>
      </c>
      <c r="C76" s="744">
        <f t="shared" si="0"/>
        <v>42901786</v>
      </c>
      <c r="D76" s="744">
        <f t="shared" si="0"/>
        <v>51728525</v>
      </c>
      <c r="E76" s="744">
        <f t="shared" si="0"/>
        <v>45122344</v>
      </c>
    </row>
    <row r="77" spans="1:6" ht="26.1" customHeight="1" x14ac:dyDescent="0.25">
      <c r="A77" s="753">
        <v>3</v>
      </c>
      <c r="B77" s="754" t="s">
        <v>979</v>
      </c>
      <c r="C77" s="757">
        <f>C75+C76</f>
        <v>208194921</v>
      </c>
      <c r="D77" s="757">
        <f>D75+D76</f>
        <v>220435365</v>
      </c>
      <c r="E77" s="757">
        <f>E75+E76</f>
        <v>193538562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982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617.4</v>
      </c>
      <c r="D80" s="749">
        <v>638.29999999999995</v>
      </c>
      <c r="E80" s="749">
        <v>513.5</v>
      </c>
    </row>
    <row r="81" spans="1:5" ht="26.1" customHeight="1" x14ac:dyDescent="0.25">
      <c r="A81" s="742">
        <v>2</v>
      </c>
      <c r="B81" s="743" t="s">
        <v>617</v>
      </c>
      <c r="C81" s="749">
        <v>122.2</v>
      </c>
      <c r="D81" s="749">
        <v>126.4</v>
      </c>
      <c r="E81" s="749">
        <v>113.9</v>
      </c>
    </row>
    <row r="82" spans="1:5" ht="26.1" customHeight="1" x14ac:dyDescent="0.25">
      <c r="A82" s="742">
        <v>3</v>
      </c>
      <c r="B82" s="743" t="s">
        <v>983</v>
      </c>
      <c r="C82" s="749">
        <v>1559.9</v>
      </c>
      <c r="D82" s="749">
        <v>1508.2</v>
      </c>
      <c r="E82" s="749">
        <v>1374.3</v>
      </c>
    </row>
    <row r="83" spans="1:5" ht="26.1" customHeight="1" x14ac:dyDescent="0.25">
      <c r="A83" s="753">
        <v>4</v>
      </c>
      <c r="B83" s="754" t="s">
        <v>982</v>
      </c>
      <c r="C83" s="759">
        <f>C80+C81+C82</f>
        <v>2299.5</v>
      </c>
      <c r="D83" s="759">
        <f>D80+D81+D82</f>
        <v>2272.9</v>
      </c>
      <c r="E83" s="759">
        <f>E80+E81+E82</f>
        <v>2001.6999999999998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984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985</v>
      </c>
      <c r="C86" s="752">
        <f>IF(C80=0,0,C59/C80)</f>
        <v>97681.904761904763</v>
      </c>
      <c r="D86" s="752">
        <f>IF(D80=0,0,D59/D80)</f>
        <v>93142.63512454959</v>
      </c>
      <c r="E86" s="752">
        <f>IF(E80=0,0,E59/E80)</f>
        <v>108018.96202531646</v>
      </c>
    </row>
    <row r="87" spans="1:5" ht="26.1" customHeight="1" x14ac:dyDescent="0.25">
      <c r="A87" s="742">
        <v>2</v>
      </c>
      <c r="B87" s="743" t="s">
        <v>986</v>
      </c>
      <c r="C87" s="752">
        <f>IF(C80=0,0,C60/C80)</f>
        <v>25353.310657596372</v>
      </c>
      <c r="D87" s="752">
        <f>IF(D80=0,0,D60/D80)</f>
        <v>28872.525458248474</v>
      </c>
      <c r="E87" s="752">
        <f>IF(E80=0,0,E60/E80)</f>
        <v>32840.539435248298</v>
      </c>
    </row>
    <row r="88" spans="1:5" ht="26.1" customHeight="1" x14ac:dyDescent="0.25">
      <c r="A88" s="753">
        <v>3</v>
      </c>
      <c r="B88" s="754" t="s">
        <v>987</v>
      </c>
      <c r="C88" s="755">
        <f>+C86+C87</f>
        <v>123035.21541950114</v>
      </c>
      <c r="D88" s="755">
        <f>+D86+D87</f>
        <v>122015.16058279807</v>
      </c>
      <c r="E88" s="755">
        <f>+E86+E87</f>
        <v>140859.50146056476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988</v>
      </c>
    </row>
    <row r="91" spans="1:5" ht="26.1" customHeight="1" x14ac:dyDescent="0.25">
      <c r="A91" s="742">
        <v>1</v>
      </c>
      <c r="B91" s="743" t="s">
        <v>989</v>
      </c>
      <c r="C91" s="744">
        <f>IF(C81=0,0,C64/C81)</f>
        <v>221473.05237315875</v>
      </c>
      <c r="D91" s="744">
        <f>IF(D81=0,0,D64/D81)</f>
        <v>228057.39715189874</v>
      </c>
      <c r="E91" s="744">
        <f>IF(E81=0,0,E64/E81)</f>
        <v>235081.55399473221</v>
      </c>
    </row>
    <row r="92" spans="1:5" ht="26.1" customHeight="1" x14ac:dyDescent="0.25">
      <c r="A92" s="742">
        <v>2</v>
      </c>
      <c r="B92" s="743" t="s">
        <v>990</v>
      </c>
      <c r="C92" s="744">
        <f>IF(C81=0,0,C65/C81)</f>
        <v>57483.2651391162</v>
      </c>
      <c r="D92" s="744">
        <f>IF(D81=0,0,D65/D81)</f>
        <v>68344.185126582277</v>
      </c>
      <c r="E92" s="744">
        <f>IF(E81=0,0,E65/E81)</f>
        <v>71470.834064969269</v>
      </c>
    </row>
    <row r="93" spans="1:5" ht="26.1" customHeight="1" x14ac:dyDescent="0.25">
      <c r="A93" s="753">
        <v>3</v>
      </c>
      <c r="B93" s="754" t="s">
        <v>991</v>
      </c>
      <c r="C93" s="757">
        <f>+C91+C92</f>
        <v>278956.31751227495</v>
      </c>
      <c r="D93" s="757">
        <f>+D91+D92</f>
        <v>296401.58227848099</v>
      </c>
      <c r="E93" s="757">
        <f>+E91+E92</f>
        <v>306552.38805970148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992</v>
      </c>
      <c r="B95" s="745" t="s">
        <v>993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994</v>
      </c>
      <c r="C96" s="752">
        <f>IF(C82=0,0,C69/C82)</f>
        <v>49952.125136226678</v>
      </c>
      <c r="D96" s="752">
        <f>IF(D82=0,0,D69/D82)</f>
        <v>53326.774300490652</v>
      </c>
      <c r="E96" s="752">
        <f>IF(E82=0,0,E69/E82)</f>
        <v>48150.106963545077</v>
      </c>
    </row>
    <row r="97" spans="1:5" ht="26.1" customHeight="1" x14ac:dyDescent="0.25">
      <c r="A97" s="742">
        <v>2</v>
      </c>
      <c r="B97" s="743" t="s">
        <v>995</v>
      </c>
      <c r="C97" s="752">
        <f>IF(C82=0,0,C70/C82)</f>
        <v>12965.059939739725</v>
      </c>
      <c r="D97" s="752">
        <f>IF(D82=0,0,D70/D82)</f>
        <v>16350.939530566236</v>
      </c>
      <c r="E97" s="752">
        <f>IF(E82=0,0,E70/E82)</f>
        <v>14638.86997016663</v>
      </c>
    </row>
    <row r="98" spans="1:5" ht="26.1" customHeight="1" x14ac:dyDescent="0.25">
      <c r="A98" s="753">
        <v>3</v>
      </c>
      <c r="B98" s="754" t="s">
        <v>996</v>
      </c>
      <c r="C98" s="757">
        <f>+C96+C97</f>
        <v>62917.185075966401</v>
      </c>
      <c r="D98" s="757">
        <f>+D96+D97</f>
        <v>69677.713831056884</v>
      </c>
      <c r="E98" s="757">
        <f>+E96+E97</f>
        <v>62788.976933711703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997</v>
      </c>
      <c r="B100" s="745" t="s">
        <v>998</v>
      </c>
    </row>
    <row r="101" spans="1:5" ht="26.1" customHeight="1" x14ac:dyDescent="0.25">
      <c r="A101" s="742">
        <v>1</v>
      </c>
      <c r="B101" s="743" t="s">
        <v>999</v>
      </c>
      <c r="C101" s="744">
        <f>IF(C83=0,0,C75/C83)</f>
        <v>71882.207001522067</v>
      </c>
      <c r="D101" s="744">
        <f>IF(D83=0,0,D75/D83)</f>
        <v>74225.368471996131</v>
      </c>
      <c r="E101" s="744">
        <f>IF(E83=0,0,E75/E83)</f>
        <v>74145.085677174415</v>
      </c>
    </row>
    <row r="102" spans="1:5" ht="26.1" customHeight="1" x14ac:dyDescent="0.25">
      <c r="A102" s="742">
        <v>2</v>
      </c>
      <c r="B102" s="743" t="s">
        <v>1000</v>
      </c>
      <c r="C102" s="761">
        <f>IF(C83=0,0,C76/C83)</f>
        <v>18657.006305718634</v>
      </c>
      <c r="D102" s="761">
        <f>IF(D83=0,0,D76/D83)</f>
        <v>22758.82132957895</v>
      </c>
      <c r="E102" s="761">
        <f>IF(E83=0,0,E76/E83)</f>
        <v>22542.011290403159</v>
      </c>
    </row>
    <row r="103" spans="1:5" ht="26.1" customHeight="1" x14ac:dyDescent="0.25">
      <c r="A103" s="753">
        <v>3</v>
      </c>
      <c r="B103" s="754" t="s">
        <v>998</v>
      </c>
      <c r="C103" s="757">
        <f>+C101+C102</f>
        <v>90539.213307240701</v>
      </c>
      <c r="D103" s="757">
        <f>+D101+D102</f>
        <v>96984.189801575078</v>
      </c>
      <c r="E103" s="757">
        <f>+E101+E102</f>
        <v>96687.09696757757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1001</v>
      </c>
      <c r="B107" s="736" t="s">
        <v>1002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1003</v>
      </c>
      <c r="C108" s="744">
        <f>IF(C19=0,0,C77/C19)</f>
        <v>2711.8953901863983</v>
      </c>
      <c r="D108" s="744">
        <f>IF(D19=0,0,D77/D19)</f>
        <v>2920.9504154133597</v>
      </c>
      <c r="E108" s="744">
        <f>IF(E19=0,0,E77/E19)</f>
        <v>2794.1754421424962</v>
      </c>
    </row>
    <row r="109" spans="1:5" ht="26.1" customHeight="1" x14ac:dyDescent="0.25">
      <c r="A109" s="742">
        <v>2</v>
      </c>
      <c r="B109" s="743" t="s">
        <v>1004</v>
      </c>
      <c r="C109" s="744">
        <f>IF(C20=0,0,C77/C20)</f>
        <v>11406.690828402367</v>
      </c>
      <c r="D109" s="744">
        <f>IF(D20=0,0,D77/D20)</f>
        <v>12310.010889596248</v>
      </c>
      <c r="E109" s="744">
        <f>IF(E20=0,0,E77/E20)</f>
        <v>12374.588363171355</v>
      </c>
    </row>
    <row r="110" spans="1:5" ht="26.1" customHeight="1" x14ac:dyDescent="0.25">
      <c r="A110" s="742">
        <v>3</v>
      </c>
      <c r="B110" s="743" t="s">
        <v>1005</v>
      </c>
      <c r="C110" s="744">
        <f>IF(C22=0,0,C77/C22)</f>
        <v>1296.4106104398277</v>
      </c>
      <c r="D110" s="744">
        <f>IF(D22=0,0,D77/D22)</f>
        <v>1355.953723022554</v>
      </c>
      <c r="E110" s="744">
        <f>IF(E22=0,0,E77/E22)</f>
        <v>1212.1893243110715</v>
      </c>
    </row>
    <row r="111" spans="1:5" ht="26.1" customHeight="1" x14ac:dyDescent="0.25">
      <c r="A111" s="742">
        <v>4</v>
      </c>
      <c r="B111" s="743" t="s">
        <v>1006</v>
      </c>
      <c r="C111" s="744">
        <f>IF(C23=0,0,C77/C23)</f>
        <v>5452.922363252027</v>
      </c>
      <c r="D111" s="744">
        <f>IF(D23=0,0,D77/D23)</f>
        <v>5714.5116220105583</v>
      </c>
      <c r="E111" s="744">
        <f>IF(E23=0,0,E77/E23)</f>
        <v>5368.4330913303293</v>
      </c>
    </row>
    <row r="112" spans="1:5" ht="26.1" customHeight="1" x14ac:dyDescent="0.25">
      <c r="A112" s="742">
        <v>5</v>
      </c>
      <c r="B112" s="743" t="s">
        <v>1007</v>
      </c>
      <c r="C112" s="744">
        <f>IF(C29=0,0,C77/C29)</f>
        <v>1080.1885834631025</v>
      </c>
      <c r="D112" s="744">
        <f>IF(D29=0,0,D77/D29)</f>
        <v>1071.1814211445776</v>
      </c>
      <c r="E112" s="744">
        <f>IF(E29=0,0,E77/E29)</f>
        <v>926.09687293604588</v>
      </c>
    </row>
    <row r="113" spans="1:7" ht="25.5" customHeight="1" x14ac:dyDescent="0.25">
      <c r="A113" s="742">
        <v>6</v>
      </c>
      <c r="B113" s="743" t="s">
        <v>1008</v>
      </c>
      <c r="C113" s="744">
        <f>IF(C30=0,0,C77/C30)</f>
        <v>4543.4559358451579</v>
      </c>
      <c r="D113" s="744">
        <f>IF(D30=0,0,D77/D30)</f>
        <v>4514.3713804388135</v>
      </c>
      <c r="E113" s="744">
        <f>IF(E30=0,0,E77/E30)</f>
        <v>4101.4130373347325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FILING&amp;R&amp;"Arial,Bold"&amp;12THE HOSPITAL OF CENTRAL CONNECTICUT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894561269</v>
      </c>
      <c r="D12" s="76">
        <v>864609377</v>
      </c>
      <c r="E12" s="76">
        <f t="shared" ref="E12:E21" si="0">D12-C12</f>
        <v>-29951892</v>
      </c>
      <c r="F12" s="77">
        <f t="shared" ref="F12:F21" si="1">IF(C12=0,0,E12/C12)</f>
        <v>-3.348221417352689E-2</v>
      </c>
    </row>
    <row r="13" spans="1:8" ht="23.1" customHeight="1" x14ac:dyDescent="0.2">
      <c r="A13" s="74">
        <v>2</v>
      </c>
      <c r="B13" s="75" t="s">
        <v>72</v>
      </c>
      <c r="C13" s="76">
        <v>496600768</v>
      </c>
      <c r="D13" s="76">
        <v>480182282</v>
      </c>
      <c r="E13" s="76">
        <f t="shared" si="0"/>
        <v>-16418486</v>
      </c>
      <c r="F13" s="77">
        <f t="shared" si="1"/>
        <v>-3.306174105634891E-2</v>
      </c>
    </row>
    <row r="14" spans="1:8" ht="23.1" customHeight="1" x14ac:dyDescent="0.2">
      <c r="A14" s="74">
        <v>3</v>
      </c>
      <c r="B14" s="75" t="s">
        <v>73</v>
      </c>
      <c r="C14" s="76">
        <v>16310702</v>
      </c>
      <c r="D14" s="76">
        <v>17256889</v>
      </c>
      <c r="E14" s="76">
        <f t="shared" si="0"/>
        <v>946187</v>
      </c>
      <c r="F14" s="77">
        <f t="shared" si="1"/>
        <v>5.8010194778863593E-2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381649799</v>
      </c>
      <c r="D16" s="79">
        <f>D12-D13-D14-D15</f>
        <v>367170206</v>
      </c>
      <c r="E16" s="79">
        <f t="shared" si="0"/>
        <v>-14479593</v>
      </c>
      <c r="F16" s="80">
        <f t="shared" si="1"/>
        <v>-3.7939474979259716E-2</v>
      </c>
    </row>
    <row r="17" spans="1:7" ht="23.1" customHeight="1" x14ac:dyDescent="0.2">
      <c r="A17" s="74">
        <v>5</v>
      </c>
      <c r="B17" s="75" t="s">
        <v>76</v>
      </c>
      <c r="C17" s="76">
        <v>9742308</v>
      </c>
      <c r="D17" s="76">
        <v>5458239</v>
      </c>
      <c r="E17" s="76">
        <f t="shared" si="0"/>
        <v>-4284069</v>
      </c>
      <c r="F17" s="77">
        <f t="shared" si="1"/>
        <v>-0.43973861224670785</v>
      </c>
      <c r="G17" s="65"/>
    </row>
    <row r="18" spans="1:7" ht="31.5" customHeight="1" x14ac:dyDescent="0.25">
      <c r="A18" s="71"/>
      <c r="B18" s="81" t="s">
        <v>77</v>
      </c>
      <c r="C18" s="79">
        <f>C16-C17</f>
        <v>371907491</v>
      </c>
      <c r="D18" s="79">
        <f>D16-D17</f>
        <v>361711967</v>
      </c>
      <c r="E18" s="79">
        <f t="shared" si="0"/>
        <v>-10195524</v>
      </c>
      <c r="F18" s="80">
        <f t="shared" si="1"/>
        <v>-2.7414139931911188E-2</v>
      </c>
    </row>
    <row r="19" spans="1:7" ht="23.1" customHeight="1" x14ac:dyDescent="0.2">
      <c r="A19" s="74">
        <v>6</v>
      </c>
      <c r="B19" s="75" t="s">
        <v>78</v>
      </c>
      <c r="C19" s="76">
        <v>17233898</v>
      </c>
      <c r="D19" s="76">
        <v>11024317</v>
      </c>
      <c r="E19" s="76">
        <f t="shared" si="0"/>
        <v>-6209581</v>
      </c>
      <c r="F19" s="77">
        <f t="shared" si="1"/>
        <v>-0.36031204316052001</v>
      </c>
      <c r="G19" s="65"/>
    </row>
    <row r="20" spans="1:7" ht="33" customHeight="1" x14ac:dyDescent="0.2">
      <c r="A20" s="74">
        <v>7</v>
      </c>
      <c r="B20" s="82" t="s">
        <v>79</v>
      </c>
      <c r="C20" s="76">
        <v>1885094</v>
      </c>
      <c r="D20" s="76">
        <v>1351596</v>
      </c>
      <c r="E20" s="76">
        <f t="shared" si="0"/>
        <v>-533498</v>
      </c>
      <c r="F20" s="77">
        <f t="shared" si="1"/>
        <v>-0.2830086987704592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391026483</v>
      </c>
      <c r="D21" s="79">
        <f>SUM(D18:D20)</f>
        <v>374087880</v>
      </c>
      <c r="E21" s="79">
        <f t="shared" si="0"/>
        <v>-16938603</v>
      </c>
      <c r="F21" s="80">
        <f t="shared" si="1"/>
        <v>-4.3318301282422346E-2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168706840</v>
      </c>
      <c r="D24" s="76">
        <v>148416218</v>
      </c>
      <c r="E24" s="76">
        <f t="shared" ref="E24:E33" si="2">D24-C24</f>
        <v>-20290622</v>
      </c>
      <c r="F24" s="77">
        <f t="shared" ref="F24:F33" si="3">IF(C24=0,0,E24/C24)</f>
        <v>-0.12027148395405901</v>
      </c>
    </row>
    <row r="25" spans="1:7" ht="23.1" customHeight="1" x14ac:dyDescent="0.2">
      <c r="A25" s="74">
        <v>2</v>
      </c>
      <c r="B25" s="75" t="s">
        <v>83</v>
      </c>
      <c r="C25" s="76">
        <v>51728525</v>
      </c>
      <c r="D25" s="76">
        <v>45122344</v>
      </c>
      <c r="E25" s="76">
        <f t="shared" si="2"/>
        <v>-6606181</v>
      </c>
      <c r="F25" s="77">
        <f t="shared" si="3"/>
        <v>-0.12770866750985072</v>
      </c>
    </row>
    <row r="26" spans="1:7" ht="23.1" customHeight="1" x14ac:dyDescent="0.2">
      <c r="A26" s="74">
        <v>3</v>
      </c>
      <c r="B26" s="75" t="s">
        <v>84</v>
      </c>
      <c r="C26" s="76">
        <v>10145410</v>
      </c>
      <c r="D26" s="76">
        <v>9980614</v>
      </c>
      <c r="E26" s="76">
        <f t="shared" si="2"/>
        <v>-164796</v>
      </c>
      <c r="F26" s="77">
        <f t="shared" si="3"/>
        <v>-1.6243404652941575E-2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54189600</v>
      </c>
      <c r="D27" s="76">
        <v>49864651</v>
      </c>
      <c r="E27" s="76">
        <f t="shared" si="2"/>
        <v>-4324949</v>
      </c>
      <c r="F27" s="77">
        <f t="shared" si="3"/>
        <v>-7.9811421379748143E-2</v>
      </c>
    </row>
    <row r="28" spans="1:7" ht="23.1" customHeight="1" x14ac:dyDescent="0.2">
      <c r="A28" s="74">
        <v>5</v>
      </c>
      <c r="B28" s="75" t="s">
        <v>86</v>
      </c>
      <c r="C28" s="76">
        <v>19479333</v>
      </c>
      <c r="D28" s="76">
        <v>18225335</v>
      </c>
      <c r="E28" s="76">
        <f t="shared" si="2"/>
        <v>-1253998</v>
      </c>
      <c r="F28" s="77">
        <f t="shared" si="3"/>
        <v>-6.437581820691704E-2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1563598</v>
      </c>
      <c r="D30" s="76">
        <v>1418199</v>
      </c>
      <c r="E30" s="76">
        <f t="shared" si="2"/>
        <v>-145399</v>
      </c>
      <c r="F30" s="77">
        <f t="shared" si="3"/>
        <v>-9.2990014057321643E-2</v>
      </c>
    </row>
    <row r="31" spans="1:7" ht="23.1" customHeight="1" x14ac:dyDescent="0.2">
      <c r="A31" s="74">
        <v>8</v>
      </c>
      <c r="B31" s="75" t="s">
        <v>89</v>
      </c>
      <c r="C31" s="76">
        <v>2558127</v>
      </c>
      <c r="D31" s="76">
        <v>3957824</v>
      </c>
      <c r="E31" s="76">
        <f t="shared" si="2"/>
        <v>1399697</v>
      </c>
      <c r="F31" s="77">
        <f t="shared" si="3"/>
        <v>0.54715696288729998</v>
      </c>
    </row>
    <row r="32" spans="1:7" ht="23.1" customHeight="1" x14ac:dyDescent="0.2">
      <c r="A32" s="74">
        <v>9</v>
      </c>
      <c r="B32" s="75" t="s">
        <v>90</v>
      </c>
      <c r="C32" s="76">
        <v>69075774</v>
      </c>
      <c r="D32" s="76">
        <v>82318899</v>
      </c>
      <c r="E32" s="76">
        <f t="shared" si="2"/>
        <v>13243125</v>
      </c>
      <c r="F32" s="77">
        <f t="shared" si="3"/>
        <v>0.19171880723334347</v>
      </c>
    </row>
    <row r="33" spans="1:6" ht="23.1" customHeight="1" x14ac:dyDescent="0.25">
      <c r="A33" s="71"/>
      <c r="B33" s="78" t="s">
        <v>91</v>
      </c>
      <c r="C33" s="79">
        <f>SUM(C24:C32)</f>
        <v>377447207</v>
      </c>
      <c r="D33" s="79">
        <f>SUM(D24:D32)</f>
        <v>359304084</v>
      </c>
      <c r="E33" s="79">
        <f t="shared" si="2"/>
        <v>-18143123</v>
      </c>
      <c r="F33" s="80">
        <f t="shared" si="3"/>
        <v>-4.8067975238719939E-2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13579276</v>
      </c>
      <c r="D35" s="79">
        <f>+D21-D33</f>
        <v>14783796</v>
      </c>
      <c r="E35" s="79">
        <f>D35-C35</f>
        <v>1204520</v>
      </c>
      <c r="F35" s="80">
        <f>IF(C35=0,0,E35/C35)</f>
        <v>8.8702814494675569E-2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5631250</v>
      </c>
      <c r="D38" s="76">
        <v>982345</v>
      </c>
      <c r="E38" s="76">
        <f>D38-C38</f>
        <v>-4648905</v>
      </c>
      <c r="F38" s="77">
        <f>IF(C38=0,0,E38/C38)</f>
        <v>-0.82555471698113203</v>
      </c>
    </row>
    <row r="39" spans="1:6" ht="23.1" customHeight="1" x14ac:dyDescent="0.2">
      <c r="A39" s="85">
        <v>2</v>
      </c>
      <c r="B39" s="75" t="s">
        <v>95</v>
      </c>
      <c r="C39" s="76">
        <v>41607</v>
      </c>
      <c r="D39" s="76">
        <v>110809</v>
      </c>
      <c r="E39" s="76">
        <f>D39-C39</f>
        <v>69202</v>
      </c>
      <c r="F39" s="77">
        <f>IF(C39=0,0,E39/C39)</f>
        <v>1.6632297449948326</v>
      </c>
    </row>
    <row r="40" spans="1:6" ht="23.1" customHeight="1" x14ac:dyDescent="0.2">
      <c r="A40" s="85">
        <v>3</v>
      </c>
      <c r="B40" s="75" t="s">
        <v>96</v>
      </c>
      <c r="C40" s="76">
        <v>5965625</v>
      </c>
      <c r="D40" s="76">
        <v>8468950</v>
      </c>
      <c r="E40" s="76">
        <f>D40-C40</f>
        <v>2503325</v>
      </c>
      <c r="F40" s="77">
        <f>IF(C40=0,0,E40/C40)</f>
        <v>0.41962493452069144</v>
      </c>
    </row>
    <row r="41" spans="1:6" ht="23.1" customHeight="1" x14ac:dyDescent="0.25">
      <c r="A41" s="83"/>
      <c r="B41" s="78" t="s">
        <v>97</v>
      </c>
      <c r="C41" s="79">
        <f>SUM(C38:C40)</f>
        <v>11638482</v>
      </c>
      <c r="D41" s="79">
        <f>SUM(D38:D40)</f>
        <v>9562104</v>
      </c>
      <c r="E41" s="79">
        <f>D41-C41</f>
        <v>-2076378</v>
      </c>
      <c r="F41" s="80">
        <f>IF(C41=0,0,E41/C41)</f>
        <v>-0.17840625607360136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25217758</v>
      </c>
      <c r="D43" s="79">
        <f>D35+D41</f>
        <v>24345900</v>
      </c>
      <c r="E43" s="79">
        <f>D43-C43</f>
        <v>-871858</v>
      </c>
      <c r="F43" s="80">
        <f>IF(C43=0,0,E43/C43)</f>
        <v>-3.4573176568670379E-2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25217758</v>
      </c>
      <c r="D50" s="79">
        <f>D43+D48</f>
        <v>24345900</v>
      </c>
      <c r="E50" s="79">
        <f>D50-C50</f>
        <v>-871858</v>
      </c>
      <c r="F50" s="80">
        <f>IF(C50=0,0,E50/C50)</f>
        <v>-3.4573176568670379E-2</v>
      </c>
    </row>
    <row r="51" spans="1:6" ht="23.1" customHeight="1" x14ac:dyDescent="0.2">
      <c r="A51" s="85"/>
      <c r="B51" s="75" t="s">
        <v>104</v>
      </c>
      <c r="C51" s="76">
        <v>2165699</v>
      </c>
      <c r="D51" s="76">
        <v>2329243</v>
      </c>
      <c r="E51" s="76">
        <f>D51-C51</f>
        <v>163544</v>
      </c>
      <c r="F51" s="77">
        <f>IF(C51=0,0,E51/C51)</f>
        <v>7.5515572570334102E-2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fitToHeight="0" orientation="portrait" horizontalDpi="1200" verticalDpi="1200" r:id="rId1"/>
  <headerFooter>
    <oddHeader>&amp;LOFFICE OF HEALTH CARE ACCESS&amp;CTWELVE MONTHS ACTUAL FILING&amp;RTHE HOSPITAL OF CENTRAL CONNECTICUT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B55" sqref="B55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180322380</v>
      </c>
      <c r="D14" s="113">
        <v>154548354</v>
      </c>
      <c r="E14" s="113">
        <f t="shared" ref="E14:E25" si="0">D14-C14</f>
        <v>-25774026</v>
      </c>
      <c r="F14" s="114">
        <f t="shared" ref="F14:F25" si="1">IF(C14=0,0,E14/C14)</f>
        <v>-0.14293304025823084</v>
      </c>
    </row>
    <row r="15" spans="1:6" x14ac:dyDescent="0.2">
      <c r="A15" s="115">
        <v>2</v>
      </c>
      <c r="B15" s="116" t="s">
        <v>114</v>
      </c>
      <c r="C15" s="113">
        <v>61289942</v>
      </c>
      <c r="D15" s="113">
        <v>57115407</v>
      </c>
      <c r="E15" s="113">
        <f t="shared" si="0"/>
        <v>-4174535</v>
      </c>
      <c r="F15" s="114">
        <f t="shared" si="1"/>
        <v>-6.8111257145585163E-2</v>
      </c>
    </row>
    <row r="16" spans="1:6" x14ac:dyDescent="0.2">
      <c r="A16" s="115">
        <v>3</v>
      </c>
      <c r="B16" s="116" t="s">
        <v>115</v>
      </c>
      <c r="C16" s="113">
        <v>79113082</v>
      </c>
      <c r="D16" s="113">
        <v>74498682</v>
      </c>
      <c r="E16" s="113">
        <f t="shared" si="0"/>
        <v>-4614400</v>
      </c>
      <c r="F16" s="114">
        <f t="shared" si="1"/>
        <v>-5.8326636800725321E-2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298280</v>
      </c>
      <c r="D18" s="113">
        <v>252546</v>
      </c>
      <c r="E18" s="113">
        <f t="shared" si="0"/>
        <v>-45734</v>
      </c>
      <c r="F18" s="114">
        <f t="shared" si="1"/>
        <v>-0.1533257342094676</v>
      </c>
    </row>
    <row r="19" spans="1:6" x14ac:dyDescent="0.2">
      <c r="A19" s="115">
        <v>6</v>
      </c>
      <c r="B19" s="116" t="s">
        <v>118</v>
      </c>
      <c r="C19" s="113">
        <v>2014169</v>
      </c>
      <c r="D19" s="113">
        <v>4130602</v>
      </c>
      <c r="E19" s="113">
        <f t="shared" si="0"/>
        <v>2116433</v>
      </c>
      <c r="F19" s="114">
        <f t="shared" si="1"/>
        <v>1.0507723036150391</v>
      </c>
    </row>
    <row r="20" spans="1:6" x14ac:dyDescent="0.2">
      <c r="A20" s="115">
        <v>7</v>
      </c>
      <c r="B20" s="116" t="s">
        <v>119</v>
      </c>
      <c r="C20" s="113">
        <v>81271666</v>
      </c>
      <c r="D20" s="113">
        <v>73428730</v>
      </c>
      <c r="E20" s="113">
        <f t="shared" si="0"/>
        <v>-7842936</v>
      </c>
      <c r="F20" s="114">
        <f t="shared" si="1"/>
        <v>-9.6502709812790105E-2</v>
      </c>
    </row>
    <row r="21" spans="1:6" x14ac:dyDescent="0.2">
      <c r="A21" s="115">
        <v>8</v>
      </c>
      <c r="B21" s="116" t="s">
        <v>120</v>
      </c>
      <c r="C21" s="113">
        <v>1524218</v>
      </c>
      <c r="D21" s="113">
        <v>1899452</v>
      </c>
      <c r="E21" s="113">
        <f t="shared" si="0"/>
        <v>375234</v>
      </c>
      <c r="F21" s="114">
        <f t="shared" si="1"/>
        <v>0.24618132051976818</v>
      </c>
    </row>
    <row r="22" spans="1:6" x14ac:dyDescent="0.2">
      <c r="A22" s="115">
        <v>9</v>
      </c>
      <c r="B22" s="116" t="s">
        <v>121</v>
      </c>
      <c r="C22" s="113">
        <v>4494481</v>
      </c>
      <c r="D22" s="113">
        <v>4801848</v>
      </c>
      <c r="E22" s="113">
        <f t="shared" si="0"/>
        <v>307367</v>
      </c>
      <c r="F22" s="114">
        <f t="shared" si="1"/>
        <v>6.8387651432946311E-2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410328218</v>
      </c>
      <c r="D25" s="119">
        <f>SUM(D14:D24)</f>
        <v>370675621</v>
      </c>
      <c r="E25" s="119">
        <f t="shared" si="0"/>
        <v>-39652597</v>
      </c>
      <c r="F25" s="120">
        <f t="shared" si="1"/>
        <v>-9.6636290804645558E-2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113644277</v>
      </c>
      <c r="D27" s="113">
        <v>116861279</v>
      </c>
      <c r="E27" s="113">
        <f t="shared" ref="E27:E38" si="2">D27-C27</f>
        <v>3217002</v>
      </c>
      <c r="F27" s="114">
        <f t="shared" ref="F27:F38" si="3">IF(C27=0,0,E27/C27)</f>
        <v>2.8307646323448385E-2</v>
      </c>
    </row>
    <row r="28" spans="1:6" x14ac:dyDescent="0.2">
      <c r="A28" s="115">
        <v>2</v>
      </c>
      <c r="B28" s="116" t="s">
        <v>114</v>
      </c>
      <c r="C28" s="113">
        <v>46387397</v>
      </c>
      <c r="D28" s="113">
        <v>49137478</v>
      </c>
      <c r="E28" s="113">
        <f t="shared" si="2"/>
        <v>2750081</v>
      </c>
      <c r="F28" s="114">
        <f t="shared" si="3"/>
        <v>5.9285089870423212E-2</v>
      </c>
    </row>
    <row r="29" spans="1:6" x14ac:dyDescent="0.2">
      <c r="A29" s="115">
        <v>3</v>
      </c>
      <c r="B29" s="116" t="s">
        <v>115</v>
      </c>
      <c r="C29" s="113">
        <v>126611722</v>
      </c>
      <c r="D29" s="113">
        <v>133710380</v>
      </c>
      <c r="E29" s="113">
        <f t="shared" si="2"/>
        <v>7098658</v>
      </c>
      <c r="F29" s="114">
        <f t="shared" si="3"/>
        <v>5.6066356952320734E-2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836904</v>
      </c>
      <c r="D31" s="113">
        <v>699200</v>
      </c>
      <c r="E31" s="113">
        <f t="shared" si="2"/>
        <v>-137704</v>
      </c>
      <c r="F31" s="114">
        <f t="shared" si="3"/>
        <v>-0.16453977995086652</v>
      </c>
    </row>
    <row r="32" spans="1:6" x14ac:dyDescent="0.2">
      <c r="A32" s="115">
        <v>6</v>
      </c>
      <c r="B32" s="116" t="s">
        <v>118</v>
      </c>
      <c r="C32" s="113">
        <v>3762889</v>
      </c>
      <c r="D32" s="113">
        <v>4801423</v>
      </c>
      <c r="E32" s="113">
        <f t="shared" si="2"/>
        <v>1038534</v>
      </c>
      <c r="F32" s="114">
        <f t="shared" si="3"/>
        <v>0.27599379094094989</v>
      </c>
    </row>
    <row r="33" spans="1:6" x14ac:dyDescent="0.2">
      <c r="A33" s="115">
        <v>7</v>
      </c>
      <c r="B33" s="116" t="s">
        <v>119</v>
      </c>
      <c r="C33" s="113">
        <v>162332330</v>
      </c>
      <c r="D33" s="113">
        <v>160777895</v>
      </c>
      <c r="E33" s="113">
        <f t="shared" si="2"/>
        <v>-1554435</v>
      </c>
      <c r="F33" s="114">
        <f t="shared" si="3"/>
        <v>-9.5756341327694859E-3</v>
      </c>
    </row>
    <row r="34" spans="1:6" x14ac:dyDescent="0.2">
      <c r="A34" s="115">
        <v>8</v>
      </c>
      <c r="B34" s="116" t="s">
        <v>120</v>
      </c>
      <c r="C34" s="113">
        <v>4725373</v>
      </c>
      <c r="D34" s="113">
        <v>5759910</v>
      </c>
      <c r="E34" s="113">
        <f t="shared" si="2"/>
        <v>1034537</v>
      </c>
      <c r="F34" s="114">
        <f t="shared" si="3"/>
        <v>0.2189323467163333</v>
      </c>
    </row>
    <row r="35" spans="1:6" x14ac:dyDescent="0.2">
      <c r="A35" s="115">
        <v>9</v>
      </c>
      <c r="B35" s="116" t="s">
        <v>121</v>
      </c>
      <c r="C35" s="113">
        <v>15286291</v>
      </c>
      <c r="D35" s="113">
        <v>12008293</v>
      </c>
      <c r="E35" s="113">
        <f t="shared" si="2"/>
        <v>-3277998</v>
      </c>
      <c r="F35" s="114">
        <f t="shared" si="3"/>
        <v>-0.2144403766747604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473587183</v>
      </c>
      <c r="D38" s="119">
        <f>SUM(D27:D37)</f>
        <v>483755858</v>
      </c>
      <c r="E38" s="119">
        <f t="shared" si="2"/>
        <v>10168675</v>
      </c>
      <c r="F38" s="120">
        <f t="shared" si="3"/>
        <v>2.1471600932240601E-2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293966657</v>
      </c>
      <c r="D41" s="119">
        <f t="shared" si="4"/>
        <v>271409633</v>
      </c>
      <c r="E41" s="123">
        <f t="shared" ref="E41:E52" si="5">D41-C41</f>
        <v>-22557024</v>
      </c>
      <c r="F41" s="124">
        <f t="shared" ref="F41:F52" si="6">IF(C41=0,0,E41/C41)</f>
        <v>-7.6733273869219798E-2</v>
      </c>
    </row>
    <row r="42" spans="1:6" ht="15.75" x14ac:dyDescent="0.25">
      <c r="A42" s="121">
        <v>2</v>
      </c>
      <c r="B42" s="122" t="s">
        <v>114</v>
      </c>
      <c r="C42" s="119">
        <f t="shared" si="4"/>
        <v>107677339</v>
      </c>
      <c r="D42" s="119">
        <f t="shared" si="4"/>
        <v>106252885</v>
      </c>
      <c r="E42" s="123">
        <f t="shared" si="5"/>
        <v>-1424454</v>
      </c>
      <c r="F42" s="124">
        <f t="shared" si="6"/>
        <v>-1.3228911609712049E-2</v>
      </c>
    </row>
    <row r="43" spans="1:6" ht="15.75" x14ac:dyDescent="0.25">
      <c r="A43" s="121">
        <v>3</v>
      </c>
      <c r="B43" s="122" t="s">
        <v>115</v>
      </c>
      <c r="C43" s="119">
        <f t="shared" si="4"/>
        <v>205724804</v>
      </c>
      <c r="D43" s="119">
        <f t="shared" si="4"/>
        <v>208209062</v>
      </c>
      <c r="E43" s="123">
        <f t="shared" si="5"/>
        <v>2484258</v>
      </c>
      <c r="F43" s="124">
        <f t="shared" si="6"/>
        <v>1.2075636732651839E-2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1135184</v>
      </c>
      <c r="D45" s="119">
        <f t="shared" si="4"/>
        <v>951746</v>
      </c>
      <c r="E45" s="123">
        <f t="shared" si="5"/>
        <v>-183438</v>
      </c>
      <c r="F45" s="124">
        <f t="shared" si="6"/>
        <v>-0.16159318665520303</v>
      </c>
    </row>
    <row r="46" spans="1:6" ht="15.75" x14ac:dyDescent="0.25">
      <c r="A46" s="121">
        <v>6</v>
      </c>
      <c r="B46" s="122" t="s">
        <v>118</v>
      </c>
      <c r="C46" s="119">
        <f t="shared" si="4"/>
        <v>5777058</v>
      </c>
      <c r="D46" s="119">
        <f t="shared" si="4"/>
        <v>8932025</v>
      </c>
      <c r="E46" s="123">
        <f t="shared" si="5"/>
        <v>3154967</v>
      </c>
      <c r="F46" s="124">
        <f t="shared" si="6"/>
        <v>0.54612001472029537</v>
      </c>
    </row>
    <row r="47" spans="1:6" ht="15.75" x14ac:dyDescent="0.25">
      <c r="A47" s="121">
        <v>7</v>
      </c>
      <c r="B47" s="122" t="s">
        <v>119</v>
      </c>
      <c r="C47" s="119">
        <f t="shared" si="4"/>
        <v>243603996</v>
      </c>
      <c r="D47" s="119">
        <f t="shared" si="4"/>
        <v>234206625</v>
      </c>
      <c r="E47" s="123">
        <f t="shared" si="5"/>
        <v>-9397371</v>
      </c>
      <c r="F47" s="124">
        <f t="shared" si="6"/>
        <v>-3.8576423844869936E-2</v>
      </c>
    </row>
    <row r="48" spans="1:6" ht="15.75" x14ac:dyDescent="0.25">
      <c r="A48" s="121">
        <v>8</v>
      </c>
      <c r="B48" s="122" t="s">
        <v>120</v>
      </c>
      <c r="C48" s="119">
        <f t="shared" si="4"/>
        <v>6249591</v>
      </c>
      <c r="D48" s="119">
        <f t="shared" si="4"/>
        <v>7659362</v>
      </c>
      <c r="E48" s="123">
        <f t="shared" si="5"/>
        <v>1409771</v>
      </c>
      <c r="F48" s="124">
        <f t="shared" si="6"/>
        <v>0.2255781218322927</v>
      </c>
    </row>
    <row r="49" spans="1:6" ht="15.75" x14ac:dyDescent="0.25">
      <c r="A49" s="121">
        <v>9</v>
      </c>
      <c r="B49" s="122" t="s">
        <v>121</v>
      </c>
      <c r="C49" s="119">
        <f t="shared" si="4"/>
        <v>19780772</v>
      </c>
      <c r="D49" s="119">
        <f t="shared" si="4"/>
        <v>16810141</v>
      </c>
      <c r="E49" s="123">
        <f t="shared" si="5"/>
        <v>-2970631</v>
      </c>
      <c r="F49" s="124">
        <f t="shared" si="6"/>
        <v>-0.15017770792767846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883915401</v>
      </c>
      <c r="D52" s="128">
        <f>SUM(D41:D51)</f>
        <v>854431479</v>
      </c>
      <c r="E52" s="127">
        <f t="shared" si="5"/>
        <v>-29483922</v>
      </c>
      <c r="F52" s="129">
        <f t="shared" si="6"/>
        <v>-3.3356045122241287E-2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81300135</v>
      </c>
      <c r="D57" s="113">
        <v>73121161</v>
      </c>
      <c r="E57" s="113">
        <f t="shared" ref="E57:E68" si="7">D57-C57</f>
        <v>-8178974</v>
      </c>
      <c r="F57" s="114">
        <f t="shared" ref="F57:F68" si="8">IF(C57=0,0,E57/C57)</f>
        <v>-0.10060221917220678</v>
      </c>
    </row>
    <row r="58" spans="1:6" x14ac:dyDescent="0.2">
      <c r="A58" s="115">
        <v>2</v>
      </c>
      <c r="B58" s="116" t="s">
        <v>114</v>
      </c>
      <c r="C58" s="113">
        <v>23954155</v>
      </c>
      <c r="D58" s="113">
        <v>23484258</v>
      </c>
      <c r="E58" s="113">
        <f t="shared" si="7"/>
        <v>-469897</v>
      </c>
      <c r="F58" s="114">
        <f t="shared" si="8"/>
        <v>-1.9616513293831489E-2</v>
      </c>
    </row>
    <row r="59" spans="1:6" x14ac:dyDescent="0.2">
      <c r="A59" s="115">
        <v>3</v>
      </c>
      <c r="B59" s="116" t="s">
        <v>115</v>
      </c>
      <c r="C59" s="113">
        <v>23621637</v>
      </c>
      <c r="D59" s="113">
        <v>25614674</v>
      </c>
      <c r="E59" s="113">
        <f t="shared" si="7"/>
        <v>1993037</v>
      </c>
      <c r="F59" s="114">
        <f t="shared" si="8"/>
        <v>8.4373364978896262E-2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134575</v>
      </c>
      <c r="D61" s="113">
        <v>114113</v>
      </c>
      <c r="E61" s="113">
        <f t="shared" si="7"/>
        <v>-20462</v>
      </c>
      <c r="F61" s="114">
        <f t="shared" si="8"/>
        <v>-0.1520490432844139</v>
      </c>
    </row>
    <row r="62" spans="1:6" x14ac:dyDescent="0.2">
      <c r="A62" s="115">
        <v>6</v>
      </c>
      <c r="B62" s="116" t="s">
        <v>118</v>
      </c>
      <c r="C62" s="113">
        <v>559137</v>
      </c>
      <c r="D62" s="113">
        <v>1002616</v>
      </c>
      <c r="E62" s="113">
        <f t="shared" si="7"/>
        <v>443479</v>
      </c>
      <c r="F62" s="114">
        <f t="shared" si="8"/>
        <v>0.79314908510794313</v>
      </c>
    </row>
    <row r="63" spans="1:6" x14ac:dyDescent="0.2">
      <c r="A63" s="115">
        <v>7</v>
      </c>
      <c r="B63" s="116" t="s">
        <v>119</v>
      </c>
      <c r="C63" s="113">
        <v>55920356</v>
      </c>
      <c r="D63" s="113">
        <v>50896566</v>
      </c>
      <c r="E63" s="113">
        <f t="shared" si="7"/>
        <v>-5023790</v>
      </c>
      <c r="F63" s="114">
        <f t="shared" si="8"/>
        <v>-8.9838305035111005E-2</v>
      </c>
    </row>
    <row r="64" spans="1:6" x14ac:dyDescent="0.2">
      <c r="A64" s="115">
        <v>8</v>
      </c>
      <c r="B64" s="116" t="s">
        <v>120</v>
      </c>
      <c r="C64" s="113">
        <v>1524218</v>
      </c>
      <c r="D64" s="113">
        <v>1899452</v>
      </c>
      <c r="E64" s="113">
        <f t="shared" si="7"/>
        <v>375234</v>
      </c>
      <c r="F64" s="114">
        <f t="shared" si="8"/>
        <v>0.24618132051976818</v>
      </c>
    </row>
    <row r="65" spans="1:6" x14ac:dyDescent="0.2">
      <c r="A65" s="115">
        <v>9</v>
      </c>
      <c r="B65" s="116" t="s">
        <v>121</v>
      </c>
      <c r="C65" s="113">
        <v>1006871</v>
      </c>
      <c r="D65" s="113">
        <v>635432</v>
      </c>
      <c r="E65" s="113">
        <f t="shared" si="7"/>
        <v>-371439</v>
      </c>
      <c r="F65" s="114">
        <f t="shared" si="8"/>
        <v>-0.36890425883752737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188021084</v>
      </c>
      <c r="D68" s="119">
        <f>SUM(D57:D67)</f>
        <v>176768272</v>
      </c>
      <c r="E68" s="119">
        <f t="shared" si="7"/>
        <v>-11252812</v>
      </c>
      <c r="F68" s="120">
        <f t="shared" si="8"/>
        <v>-5.9848671013937989E-2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25213148</v>
      </c>
      <c r="D70" s="113">
        <v>27932998</v>
      </c>
      <c r="E70" s="113">
        <f t="shared" ref="E70:E81" si="9">D70-C70</f>
        <v>2719850</v>
      </c>
      <c r="F70" s="114">
        <f t="shared" ref="F70:F81" si="10">IF(C70=0,0,E70/C70)</f>
        <v>0.10787427258190846</v>
      </c>
    </row>
    <row r="71" spans="1:6" x14ac:dyDescent="0.2">
      <c r="A71" s="115">
        <v>2</v>
      </c>
      <c r="B71" s="116" t="s">
        <v>114</v>
      </c>
      <c r="C71" s="113">
        <v>10225786</v>
      </c>
      <c r="D71" s="113">
        <v>11250155</v>
      </c>
      <c r="E71" s="113">
        <f t="shared" si="9"/>
        <v>1024369</v>
      </c>
      <c r="F71" s="114">
        <f t="shared" si="10"/>
        <v>0.1001750867855048</v>
      </c>
    </row>
    <row r="72" spans="1:6" x14ac:dyDescent="0.2">
      <c r="A72" s="115">
        <v>3</v>
      </c>
      <c r="B72" s="116" t="s">
        <v>115</v>
      </c>
      <c r="C72" s="113">
        <v>35637819</v>
      </c>
      <c r="D72" s="113">
        <v>37126470</v>
      </c>
      <c r="E72" s="113">
        <f t="shared" si="9"/>
        <v>1488651</v>
      </c>
      <c r="F72" s="114">
        <f t="shared" si="10"/>
        <v>4.1771663973039427E-2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241291</v>
      </c>
      <c r="D74" s="113">
        <v>39332</v>
      </c>
      <c r="E74" s="113">
        <f t="shared" si="9"/>
        <v>-201959</v>
      </c>
      <c r="F74" s="114">
        <f t="shared" si="10"/>
        <v>-0.83699350576689557</v>
      </c>
    </row>
    <row r="75" spans="1:6" x14ac:dyDescent="0.2">
      <c r="A75" s="115">
        <v>6</v>
      </c>
      <c r="B75" s="116" t="s">
        <v>118</v>
      </c>
      <c r="C75" s="113">
        <v>1772731</v>
      </c>
      <c r="D75" s="113">
        <v>1895188</v>
      </c>
      <c r="E75" s="113">
        <f t="shared" si="9"/>
        <v>122457</v>
      </c>
      <c r="F75" s="114">
        <f t="shared" si="10"/>
        <v>6.9078162451043049E-2</v>
      </c>
    </row>
    <row r="76" spans="1:6" x14ac:dyDescent="0.2">
      <c r="A76" s="115">
        <v>7</v>
      </c>
      <c r="B76" s="116" t="s">
        <v>119</v>
      </c>
      <c r="C76" s="113">
        <v>94825494</v>
      </c>
      <c r="D76" s="113">
        <v>92774965</v>
      </c>
      <c r="E76" s="113">
        <f t="shared" si="9"/>
        <v>-2050529</v>
      </c>
      <c r="F76" s="114">
        <f t="shared" si="10"/>
        <v>-2.1624237465085076E-2</v>
      </c>
    </row>
    <row r="77" spans="1:6" x14ac:dyDescent="0.2">
      <c r="A77" s="115">
        <v>8</v>
      </c>
      <c r="B77" s="116" t="s">
        <v>120</v>
      </c>
      <c r="C77" s="113">
        <v>4725373</v>
      </c>
      <c r="D77" s="113">
        <v>5759910</v>
      </c>
      <c r="E77" s="113">
        <f t="shared" si="9"/>
        <v>1034537</v>
      </c>
      <c r="F77" s="114">
        <f t="shared" si="10"/>
        <v>0.2189323467163333</v>
      </c>
    </row>
    <row r="78" spans="1:6" x14ac:dyDescent="0.2">
      <c r="A78" s="115">
        <v>9</v>
      </c>
      <c r="B78" s="116" t="s">
        <v>121</v>
      </c>
      <c r="C78" s="113">
        <v>271415</v>
      </c>
      <c r="D78" s="113">
        <v>34721</v>
      </c>
      <c r="E78" s="113">
        <f t="shared" si="9"/>
        <v>-236694</v>
      </c>
      <c r="F78" s="114">
        <f t="shared" si="10"/>
        <v>-0.87207413002229062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172913057</v>
      </c>
      <c r="D81" s="119">
        <f>SUM(D70:D80)</f>
        <v>176813739</v>
      </c>
      <c r="E81" s="119">
        <f t="shared" si="9"/>
        <v>3900682</v>
      </c>
      <c r="F81" s="120">
        <f t="shared" si="10"/>
        <v>2.2558631879372765E-2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106513283</v>
      </c>
      <c r="D84" s="119">
        <f t="shared" si="11"/>
        <v>101054159</v>
      </c>
      <c r="E84" s="119">
        <f t="shared" ref="E84:E95" si="12">D84-C84</f>
        <v>-5459124</v>
      </c>
      <c r="F84" s="120">
        <f t="shared" ref="F84:F95" si="13">IF(C84=0,0,E84/C84)</f>
        <v>-5.1252987855045271E-2</v>
      </c>
    </row>
    <row r="85" spans="1:6" ht="15.75" x14ac:dyDescent="0.25">
      <c r="A85" s="130">
        <v>2</v>
      </c>
      <c r="B85" s="122" t="s">
        <v>114</v>
      </c>
      <c r="C85" s="119">
        <f t="shared" si="11"/>
        <v>34179941</v>
      </c>
      <c r="D85" s="119">
        <f t="shared" si="11"/>
        <v>34734413</v>
      </c>
      <c r="E85" s="119">
        <f t="shared" si="12"/>
        <v>554472</v>
      </c>
      <c r="F85" s="120">
        <f t="shared" si="13"/>
        <v>1.6222146199725739E-2</v>
      </c>
    </row>
    <row r="86" spans="1:6" ht="15.75" x14ac:dyDescent="0.25">
      <c r="A86" s="130">
        <v>3</v>
      </c>
      <c r="B86" s="122" t="s">
        <v>115</v>
      </c>
      <c r="C86" s="119">
        <f t="shared" si="11"/>
        <v>59259456</v>
      </c>
      <c r="D86" s="119">
        <f t="shared" si="11"/>
        <v>62741144</v>
      </c>
      <c r="E86" s="119">
        <f t="shared" si="12"/>
        <v>3481688</v>
      </c>
      <c r="F86" s="120">
        <f t="shared" si="13"/>
        <v>5.8753289939077399E-2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375866</v>
      </c>
      <c r="D88" s="119">
        <f t="shared" si="11"/>
        <v>153445</v>
      </c>
      <c r="E88" s="119">
        <f t="shared" si="12"/>
        <v>-222421</v>
      </c>
      <c r="F88" s="120">
        <f t="shared" si="13"/>
        <v>-0.5917561045691816</v>
      </c>
    </row>
    <row r="89" spans="1:6" ht="15.75" x14ac:dyDescent="0.25">
      <c r="A89" s="130">
        <v>6</v>
      </c>
      <c r="B89" s="122" t="s">
        <v>118</v>
      </c>
      <c r="C89" s="119">
        <f t="shared" si="11"/>
        <v>2331868</v>
      </c>
      <c r="D89" s="119">
        <f t="shared" si="11"/>
        <v>2897804</v>
      </c>
      <c r="E89" s="119">
        <f t="shared" si="12"/>
        <v>565936</v>
      </c>
      <c r="F89" s="120">
        <f t="shared" si="13"/>
        <v>0.24269641334758227</v>
      </c>
    </row>
    <row r="90" spans="1:6" ht="15.75" x14ac:dyDescent="0.25">
      <c r="A90" s="130">
        <v>7</v>
      </c>
      <c r="B90" s="122" t="s">
        <v>119</v>
      </c>
      <c r="C90" s="119">
        <f t="shared" si="11"/>
        <v>150745850</v>
      </c>
      <c r="D90" s="119">
        <f t="shared" si="11"/>
        <v>143671531</v>
      </c>
      <c r="E90" s="119">
        <f t="shared" si="12"/>
        <v>-7074319</v>
      </c>
      <c r="F90" s="120">
        <f t="shared" si="13"/>
        <v>-4.692878112399114E-2</v>
      </c>
    </row>
    <row r="91" spans="1:6" ht="15.75" x14ac:dyDescent="0.25">
      <c r="A91" s="130">
        <v>8</v>
      </c>
      <c r="B91" s="122" t="s">
        <v>120</v>
      </c>
      <c r="C91" s="119">
        <f t="shared" si="11"/>
        <v>6249591</v>
      </c>
      <c r="D91" s="119">
        <f t="shared" si="11"/>
        <v>7659362</v>
      </c>
      <c r="E91" s="119">
        <f t="shared" si="12"/>
        <v>1409771</v>
      </c>
      <c r="F91" s="120">
        <f t="shared" si="13"/>
        <v>0.2255781218322927</v>
      </c>
    </row>
    <row r="92" spans="1:6" ht="15.75" x14ac:dyDescent="0.25">
      <c r="A92" s="130">
        <v>9</v>
      </c>
      <c r="B92" s="122" t="s">
        <v>121</v>
      </c>
      <c r="C92" s="119">
        <f t="shared" si="11"/>
        <v>1278286</v>
      </c>
      <c r="D92" s="119">
        <f t="shared" si="11"/>
        <v>670153</v>
      </c>
      <c r="E92" s="119">
        <f t="shared" si="12"/>
        <v>-608133</v>
      </c>
      <c r="F92" s="120">
        <f t="shared" si="13"/>
        <v>-0.47574095312003728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360934141</v>
      </c>
      <c r="D95" s="128">
        <f>SUM(D84:D94)</f>
        <v>353582011</v>
      </c>
      <c r="E95" s="128">
        <f t="shared" si="12"/>
        <v>-7352130</v>
      </c>
      <c r="F95" s="129">
        <f t="shared" si="13"/>
        <v>-2.0369727229544627E-2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6267</v>
      </c>
      <c r="D100" s="133">
        <v>5193</v>
      </c>
      <c r="E100" s="133">
        <f t="shared" ref="E100:E111" si="14">D100-C100</f>
        <v>-1074</v>
      </c>
      <c r="F100" s="114">
        <f t="shared" ref="F100:F111" si="15">IF(C100=0,0,E100/C100)</f>
        <v>-0.1713738630923887</v>
      </c>
    </row>
    <row r="101" spans="1:6" x14ac:dyDescent="0.2">
      <c r="A101" s="115">
        <v>2</v>
      </c>
      <c r="B101" s="116" t="s">
        <v>114</v>
      </c>
      <c r="C101" s="133">
        <v>2197</v>
      </c>
      <c r="D101" s="133">
        <v>1896</v>
      </c>
      <c r="E101" s="133">
        <f t="shared" si="14"/>
        <v>-301</v>
      </c>
      <c r="F101" s="114">
        <f t="shared" si="15"/>
        <v>-0.13700500682749203</v>
      </c>
    </row>
    <row r="102" spans="1:6" x14ac:dyDescent="0.2">
      <c r="A102" s="115">
        <v>3</v>
      </c>
      <c r="B102" s="116" t="s">
        <v>115</v>
      </c>
      <c r="C102" s="133">
        <v>4668</v>
      </c>
      <c r="D102" s="133">
        <v>4161</v>
      </c>
      <c r="E102" s="133">
        <f t="shared" si="14"/>
        <v>-507</v>
      </c>
      <c r="F102" s="114">
        <f t="shared" si="15"/>
        <v>-0.10861182519280206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19</v>
      </c>
      <c r="D104" s="133">
        <v>19</v>
      </c>
      <c r="E104" s="133">
        <f t="shared" si="14"/>
        <v>0</v>
      </c>
      <c r="F104" s="114">
        <f t="shared" si="15"/>
        <v>0</v>
      </c>
    </row>
    <row r="105" spans="1:6" x14ac:dyDescent="0.2">
      <c r="A105" s="115">
        <v>6</v>
      </c>
      <c r="B105" s="116" t="s">
        <v>118</v>
      </c>
      <c r="C105" s="133">
        <v>73</v>
      </c>
      <c r="D105" s="133">
        <v>191</v>
      </c>
      <c r="E105" s="133">
        <f t="shared" si="14"/>
        <v>118</v>
      </c>
      <c r="F105" s="114">
        <f t="shared" si="15"/>
        <v>1.6164383561643836</v>
      </c>
    </row>
    <row r="106" spans="1:6" x14ac:dyDescent="0.2">
      <c r="A106" s="115">
        <v>7</v>
      </c>
      <c r="B106" s="116" t="s">
        <v>119</v>
      </c>
      <c r="C106" s="133">
        <v>4438</v>
      </c>
      <c r="D106" s="133">
        <v>3908</v>
      </c>
      <c r="E106" s="133">
        <f t="shared" si="14"/>
        <v>-530</v>
      </c>
      <c r="F106" s="114">
        <f t="shared" si="15"/>
        <v>-0.11942316358720144</v>
      </c>
    </row>
    <row r="107" spans="1:6" x14ac:dyDescent="0.2">
      <c r="A107" s="115">
        <v>8</v>
      </c>
      <c r="B107" s="116" t="s">
        <v>120</v>
      </c>
      <c r="C107" s="133">
        <v>39</v>
      </c>
      <c r="D107" s="133">
        <v>48</v>
      </c>
      <c r="E107" s="133">
        <f t="shared" si="14"/>
        <v>9</v>
      </c>
      <c r="F107" s="114">
        <f t="shared" si="15"/>
        <v>0.23076923076923078</v>
      </c>
    </row>
    <row r="108" spans="1:6" x14ac:dyDescent="0.2">
      <c r="A108" s="115">
        <v>9</v>
      </c>
      <c r="B108" s="116" t="s">
        <v>121</v>
      </c>
      <c r="C108" s="133">
        <v>206</v>
      </c>
      <c r="D108" s="133">
        <v>224</v>
      </c>
      <c r="E108" s="133">
        <f t="shared" si="14"/>
        <v>18</v>
      </c>
      <c r="F108" s="114">
        <f t="shared" si="15"/>
        <v>8.7378640776699032E-2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17907</v>
      </c>
      <c r="D111" s="134">
        <f>SUM(D100:D110)</f>
        <v>15640</v>
      </c>
      <c r="E111" s="134">
        <f t="shared" si="14"/>
        <v>-2267</v>
      </c>
      <c r="F111" s="120">
        <f t="shared" si="15"/>
        <v>-0.12659853688501704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31284</v>
      </c>
      <c r="D113" s="133">
        <v>26567</v>
      </c>
      <c r="E113" s="133">
        <f t="shared" ref="E113:E124" si="16">D113-C113</f>
        <v>-4717</v>
      </c>
      <c r="F113" s="114">
        <f t="shared" ref="F113:F124" si="17">IF(C113=0,0,E113/C113)</f>
        <v>-0.15077995141286279</v>
      </c>
    </row>
    <row r="114" spans="1:6" x14ac:dyDescent="0.2">
      <c r="A114" s="115">
        <v>2</v>
      </c>
      <c r="B114" s="116" t="s">
        <v>114</v>
      </c>
      <c r="C114" s="133">
        <v>9486</v>
      </c>
      <c r="D114" s="133">
        <v>8882</v>
      </c>
      <c r="E114" s="133">
        <f t="shared" si="16"/>
        <v>-604</v>
      </c>
      <c r="F114" s="114">
        <f t="shared" si="17"/>
        <v>-6.3672780940333129E-2</v>
      </c>
    </row>
    <row r="115" spans="1:6" x14ac:dyDescent="0.2">
      <c r="A115" s="115">
        <v>3</v>
      </c>
      <c r="B115" s="116" t="s">
        <v>115</v>
      </c>
      <c r="C115" s="133">
        <v>18724</v>
      </c>
      <c r="D115" s="133">
        <v>17668</v>
      </c>
      <c r="E115" s="133">
        <f t="shared" si="16"/>
        <v>-1056</v>
      </c>
      <c r="F115" s="114">
        <f t="shared" si="17"/>
        <v>-5.6398205511642811E-2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46</v>
      </c>
      <c r="D117" s="133">
        <v>58</v>
      </c>
      <c r="E117" s="133">
        <f t="shared" si="16"/>
        <v>12</v>
      </c>
      <c r="F117" s="114">
        <f t="shared" si="17"/>
        <v>0.2608695652173913</v>
      </c>
    </row>
    <row r="118" spans="1:6" x14ac:dyDescent="0.2">
      <c r="A118" s="115">
        <v>6</v>
      </c>
      <c r="B118" s="116" t="s">
        <v>118</v>
      </c>
      <c r="C118" s="133">
        <v>315</v>
      </c>
      <c r="D118" s="133">
        <v>1055</v>
      </c>
      <c r="E118" s="133">
        <f t="shared" si="16"/>
        <v>740</v>
      </c>
      <c r="F118" s="114">
        <f t="shared" si="17"/>
        <v>2.3492063492063493</v>
      </c>
    </row>
    <row r="119" spans="1:6" x14ac:dyDescent="0.2">
      <c r="A119" s="115">
        <v>7</v>
      </c>
      <c r="B119" s="116" t="s">
        <v>119</v>
      </c>
      <c r="C119" s="133">
        <v>14927</v>
      </c>
      <c r="D119" s="133">
        <v>14054</v>
      </c>
      <c r="E119" s="133">
        <f t="shared" si="16"/>
        <v>-873</v>
      </c>
      <c r="F119" s="114">
        <f t="shared" si="17"/>
        <v>-5.8484625175855828E-2</v>
      </c>
    </row>
    <row r="120" spans="1:6" x14ac:dyDescent="0.2">
      <c r="A120" s="115">
        <v>8</v>
      </c>
      <c r="B120" s="116" t="s">
        <v>120</v>
      </c>
      <c r="C120" s="133">
        <v>128</v>
      </c>
      <c r="D120" s="133">
        <v>157</v>
      </c>
      <c r="E120" s="133">
        <f t="shared" si="16"/>
        <v>29</v>
      </c>
      <c r="F120" s="114">
        <f t="shared" si="17"/>
        <v>0.2265625</v>
      </c>
    </row>
    <row r="121" spans="1:6" x14ac:dyDescent="0.2">
      <c r="A121" s="115">
        <v>9</v>
      </c>
      <c r="B121" s="116" t="s">
        <v>121</v>
      </c>
      <c r="C121" s="133">
        <v>557</v>
      </c>
      <c r="D121" s="133">
        <v>824</v>
      </c>
      <c r="E121" s="133">
        <f t="shared" si="16"/>
        <v>267</v>
      </c>
      <c r="F121" s="114">
        <f t="shared" si="17"/>
        <v>0.47935368043087973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75467</v>
      </c>
      <c r="D124" s="134">
        <f>SUM(D113:D123)</f>
        <v>69265</v>
      </c>
      <c r="E124" s="134">
        <f t="shared" si="16"/>
        <v>-6202</v>
      </c>
      <c r="F124" s="120">
        <f t="shared" si="17"/>
        <v>-8.2181615805583891E-2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63158</v>
      </c>
      <c r="D126" s="133">
        <v>59026</v>
      </c>
      <c r="E126" s="133">
        <f t="shared" ref="E126:E137" si="18">D126-C126</f>
        <v>-4132</v>
      </c>
      <c r="F126" s="114">
        <f t="shared" ref="F126:F137" si="19">IF(C126=0,0,E126/C126)</f>
        <v>-6.5423224294626173E-2</v>
      </c>
    </row>
    <row r="127" spans="1:6" x14ac:dyDescent="0.2">
      <c r="A127" s="115">
        <v>2</v>
      </c>
      <c r="B127" s="116" t="s">
        <v>114</v>
      </c>
      <c r="C127" s="133">
        <v>27516</v>
      </c>
      <c r="D127" s="133">
        <v>26210</v>
      </c>
      <c r="E127" s="133">
        <f t="shared" si="18"/>
        <v>-1306</v>
      </c>
      <c r="F127" s="114">
        <f t="shared" si="19"/>
        <v>-4.746329408344236E-2</v>
      </c>
    </row>
    <row r="128" spans="1:6" x14ac:dyDescent="0.2">
      <c r="A128" s="115">
        <v>3</v>
      </c>
      <c r="B128" s="116" t="s">
        <v>115</v>
      </c>
      <c r="C128" s="133">
        <v>81567</v>
      </c>
      <c r="D128" s="133">
        <v>81124</v>
      </c>
      <c r="E128" s="133">
        <f t="shared" si="18"/>
        <v>-443</v>
      </c>
      <c r="F128" s="114">
        <f t="shared" si="19"/>
        <v>-5.4311179766327071E-3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467</v>
      </c>
      <c r="D130" s="133">
        <v>414</v>
      </c>
      <c r="E130" s="133">
        <f t="shared" si="18"/>
        <v>-53</v>
      </c>
      <c r="F130" s="114">
        <f t="shared" si="19"/>
        <v>-0.11349036402569593</v>
      </c>
    </row>
    <row r="131" spans="1:6" x14ac:dyDescent="0.2">
      <c r="A131" s="115">
        <v>6</v>
      </c>
      <c r="B131" s="116" t="s">
        <v>118</v>
      </c>
      <c r="C131" s="133">
        <v>2006</v>
      </c>
      <c r="D131" s="133">
        <v>2154</v>
      </c>
      <c r="E131" s="133">
        <f t="shared" si="18"/>
        <v>148</v>
      </c>
      <c r="F131" s="114">
        <f t="shared" si="19"/>
        <v>7.3778664007976072E-2</v>
      </c>
    </row>
    <row r="132" spans="1:6" x14ac:dyDescent="0.2">
      <c r="A132" s="115">
        <v>7</v>
      </c>
      <c r="B132" s="116" t="s">
        <v>119</v>
      </c>
      <c r="C132" s="133">
        <v>98289</v>
      </c>
      <c r="D132" s="133">
        <v>86847</v>
      </c>
      <c r="E132" s="133">
        <f t="shared" si="18"/>
        <v>-11442</v>
      </c>
      <c r="F132" s="114">
        <f t="shared" si="19"/>
        <v>-0.11641180600067148</v>
      </c>
    </row>
    <row r="133" spans="1:6" x14ac:dyDescent="0.2">
      <c r="A133" s="115">
        <v>8</v>
      </c>
      <c r="B133" s="116" t="s">
        <v>120</v>
      </c>
      <c r="C133" s="133">
        <v>2130</v>
      </c>
      <c r="D133" s="133">
        <v>2789</v>
      </c>
      <c r="E133" s="133">
        <f t="shared" si="18"/>
        <v>659</v>
      </c>
      <c r="F133" s="114">
        <f t="shared" si="19"/>
        <v>0.30938967136150236</v>
      </c>
    </row>
    <row r="134" spans="1:6" x14ac:dyDescent="0.2">
      <c r="A134" s="115">
        <v>9</v>
      </c>
      <c r="B134" s="116" t="s">
        <v>121</v>
      </c>
      <c r="C134" s="133">
        <v>9883</v>
      </c>
      <c r="D134" s="133">
        <v>7169</v>
      </c>
      <c r="E134" s="133">
        <f t="shared" si="18"/>
        <v>-2714</v>
      </c>
      <c r="F134" s="114">
        <f t="shared" si="19"/>
        <v>-0.27461297176970556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285016</v>
      </c>
      <c r="D137" s="134">
        <f>SUM(D126:D136)</f>
        <v>265733</v>
      </c>
      <c r="E137" s="134">
        <f t="shared" si="18"/>
        <v>-19283</v>
      </c>
      <c r="F137" s="120">
        <f t="shared" si="19"/>
        <v>-6.7655850899598621E-2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23225011</v>
      </c>
      <c r="D142" s="113">
        <v>24836144</v>
      </c>
      <c r="E142" s="113">
        <f t="shared" ref="E142:E153" si="20">D142-C142</f>
        <v>1611133</v>
      </c>
      <c r="F142" s="114">
        <f t="shared" ref="F142:F153" si="21">IF(C142=0,0,E142/C142)</f>
        <v>6.9370602235667406E-2</v>
      </c>
    </row>
    <row r="143" spans="1:6" x14ac:dyDescent="0.2">
      <c r="A143" s="115">
        <v>2</v>
      </c>
      <c r="B143" s="116" t="s">
        <v>114</v>
      </c>
      <c r="C143" s="113">
        <v>8487305</v>
      </c>
      <c r="D143" s="113">
        <v>9519808</v>
      </c>
      <c r="E143" s="113">
        <f t="shared" si="20"/>
        <v>1032503</v>
      </c>
      <c r="F143" s="114">
        <f t="shared" si="21"/>
        <v>0.12165263296181768</v>
      </c>
    </row>
    <row r="144" spans="1:6" x14ac:dyDescent="0.2">
      <c r="A144" s="115">
        <v>3</v>
      </c>
      <c r="B144" s="116" t="s">
        <v>115</v>
      </c>
      <c r="C144" s="113">
        <v>63115412</v>
      </c>
      <c r="D144" s="113">
        <v>63621276</v>
      </c>
      <c r="E144" s="113">
        <f t="shared" si="20"/>
        <v>505864</v>
      </c>
      <c r="F144" s="114">
        <f t="shared" si="21"/>
        <v>8.0149045054162052E-3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396858</v>
      </c>
      <c r="D146" s="113">
        <v>343369</v>
      </c>
      <c r="E146" s="113">
        <f t="shared" si="20"/>
        <v>-53489</v>
      </c>
      <c r="F146" s="114">
        <f t="shared" si="21"/>
        <v>-0.13478120637608415</v>
      </c>
    </row>
    <row r="147" spans="1:6" x14ac:dyDescent="0.2">
      <c r="A147" s="115">
        <v>6</v>
      </c>
      <c r="B147" s="116" t="s">
        <v>118</v>
      </c>
      <c r="C147" s="113">
        <v>1951943</v>
      </c>
      <c r="D147" s="113">
        <v>2875009</v>
      </c>
      <c r="E147" s="113">
        <f t="shared" si="20"/>
        <v>923066</v>
      </c>
      <c r="F147" s="114">
        <f t="shared" si="21"/>
        <v>0.47289598108141478</v>
      </c>
    </row>
    <row r="148" spans="1:6" x14ac:dyDescent="0.2">
      <c r="A148" s="115">
        <v>7</v>
      </c>
      <c r="B148" s="116" t="s">
        <v>119</v>
      </c>
      <c r="C148" s="113">
        <v>35295380</v>
      </c>
      <c r="D148" s="113">
        <v>33844426</v>
      </c>
      <c r="E148" s="113">
        <f t="shared" si="20"/>
        <v>-1450954</v>
      </c>
      <c r="F148" s="114">
        <f t="shared" si="21"/>
        <v>-4.1108893005260182E-2</v>
      </c>
    </row>
    <row r="149" spans="1:6" x14ac:dyDescent="0.2">
      <c r="A149" s="115">
        <v>8</v>
      </c>
      <c r="B149" s="116" t="s">
        <v>120</v>
      </c>
      <c r="C149" s="113">
        <v>1672709</v>
      </c>
      <c r="D149" s="113">
        <v>1655015</v>
      </c>
      <c r="E149" s="113">
        <f t="shared" si="20"/>
        <v>-17694</v>
      </c>
      <c r="F149" s="114">
        <f t="shared" si="21"/>
        <v>-1.0578050336310738E-2</v>
      </c>
    </row>
    <row r="150" spans="1:6" x14ac:dyDescent="0.2">
      <c r="A150" s="115">
        <v>9</v>
      </c>
      <c r="B150" s="116" t="s">
        <v>121</v>
      </c>
      <c r="C150" s="113">
        <v>11435005</v>
      </c>
      <c r="D150" s="113">
        <v>8351577</v>
      </c>
      <c r="E150" s="113">
        <f t="shared" si="20"/>
        <v>-3083428</v>
      </c>
      <c r="F150" s="114">
        <f t="shared" si="21"/>
        <v>-0.26964815494177746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145579623</v>
      </c>
      <c r="D153" s="119">
        <f>SUM(D142:D152)</f>
        <v>145046624</v>
      </c>
      <c r="E153" s="119">
        <f t="shared" si="20"/>
        <v>-532999</v>
      </c>
      <c r="F153" s="120">
        <f t="shared" si="21"/>
        <v>-3.6612198123359614E-3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4918724</v>
      </c>
      <c r="D155" s="113">
        <v>5763090</v>
      </c>
      <c r="E155" s="113">
        <f t="shared" ref="E155:E166" si="22">D155-C155</f>
        <v>844366</v>
      </c>
      <c r="F155" s="114">
        <f t="shared" ref="F155:F166" si="23">IF(C155=0,0,E155/C155)</f>
        <v>0.17166362658282922</v>
      </c>
    </row>
    <row r="156" spans="1:6" x14ac:dyDescent="0.2">
      <c r="A156" s="115">
        <v>2</v>
      </c>
      <c r="B156" s="116" t="s">
        <v>114</v>
      </c>
      <c r="C156" s="113">
        <v>1850323</v>
      </c>
      <c r="D156" s="113">
        <v>2207672</v>
      </c>
      <c r="E156" s="113">
        <f t="shared" si="22"/>
        <v>357349</v>
      </c>
      <c r="F156" s="114">
        <f t="shared" si="23"/>
        <v>0.19312790253377382</v>
      </c>
    </row>
    <row r="157" spans="1:6" x14ac:dyDescent="0.2">
      <c r="A157" s="115">
        <v>3</v>
      </c>
      <c r="B157" s="116" t="s">
        <v>115</v>
      </c>
      <c r="C157" s="113">
        <v>14095160</v>
      </c>
      <c r="D157" s="113">
        <v>15248647</v>
      </c>
      <c r="E157" s="113">
        <f t="shared" si="22"/>
        <v>1153487</v>
      </c>
      <c r="F157" s="114">
        <f t="shared" si="23"/>
        <v>8.1835679765252758E-2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80728</v>
      </c>
      <c r="D159" s="113">
        <v>77138</v>
      </c>
      <c r="E159" s="113">
        <f t="shared" si="22"/>
        <v>-3590</v>
      </c>
      <c r="F159" s="114">
        <f t="shared" si="23"/>
        <v>-4.4470320087206423E-2</v>
      </c>
    </row>
    <row r="160" spans="1:6" x14ac:dyDescent="0.2">
      <c r="A160" s="115">
        <v>6</v>
      </c>
      <c r="B160" s="116" t="s">
        <v>118</v>
      </c>
      <c r="C160" s="113">
        <v>847752</v>
      </c>
      <c r="D160" s="113">
        <v>1029800</v>
      </c>
      <c r="E160" s="113">
        <f t="shared" si="22"/>
        <v>182048</v>
      </c>
      <c r="F160" s="114">
        <f t="shared" si="23"/>
        <v>0.21474204720248374</v>
      </c>
    </row>
    <row r="161" spans="1:6" x14ac:dyDescent="0.2">
      <c r="A161" s="115">
        <v>7</v>
      </c>
      <c r="B161" s="116" t="s">
        <v>119</v>
      </c>
      <c r="C161" s="113">
        <v>24969868</v>
      </c>
      <c r="D161" s="113">
        <v>23656821</v>
      </c>
      <c r="E161" s="113">
        <f t="shared" si="22"/>
        <v>-1313047</v>
      </c>
      <c r="F161" s="114">
        <f t="shared" si="23"/>
        <v>-5.2585259962127151E-2</v>
      </c>
    </row>
    <row r="162" spans="1:6" x14ac:dyDescent="0.2">
      <c r="A162" s="115">
        <v>8</v>
      </c>
      <c r="B162" s="116" t="s">
        <v>120</v>
      </c>
      <c r="C162" s="113">
        <v>1202845</v>
      </c>
      <c r="D162" s="113">
        <v>1131298</v>
      </c>
      <c r="E162" s="113">
        <f t="shared" si="22"/>
        <v>-71547</v>
      </c>
      <c r="F162" s="114">
        <f t="shared" si="23"/>
        <v>-5.9481479326097708E-2</v>
      </c>
    </row>
    <row r="163" spans="1:6" x14ac:dyDescent="0.2">
      <c r="A163" s="115">
        <v>9</v>
      </c>
      <c r="B163" s="116" t="s">
        <v>121</v>
      </c>
      <c r="C163" s="113">
        <v>268198</v>
      </c>
      <c r="D163" s="113">
        <v>196667</v>
      </c>
      <c r="E163" s="113">
        <f t="shared" si="22"/>
        <v>-71531</v>
      </c>
      <c r="F163" s="114">
        <f t="shared" si="23"/>
        <v>-0.26670966972162358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48233598</v>
      </c>
      <c r="D166" s="119">
        <f>SUM(D155:D165)</f>
        <v>49311133</v>
      </c>
      <c r="E166" s="119">
        <f t="shared" si="22"/>
        <v>1077535</v>
      </c>
      <c r="F166" s="120">
        <f t="shared" si="23"/>
        <v>2.2339925791975957E-2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10543</v>
      </c>
      <c r="D168" s="133">
        <v>11109</v>
      </c>
      <c r="E168" s="133">
        <f t="shared" ref="E168:E179" si="24">D168-C168</f>
        <v>566</v>
      </c>
      <c r="F168" s="114">
        <f t="shared" ref="F168:F179" si="25">IF(C168=0,0,E168/C168)</f>
        <v>5.3684909418571562E-2</v>
      </c>
    </row>
    <row r="169" spans="1:6" x14ac:dyDescent="0.2">
      <c r="A169" s="115">
        <v>2</v>
      </c>
      <c r="B169" s="116" t="s">
        <v>114</v>
      </c>
      <c r="C169" s="133">
        <v>3757</v>
      </c>
      <c r="D169" s="133">
        <v>4419</v>
      </c>
      <c r="E169" s="133">
        <f t="shared" si="24"/>
        <v>662</v>
      </c>
      <c r="F169" s="114">
        <f t="shared" si="25"/>
        <v>0.17620441841895129</v>
      </c>
    </row>
    <row r="170" spans="1:6" x14ac:dyDescent="0.2">
      <c r="A170" s="115">
        <v>3</v>
      </c>
      <c r="B170" s="116" t="s">
        <v>115</v>
      </c>
      <c r="C170" s="133">
        <v>48391</v>
      </c>
      <c r="D170" s="133">
        <v>48223</v>
      </c>
      <c r="E170" s="133">
        <f t="shared" si="24"/>
        <v>-168</v>
      </c>
      <c r="F170" s="114">
        <f t="shared" si="25"/>
        <v>-3.4717199479242008E-3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274</v>
      </c>
      <c r="D172" s="133">
        <v>228</v>
      </c>
      <c r="E172" s="133">
        <f t="shared" si="24"/>
        <v>-46</v>
      </c>
      <c r="F172" s="114">
        <f t="shared" si="25"/>
        <v>-0.16788321167883211</v>
      </c>
    </row>
    <row r="173" spans="1:6" x14ac:dyDescent="0.2">
      <c r="A173" s="115">
        <v>6</v>
      </c>
      <c r="B173" s="116" t="s">
        <v>118</v>
      </c>
      <c r="C173" s="133">
        <v>957</v>
      </c>
      <c r="D173" s="133">
        <v>1563</v>
      </c>
      <c r="E173" s="133">
        <f t="shared" si="24"/>
        <v>606</v>
      </c>
      <c r="F173" s="114">
        <f t="shared" si="25"/>
        <v>0.63322884012539182</v>
      </c>
    </row>
    <row r="174" spans="1:6" x14ac:dyDescent="0.2">
      <c r="A174" s="115">
        <v>7</v>
      </c>
      <c r="B174" s="116" t="s">
        <v>119</v>
      </c>
      <c r="C174" s="133">
        <v>19691</v>
      </c>
      <c r="D174" s="133">
        <v>18852</v>
      </c>
      <c r="E174" s="133">
        <f t="shared" si="24"/>
        <v>-839</v>
      </c>
      <c r="F174" s="114">
        <f t="shared" si="25"/>
        <v>-4.260829820730283E-2</v>
      </c>
    </row>
    <row r="175" spans="1:6" x14ac:dyDescent="0.2">
      <c r="A175" s="115">
        <v>8</v>
      </c>
      <c r="B175" s="116" t="s">
        <v>120</v>
      </c>
      <c r="C175" s="133">
        <v>1267</v>
      </c>
      <c r="D175" s="133">
        <v>1270</v>
      </c>
      <c r="E175" s="133">
        <f t="shared" si="24"/>
        <v>3</v>
      </c>
      <c r="F175" s="114">
        <f t="shared" si="25"/>
        <v>2.3677979479084454E-3</v>
      </c>
    </row>
    <row r="176" spans="1:6" x14ac:dyDescent="0.2">
      <c r="A176" s="115">
        <v>9</v>
      </c>
      <c r="B176" s="116" t="s">
        <v>121</v>
      </c>
      <c r="C176" s="133">
        <v>7714</v>
      </c>
      <c r="D176" s="133">
        <v>5633</v>
      </c>
      <c r="E176" s="133">
        <f t="shared" si="24"/>
        <v>-2081</v>
      </c>
      <c r="F176" s="114">
        <f t="shared" si="25"/>
        <v>-0.26976925071298935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92594</v>
      </c>
      <c r="D179" s="134">
        <f>SUM(D168:D178)</f>
        <v>91297</v>
      </c>
      <c r="E179" s="134">
        <f t="shared" si="24"/>
        <v>-1297</v>
      </c>
      <c r="F179" s="120">
        <f t="shared" si="25"/>
        <v>-1.4007387087716266E-2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FILING&amp;RTHE HOSPITAL OF CENTRAL CONNECTICUT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59452944</v>
      </c>
      <c r="D15" s="157">
        <v>55467737</v>
      </c>
      <c r="E15" s="157">
        <f>+D15-C15</f>
        <v>-3985207</v>
      </c>
      <c r="F15" s="161">
        <f>IF(C15=0,0,E15/C15)</f>
        <v>-6.7031281074996049E-2</v>
      </c>
    </row>
    <row r="16" spans="1:6" ht="15" customHeight="1" x14ac:dyDescent="0.2">
      <c r="A16" s="147">
        <v>2</v>
      </c>
      <c r="B16" s="160" t="s">
        <v>157</v>
      </c>
      <c r="C16" s="157">
        <v>28826455</v>
      </c>
      <c r="D16" s="157">
        <v>26775789</v>
      </c>
      <c r="E16" s="157">
        <f>+D16-C16</f>
        <v>-2050666</v>
      </c>
      <c r="F16" s="161">
        <f>IF(C16=0,0,E16/C16)</f>
        <v>-7.1138334561082872E-2</v>
      </c>
    </row>
    <row r="17" spans="1:6" ht="15" customHeight="1" x14ac:dyDescent="0.2">
      <c r="A17" s="147">
        <v>3</v>
      </c>
      <c r="B17" s="160" t="s">
        <v>158</v>
      </c>
      <c r="C17" s="157">
        <v>80427441</v>
      </c>
      <c r="D17" s="157">
        <v>66172692</v>
      </c>
      <c r="E17" s="157">
        <f>+D17-C17</f>
        <v>-14254749</v>
      </c>
      <c r="F17" s="161">
        <f>IF(C17=0,0,E17/C17)</f>
        <v>-0.17723738095807376</v>
      </c>
    </row>
    <row r="18" spans="1:6" ht="15.75" customHeight="1" x14ac:dyDescent="0.25">
      <c r="A18" s="147"/>
      <c r="B18" s="162" t="s">
        <v>159</v>
      </c>
      <c r="C18" s="158">
        <f>SUM(C15:C17)</f>
        <v>168706840</v>
      </c>
      <c r="D18" s="158">
        <f>SUM(D15:D17)</f>
        <v>148416218</v>
      </c>
      <c r="E18" s="158">
        <f>+D18-C18</f>
        <v>-20290622</v>
      </c>
      <c r="F18" s="159">
        <f>IF(C18=0,0,E18/C18)</f>
        <v>-0.12027148395405901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18429333</v>
      </c>
      <c r="D21" s="157">
        <v>16863617</v>
      </c>
      <c r="E21" s="157">
        <f>+D21-C21</f>
        <v>-1565716</v>
      </c>
      <c r="F21" s="161">
        <f>IF(C21=0,0,E21/C21)</f>
        <v>-8.4957822401928493E-2</v>
      </c>
    </row>
    <row r="22" spans="1:6" ht="15" customHeight="1" x14ac:dyDescent="0.2">
      <c r="A22" s="147">
        <v>2</v>
      </c>
      <c r="B22" s="160" t="s">
        <v>162</v>
      </c>
      <c r="C22" s="157">
        <v>8638705</v>
      </c>
      <c r="D22" s="157">
        <v>8140528</v>
      </c>
      <c r="E22" s="157">
        <f>+D22-C22</f>
        <v>-498177</v>
      </c>
      <c r="F22" s="161">
        <f>IF(C22=0,0,E22/C22)</f>
        <v>-5.7668018528240057E-2</v>
      </c>
    </row>
    <row r="23" spans="1:6" ht="15" customHeight="1" x14ac:dyDescent="0.2">
      <c r="A23" s="147">
        <v>3</v>
      </c>
      <c r="B23" s="160" t="s">
        <v>163</v>
      </c>
      <c r="C23" s="157">
        <v>24660487</v>
      </c>
      <c r="D23" s="157">
        <v>20118199</v>
      </c>
      <c r="E23" s="157">
        <f>+D23-C23</f>
        <v>-4542288</v>
      </c>
      <c r="F23" s="161">
        <f>IF(C23=0,0,E23/C23)</f>
        <v>-0.18419295612450801</v>
      </c>
    </row>
    <row r="24" spans="1:6" ht="15.75" customHeight="1" x14ac:dyDescent="0.25">
      <c r="A24" s="147"/>
      <c r="B24" s="162" t="s">
        <v>164</v>
      </c>
      <c r="C24" s="158">
        <f>SUM(C21:C23)</f>
        <v>51728525</v>
      </c>
      <c r="D24" s="158">
        <f>SUM(D21:D23)</f>
        <v>45122344</v>
      </c>
      <c r="E24" s="158">
        <f>+D24-C24</f>
        <v>-6606181</v>
      </c>
      <c r="F24" s="159">
        <f>IF(C24=0,0,E24/C24)</f>
        <v>-0.12770866750985072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398431</v>
      </c>
      <c r="D27" s="157">
        <v>116258</v>
      </c>
      <c r="E27" s="157">
        <f>+D27-C27</f>
        <v>-282173</v>
      </c>
      <c r="F27" s="161">
        <f>IF(C27=0,0,E27/C27)</f>
        <v>-0.70821045551174477</v>
      </c>
    </row>
    <row r="28" spans="1:6" ht="15" customHeight="1" x14ac:dyDescent="0.2">
      <c r="A28" s="147">
        <v>2</v>
      </c>
      <c r="B28" s="160" t="s">
        <v>167</v>
      </c>
      <c r="C28" s="157">
        <v>10145410</v>
      </c>
      <c r="D28" s="157">
        <v>9980614</v>
      </c>
      <c r="E28" s="157">
        <f>+D28-C28</f>
        <v>-164796</v>
      </c>
      <c r="F28" s="161">
        <f>IF(C28=0,0,E28/C28)</f>
        <v>-1.6243404652941575E-2</v>
      </c>
    </row>
    <row r="29" spans="1:6" ht="15" customHeight="1" x14ac:dyDescent="0.2">
      <c r="A29" s="147">
        <v>3</v>
      </c>
      <c r="B29" s="160" t="s">
        <v>168</v>
      </c>
      <c r="C29" s="157">
        <v>4087695</v>
      </c>
      <c r="D29" s="157">
        <v>4041885</v>
      </c>
      <c r="E29" s="157">
        <f>+D29-C29</f>
        <v>-45810</v>
      </c>
      <c r="F29" s="161">
        <f>IF(C29=0,0,E29/C29)</f>
        <v>-1.1206804812981398E-2</v>
      </c>
    </row>
    <row r="30" spans="1:6" ht="15.75" customHeight="1" x14ac:dyDescent="0.25">
      <c r="A30" s="147"/>
      <c r="B30" s="162" t="s">
        <v>169</v>
      </c>
      <c r="C30" s="158">
        <f>SUM(C27:C29)</f>
        <v>14631536</v>
      </c>
      <c r="D30" s="158">
        <f>SUM(D27:D29)</f>
        <v>14138757</v>
      </c>
      <c r="E30" s="158">
        <f>+D30-C30</f>
        <v>-492779</v>
      </c>
      <c r="F30" s="159">
        <f>IF(C30=0,0,E30/C30)</f>
        <v>-3.3679239144817061E-2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42279593</v>
      </c>
      <c r="D33" s="157">
        <v>39564140</v>
      </c>
      <c r="E33" s="157">
        <f>+D33-C33</f>
        <v>-2715453</v>
      </c>
      <c r="F33" s="161">
        <f>IF(C33=0,0,E33/C33)</f>
        <v>-6.4226091296574209E-2</v>
      </c>
    </row>
    <row r="34" spans="1:6" ht="15" customHeight="1" x14ac:dyDescent="0.2">
      <c r="A34" s="147">
        <v>2</v>
      </c>
      <c r="B34" s="160" t="s">
        <v>173</v>
      </c>
      <c r="C34" s="157">
        <v>11910007</v>
      </c>
      <c r="D34" s="157">
        <v>10300511</v>
      </c>
      <c r="E34" s="157">
        <f>+D34-C34</f>
        <v>-1609496</v>
      </c>
      <c r="F34" s="161">
        <f>IF(C34=0,0,E34/C34)</f>
        <v>-0.13513812376432693</v>
      </c>
    </row>
    <row r="35" spans="1:6" ht="15.75" customHeight="1" x14ac:dyDescent="0.25">
      <c r="A35" s="147"/>
      <c r="B35" s="162" t="s">
        <v>174</v>
      </c>
      <c r="C35" s="158">
        <f>SUM(C33:C34)</f>
        <v>54189600</v>
      </c>
      <c r="D35" s="158">
        <f>SUM(D33:D34)</f>
        <v>49864651</v>
      </c>
      <c r="E35" s="158">
        <f>+D35-C35</f>
        <v>-4324949</v>
      </c>
      <c r="F35" s="159">
        <f>IF(C35=0,0,E35/C35)</f>
        <v>-7.9811421379748143E-2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9298428</v>
      </c>
      <c r="D38" s="157">
        <v>9730373</v>
      </c>
      <c r="E38" s="157">
        <f>+D38-C38</f>
        <v>431945</v>
      </c>
      <c r="F38" s="161">
        <f>IF(C38=0,0,E38/C38)</f>
        <v>4.6453551073364227E-2</v>
      </c>
    </row>
    <row r="39" spans="1:6" ht="15" customHeight="1" x14ac:dyDescent="0.2">
      <c r="A39" s="147">
        <v>2</v>
      </c>
      <c r="B39" s="160" t="s">
        <v>178</v>
      </c>
      <c r="C39" s="157">
        <v>10180905</v>
      </c>
      <c r="D39" s="157">
        <v>8494962</v>
      </c>
      <c r="E39" s="157">
        <f>+D39-C39</f>
        <v>-1685943</v>
      </c>
      <c r="F39" s="161">
        <f>IF(C39=0,0,E39/C39)</f>
        <v>-0.16559853961902207</v>
      </c>
    </row>
    <row r="40" spans="1:6" ht="15" customHeight="1" x14ac:dyDescent="0.2">
      <c r="A40" s="147">
        <v>3</v>
      </c>
      <c r="B40" s="160" t="s">
        <v>179</v>
      </c>
      <c r="C40" s="157">
        <v>0</v>
      </c>
      <c r="D40" s="157">
        <v>0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19479333</v>
      </c>
      <c r="D41" s="158">
        <f>SUM(D38:D40)</f>
        <v>18225335</v>
      </c>
      <c r="E41" s="158">
        <f>+D41-C41</f>
        <v>-1253998</v>
      </c>
      <c r="F41" s="159">
        <f>IF(C41=0,0,E41/C41)</f>
        <v>-6.437581820691704E-2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1563598</v>
      </c>
      <c r="D47" s="157">
        <v>1418199</v>
      </c>
      <c r="E47" s="157">
        <f>+D47-C47</f>
        <v>-145399</v>
      </c>
      <c r="F47" s="161">
        <f>IF(C47=0,0,E47/C47)</f>
        <v>-9.2990014057321643E-2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2558127</v>
      </c>
      <c r="D50" s="157">
        <v>3957824</v>
      </c>
      <c r="E50" s="157">
        <f>+D50-C50</f>
        <v>1399697</v>
      </c>
      <c r="F50" s="161">
        <f>IF(C50=0,0,E50/C50)</f>
        <v>0.54715696288729998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188971</v>
      </c>
      <c r="D53" s="157">
        <v>189119</v>
      </c>
      <c r="E53" s="157">
        <f t="shared" ref="E53:E59" si="0">+D53-C53</f>
        <v>148</v>
      </c>
      <c r="F53" s="161">
        <f t="shared" ref="F53:F59" si="1">IF(C53=0,0,E53/C53)</f>
        <v>7.8318895491900876E-4</v>
      </c>
    </row>
    <row r="54" spans="1:6" ht="15" customHeight="1" x14ac:dyDescent="0.2">
      <c r="A54" s="147">
        <v>2</v>
      </c>
      <c r="B54" s="160" t="s">
        <v>189</v>
      </c>
      <c r="C54" s="157">
        <v>1387279</v>
      </c>
      <c r="D54" s="157">
        <v>1438652</v>
      </c>
      <c r="E54" s="157">
        <f t="shared" si="0"/>
        <v>51373</v>
      </c>
      <c r="F54" s="161">
        <f t="shared" si="1"/>
        <v>3.7031483933657183E-2</v>
      </c>
    </row>
    <row r="55" spans="1:6" ht="15" customHeight="1" x14ac:dyDescent="0.2">
      <c r="A55" s="147">
        <v>3</v>
      </c>
      <c r="B55" s="160" t="s">
        <v>190</v>
      </c>
      <c r="C55" s="157">
        <v>47843</v>
      </c>
      <c r="D55" s="157">
        <v>54796</v>
      </c>
      <c r="E55" s="157">
        <f t="shared" si="0"/>
        <v>6953</v>
      </c>
      <c r="F55" s="161">
        <f t="shared" si="1"/>
        <v>0.14532951528959304</v>
      </c>
    </row>
    <row r="56" spans="1:6" ht="15" customHeight="1" x14ac:dyDescent="0.2">
      <c r="A56" s="147">
        <v>4</v>
      </c>
      <c r="B56" s="160" t="s">
        <v>191</v>
      </c>
      <c r="C56" s="157">
        <v>3784083</v>
      </c>
      <c r="D56" s="157">
        <v>3846261</v>
      </c>
      <c r="E56" s="157">
        <f t="shared" si="0"/>
        <v>62178</v>
      </c>
      <c r="F56" s="161">
        <f t="shared" si="1"/>
        <v>1.6431457766650469E-2</v>
      </c>
    </row>
    <row r="57" spans="1:6" ht="15" customHeight="1" x14ac:dyDescent="0.2">
      <c r="A57" s="147">
        <v>5</v>
      </c>
      <c r="B57" s="160" t="s">
        <v>192</v>
      </c>
      <c r="C57" s="157">
        <v>771349</v>
      </c>
      <c r="D57" s="157">
        <v>719635</v>
      </c>
      <c r="E57" s="157">
        <f t="shared" si="0"/>
        <v>-51714</v>
      </c>
      <c r="F57" s="161">
        <f t="shared" si="1"/>
        <v>-6.7043582088004261E-2</v>
      </c>
    </row>
    <row r="58" spans="1:6" ht="15" customHeight="1" x14ac:dyDescent="0.2">
      <c r="A58" s="147">
        <v>6</v>
      </c>
      <c r="B58" s="160" t="s">
        <v>193</v>
      </c>
      <c r="C58" s="157">
        <v>233018</v>
      </c>
      <c r="D58" s="157">
        <v>194300</v>
      </c>
      <c r="E58" s="157">
        <f t="shared" si="0"/>
        <v>-38718</v>
      </c>
      <c r="F58" s="161">
        <f t="shared" si="1"/>
        <v>-0.16615883751469843</v>
      </c>
    </row>
    <row r="59" spans="1:6" ht="15.75" customHeight="1" x14ac:dyDescent="0.25">
      <c r="A59" s="147"/>
      <c r="B59" s="162" t="s">
        <v>194</v>
      </c>
      <c r="C59" s="158">
        <f>SUM(C53:C58)</f>
        <v>6412543</v>
      </c>
      <c r="D59" s="158">
        <f>SUM(D53:D58)</f>
        <v>6442763</v>
      </c>
      <c r="E59" s="158">
        <f t="shared" si="0"/>
        <v>30220</v>
      </c>
      <c r="F59" s="159">
        <f t="shared" si="1"/>
        <v>4.7126389639804362E-3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-340301</v>
      </c>
      <c r="D62" s="157">
        <v>83199</v>
      </c>
      <c r="E62" s="157">
        <f t="shared" ref="E62:E90" si="2">+D62-C62</f>
        <v>423500</v>
      </c>
      <c r="F62" s="161">
        <f t="shared" ref="F62:F90" si="3">IF(C62=0,0,E62/C62)</f>
        <v>-1.2444864987173121</v>
      </c>
    </row>
    <row r="63" spans="1:6" ht="15" customHeight="1" x14ac:dyDescent="0.2">
      <c r="A63" s="147">
        <v>2</v>
      </c>
      <c r="B63" s="160" t="s">
        <v>198</v>
      </c>
      <c r="C63" s="157">
        <v>379808</v>
      </c>
      <c r="D63" s="157">
        <v>182618</v>
      </c>
      <c r="E63" s="157">
        <f t="shared" si="2"/>
        <v>-197190</v>
      </c>
      <c r="F63" s="161">
        <f t="shared" si="3"/>
        <v>-0.51918337686409977</v>
      </c>
    </row>
    <row r="64" spans="1:6" ht="15" customHeight="1" x14ac:dyDescent="0.2">
      <c r="A64" s="147">
        <v>3</v>
      </c>
      <c r="B64" s="160" t="s">
        <v>199</v>
      </c>
      <c r="C64" s="157">
        <v>1459098</v>
      </c>
      <c r="D64" s="157">
        <v>3043966</v>
      </c>
      <c r="E64" s="157">
        <f t="shared" si="2"/>
        <v>1584868</v>
      </c>
      <c r="F64" s="161">
        <f t="shared" si="3"/>
        <v>1.0861970888864216</v>
      </c>
    </row>
    <row r="65" spans="1:6" ht="15" customHeight="1" x14ac:dyDescent="0.2">
      <c r="A65" s="147">
        <v>4</v>
      </c>
      <c r="B65" s="160" t="s">
        <v>200</v>
      </c>
      <c r="C65" s="157">
        <v>716492</v>
      </c>
      <c r="D65" s="157">
        <v>710800</v>
      </c>
      <c r="E65" s="157">
        <f t="shared" si="2"/>
        <v>-5692</v>
      </c>
      <c r="F65" s="161">
        <f t="shared" si="3"/>
        <v>-7.9442617642625467E-3</v>
      </c>
    </row>
    <row r="66" spans="1:6" ht="15" customHeight="1" x14ac:dyDescent="0.2">
      <c r="A66" s="147">
        <v>5</v>
      </c>
      <c r="B66" s="160" t="s">
        <v>201</v>
      </c>
      <c r="C66" s="157">
        <v>1614064</v>
      </c>
      <c r="D66" s="157">
        <v>1568648</v>
      </c>
      <c r="E66" s="157">
        <f t="shared" si="2"/>
        <v>-45416</v>
      </c>
      <c r="F66" s="161">
        <f t="shared" si="3"/>
        <v>-2.8137669881739508E-2</v>
      </c>
    </row>
    <row r="67" spans="1:6" ht="15" customHeight="1" x14ac:dyDescent="0.2">
      <c r="A67" s="147">
        <v>6</v>
      </c>
      <c r="B67" s="160" t="s">
        <v>202</v>
      </c>
      <c r="C67" s="157">
        <v>2203341</v>
      </c>
      <c r="D67" s="157">
        <v>1957185</v>
      </c>
      <c r="E67" s="157">
        <f t="shared" si="2"/>
        <v>-246156</v>
      </c>
      <c r="F67" s="161">
        <f t="shared" si="3"/>
        <v>-0.1117194297205925</v>
      </c>
    </row>
    <row r="68" spans="1:6" ht="15" customHeight="1" x14ac:dyDescent="0.2">
      <c r="A68" s="147">
        <v>7</v>
      </c>
      <c r="B68" s="160" t="s">
        <v>203</v>
      </c>
      <c r="C68" s="157">
        <v>6353987</v>
      </c>
      <c r="D68" s="157">
        <v>6358105</v>
      </c>
      <c r="E68" s="157">
        <f t="shared" si="2"/>
        <v>4118</v>
      </c>
      <c r="F68" s="161">
        <f t="shared" si="3"/>
        <v>6.4809701373326695E-4</v>
      </c>
    </row>
    <row r="69" spans="1:6" ht="15" customHeight="1" x14ac:dyDescent="0.2">
      <c r="A69" s="147">
        <v>8</v>
      </c>
      <c r="B69" s="160" t="s">
        <v>204</v>
      </c>
      <c r="C69" s="157">
        <v>432483</v>
      </c>
      <c r="D69" s="157">
        <v>423882</v>
      </c>
      <c r="E69" s="157">
        <f t="shared" si="2"/>
        <v>-8601</v>
      </c>
      <c r="F69" s="161">
        <f t="shared" si="3"/>
        <v>-1.9887486906999811E-2</v>
      </c>
    </row>
    <row r="70" spans="1:6" ht="15" customHeight="1" x14ac:dyDescent="0.2">
      <c r="A70" s="147">
        <v>9</v>
      </c>
      <c r="B70" s="160" t="s">
        <v>205</v>
      </c>
      <c r="C70" s="157">
        <v>603587</v>
      </c>
      <c r="D70" s="157">
        <v>333518</v>
      </c>
      <c r="E70" s="157">
        <f t="shared" si="2"/>
        <v>-270069</v>
      </c>
      <c r="F70" s="161">
        <f t="shared" si="3"/>
        <v>-0.44744005420925237</v>
      </c>
    </row>
    <row r="71" spans="1:6" ht="15" customHeight="1" x14ac:dyDescent="0.2">
      <c r="A71" s="147">
        <v>10</v>
      </c>
      <c r="B71" s="160" t="s">
        <v>206</v>
      </c>
      <c r="C71" s="157">
        <v>257568</v>
      </c>
      <c r="D71" s="157">
        <v>111544</v>
      </c>
      <c r="E71" s="157">
        <f t="shared" si="2"/>
        <v>-146024</v>
      </c>
      <c r="F71" s="161">
        <f t="shared" si="3"/>
        <v>-0.56693378059386257</v>
      </c>
    </row>
    <row r="72" spans="1:6" ht="15" customHeight="1" x14ac:dyDescent="0.2">
      <c r="A72" s="147">
        <v>11</v>
      </c>
      <c r="B72" s="160" t="s">
        <v>207</v>
      </c>
      <c r="C72" s="157">
        <v>105976</v>
      </c>
      <c r="D72" s="157">
        <v>202998</v>
      </c>
      <c r="E72" s="157">
        <f t="shared" si="2"/>
        <v>97022</v>
      </c>
      <c r="F72" s="161">
        <f t="shared" si="3"/>
        <v>0.91550917188797465</v>
      </c>
    </row>
    <row r="73" spans="1:6" ht="15" customHeight="1" x14ac:dyDescent="0.2">
      <c r="A73" s="147">
        <v>12</v>
      </c>
      <c r="B73" s="160" t="s">
        <v>208</v>
      </c>
      <c r="C73" s="157">
        <v>1367290</v>
      </c>
      <c r="D73" s="157">
        <v>1603706</v>
      </c>
      <c r="E73" s="157">
        <f t="shared" si="2"/>
        <v>236416</v>
      </c>
      <c r="F73" s="161">
        <f t="shared" si="3"/>
        <v>0.17290845394905249</v>
      </c>
    </row>
    <row r="74" spans="1:6" ht="15" customHeight="1" x14ac:dyDescent="0.2">
      <c r="A74" s="147">
        <v>13</v>
      </c>
      <c r="B74" s="160" t="s">
        <v>209</v>
      </c>
      <c r="C74" s="157">
        <v>216459</v>
      </c>
      <c r="D74" s="157">
        <v>207292</v>
      </c>
      <c r="E74" s="157">
        <f t="shared" si="2"/>
        <v>-9167</v>
      </c>
      <c r="F74" s="161">
        <f t="shared" si="3"/>
        <v>-4.2349821444245796E-2</v>
      </c>
    </row>
    <row r="75" spans="1:6" ht="15" customHeight="1" x14ac:dyDescent="0.2">
      <c r="A75" s="147">
        <v>14</v>
      </c>
      <c r="B75" s="160" t="s">
        <v>210</v>
      </c>
      <c r="C75" s="157">
        <v>459200</v>
      </c>
      <c r="D75" s="157">
        <v>386797</v>
      </c>
      <c r="E75" s="157">
        <f t="shared" si="2"/>
        <v>-72403</v>
      </c>
      <c r="F75" s="161">
        <f t="shared" si="3"/>
        <v>-0.15767203832752613</v>
      </c>
    </row>
    <row r="76" spans="1:6" ht="15" customHeight="1" x14ac:dyDescent="0.2">
      <c r="A76" s="147">
        <v>15</v>
      </c>
      <c r="B76" s="160" t="s">
        <v>211</v>
      </c>
      <c r="C76" s="157">
        <v>2260460</v>
      </c>
      <c r="D76" s="157">
        <v>1932835</v>
      </c>
      <c r="E76" s="157">
        <f t="shared" si="2"/>
        <v>-327625</v>
      </c>
      <c r="F76" s="161">
        <f t="shared" si="3"/>
        <v>-0.14493731364412554</v>
      </c>
    </row>
    <row r="77" spans="1:6" ht="15" customHeight="1" x14ac:dyDescent="0.2">
      <c r="A77" s="147">
        <v>16</v>
      </c>
      <c r="B77" s="160" t="s">
        <v>212</v>
      </c>
      <c r="C77" s="157">
        <v>14570340</v>
      </c>
      <c r="D77" s="157">
        <v>29037412</v>
      </c>
      <c r="E77" s="157">
        <f t="shared" si="2"/>
        <v>14467072</v>
      </c>
      <c r="F77" s="161">
        <f t="shared" si="3"/>
        <v>0.99291245091054836</v>
      </c>
    </row>
    <row r="78" spans="1:6" ht="15" customHeight="1" x14ac:dyDescent="0.2">
      <c r="A78" s="147">
        <v>17</v>
      </c>
      <c r="B78" s="160" t="s">
        <v>213</v>
      </c>
      <c r="C78" s="157">
        <v>5235497</v>
      </c>
      <c r="D78" s="157">
        <v>4300672</v>
      </c>
      <c r="E78" s="157">
        <f t="shared" si="2"/>
        <v>-934825</v>
      </c>
      <c r="F78" s="161">
        <f t="shared" si="3"/>
        <v>-0.17855515913770936</v>
      </c>
    </row>
    <row r="79" spans="1:6" ht="15" customHeight="1" x14ac:dyDescent="0.2">
      <c r="A79" s="147">
        <v>18</v>
      </c>
      <c r="B79" s="160" t="s">
        <v>214</v>
      </c>
      <c r="C79" s="157">
        <v>218101</v>
      </c>
      <c r="D79" s="157">
        <v>247568</v>
      </c>
      <c r="E79" s="157">
        <f t="shared" si="2"/>
        <v>29467</v>
      </c>
      <c r="F79" s="161">
        <f t="shared" si="3"/>
        <v>0.13510712926579888</v>
      </c>
    </row>
    <row r="80" spans="1:6" ht="15" customHeight="1" x14ac:dyDescent="0.2">
      <c r="A80" s="147">
        <v>19</v>
      </c>
      <c r="B80" s="160" t="s">
        <v>215</v>
      </c>
      <c r="C80" s="157">
        <v>2826592</v>
      </c>
      <c r="D80" s="157">
        <v>2504863</v>
      </c>
      <c r="E80" s="157">
        <f t="shared" si="2"/>
        <v>-321729</v>
      </c>
      <c r="F80" s="161">
        <f t="shared" si="3"/>
        <v>-0.11382222832301231</v>
      </c>
    </row>
    <row r="81" spans="1:6" ht="15" customHeight="1" x14ac:dyDescent="0.2">
      <c r="A81" s="147">
        <v>20</v>
      </c>
      <c r="B81" s="160" t="s">
        <v>216</v>
      </c>
      <c r="C81" s="157">
        <v>0</v>
      </c>
      <c r="D81" s="157">
        <v>0</v>
      </c>
      <c r="E81" s="157">
        <f t="shared" si="2"/>
        <v>0</v>
      </c>
      <c r="F81" s="161">
        <f t="shared" si="3"/>
        <v>0</v>
      </c>
    </row>
    <row r="82" spans="1:6" ht="15" customHeight="1" x14ac:dyDescent="0.2">
      <c r="A82" s="147">
        <v>21</v>
      </c>
      <c r="B82" s="160" t="s">
        <v>217</v>
      </c>
      <c r="C82" s="157">
        <v>786789</v>
      </c>
      <c r="D82" s="157">
        <v>377246</v>
      </c>
      <c r="E82" s="157">
        <f t="shared" si="2"/>
        <v>-409543</v>
      </c>
      <c r="F82" s="161">
        <f t="shared" si="3"/>
        <v>-0.52052456249388335</v>
      </c>
    </row>
    <row r="83" spans="1:6" ht="15" customHeight="1" x14ac:dyDescent="0.2">
      <c r="A83" s="147">
        <v>22</v>
      </c>
      <c r="B83" s="160" t="s">
        <v>218</v>
      </c>
      <c r="C83" s="157">
        <v>1518560</v>
      </c>
      <c r="D83" s="157">
        <v>998382</v>
      </c>
      <c r="E83" s="157">
        <f t="shared" si="2"/>
        <v>-520178</v>
      </c>
      <c r="F83" s="161">
        <f t="shared" si="3"/>
        <v>-0.34254688652407544</v>
      </c>
    </row>
    <row r="84" spans="1:6" ht="15" customHeight="1" x14ac:dyDescent="0.2">
      <c r="A84" s="147">
        <v>23</v>
      </c>
      <c r="B84" s="160" t="s">
        <v>219</v>
      </c>
      <c r="C84" s="157">
        <v>178373</v>
      </c>
      <c r="D84" s="157">
        <v>36444</v>
      </c>
      <c r="E84" s="157">
        <f t="shared" si="2"/>
        <v>-141929</v>
      </c>
      <c r="F84" s="161">
        <f t="shared" si="3"/>
        <v>-0.79568656691315387</v>
      </c>
    </row>
    <row r="85" spans="1:6" ht="15" customHeight="1" x14ac:dyDescent="0.2">
      <c r="A85" s="147">
        <v>24</v>
      </c>
      <c r="B85" s="160" t="s">
        <v>220</v>
      </c>
      <c r="C85" s="157">
        <v>2159096</v>
      </c>
      <c r="D85" s="157">
        <v>1642269</v>
      </c>
      <c r="E85" s="157">
        <f t="shared" si="2"/>
        <v>-516827</v>
      </c>
      <c r="F85" s="161">
        <f t="shared" si="3"/>
        <v>-0.23937194084931843</v>
      </c>
    </row>
    <row r="86" spans="1:6" ht="15" customHeight="1" x14ac:dyDescent="0.2">
      <c r="A86" s="147">
        <v>25</v>
      </c>
      <c r="B86" s="160" t="s">
        <v>221</v>
      </c>
      <c r="C86" s="157">
        <v>380380</v>
      </c>
      <c r="D86" s="157">
        <v>591685</v>
      </c>
      <c r="E86" s="157">
        <f t="shared" si="2"/>
        <v>211305</v>
      </c>
      <c r="F86" s="161">
        <f t="shared" si="3"/>
        <v>0.5555102791944897</v>
      </c>
    </row>
    <row r="87" spans="1:6" ht="15" customHeight="1" x14ac:dyDescent="0.2">
      <c r="A87" s="147">
        <v>26</v>
      </c>
      <c r="B87" s="160" t="s">
        <v>222</v>
      </c>
      <c r="C87" s="157">
        <v>24475</v>
      </c>
      <c r="D87" s="157">
        <v>29398</v>
      </c>
      <c r="E87" s="157">
        <f t="shared" si="2"/>
        <v>4923</v>
      </c>
      <c r="F87" s="161">
        <f t="shared" si="3"/>
        <v>0.20114402451481103</v>
      </c>
    </row>
    <row r="88" spans="1:6" ht="15" customHeight="1" x14ac:dyDescent="0.2">
      <c r="A88" s="147">
        <v>27</v>
      </c>
      <c r="B88" s="160" t="s">
        <v>223</v>
      </c>
      <c r="C88" s="157">
        <v>163603</v>
      </c>
      <c r="D88" s="157">
        <v>239604</v>
      </c>
      <c r="E88" s="157">
        <f t="shared" si="2"/>
        <v>76001</v>
      </c>
      <c r="F88" s="161">
        <f t="shared" si="3"/>
        <v>0.46454527117473399</v>
      </c>
    </row>
    <row r="89" spans="1:6" ht="15" customHeight="1" x14ac:dyDescent="0.2">
      <c r="A89" s="147">
        <v>28</v>
      </c>
      <c r="B89" s="160" t="s">
        <v>224</v>
      </c>
      <c r="C89" s="157">
        <v>12025787</v>
      </c>
      <c r="D89" s="157">
        <v>12605357</v>
      </c>
      <c r="E89" s="157">
        <f t="shared" si="2"/>
        <v>579570</v>
      </c>
      <c r="F89" s="161">
        <f t="shared" si="3"/>
        <v>4.8193935249310503E-2</v>
      </c>
    </row>
    <row r="90" spans="1:6" ht="15.75" customHeight="1" x14ac:dyDescent="0.25">
      <c r="A90" s="147"/>
      <c r="B90" s="162" t="s">
        <v>225</v>
      </c>
      <c r="C90" s="158">
        <f>SUM(C62:C89)</f>
        <v>58177105</v>
      </c>
      <c r="D90" s="158">
        <f>SUM(D62:D89)</f>
        <v>71717993</v>
      </c>
      <c r="E90" s="158">
        <f t="shared" si="2"/>
        <v>13540888</v>
      </c>
      <c r="F90" s="159">
        <f t="shared" si="3"/>
        <v>0.23275286730063313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0</v>
      </c>
      <c r="D93" s="157">
        <v>0</v>
      </c>
      <c r="E93" s="157">
        <f>+D93-C93</f>
        <v>0</v>
      </c>
      <c r="F93" s="161">
        <f>IF(C93=0,0,E93/C93)</f>
        <v>0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377447207</v>
      </c>
      <c r="D95" s="158">
        <f>+D93+D90+D59+D50+D47+D44+D41+D35+D30+D24+D18</f>
        <v>359304084</v>
      </c>
      <c r="E95" s="158">
        <f>+D95-C95</f>
        <v>-18143123</v>
      </c>
      <c r="F95" s="159">
        <f>IF(C95=0,0,E95/C95)</f>
        <v>-4.8067975238719939E-2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15075496</v>
      </c>
      <c r="D103" s="157">
        <v>25248481</v>
      </c>
      <c r="E103" s="157">
        <f t="shared" ref="E103:E121" si="4">D103-C103</f>
        <v>10172985</v>
      </c>
      <c r="F103" s="161">
        <f t="shared" ref="F103:F121" si="5">IF(C103=0,0,E103/C103)</f>
        <v>0.67480267315914511</v>
      </c>
    </row>
    <row r="104" spans="1:6" ht="15" customHeight="1" x14ac:dyDescent="0.2">
      <c r="A104" s="147">
        <v>2</v>
      </c>
      <c r="B104" s="169" t="s">
        <v>234</v>
      </c>
      <c r="C104" s="157">
        <v>2268553</v>
      </c>
      <c r="D104" s="157">
        <v>2130592</v>
      </c>
      <c r="E104" s="157">
        <f t="shared" si="4"/>
        <v>-137961</v>
      </c>
      <c r="F104" s="161">
        <f t="shared" si="5"/>
        <v>-6.0814536843529776E-2</v>
      </c>
    </row>
    <row r="105" spans="1:6" ht="15" customHeight="1" x14ac:dyDescent="0.2">
      <c r="A105" s="147">
        <v>3</v>
      </c>
      <c r="B105" s="169" t="s">
        <v>235</v>
      </c>
      <c r="C105" s="157">
        <v>6544116</v>
      </c>
      <c r="D105" s="157">
        <v>5120925</v>
      </c>
      <c r="E105" s="157">
        <f t="shared" si="4"/>
        <v>-1423191</v>
      </c>
      <c r="F105" s="161">
        <f t="shared" si="5"/>
        <v>-0.21747643226373126</v>
      </c>
    </row>
    <row r="106" spans="1:6" ht="15" customHeight="1" x14ac:dyDescent="0.2">
      <c r="A106" s="147">
        <v>4</v>
      </c>
      <c r="B106" s="169" t="s">
        <v>236</v>
      </c>
      <c r="C106" s="157">
        <v>1660188</v>
      </c>
      <c r="D106" s="157">
        <v>1716135</v>
      </c>
      <c r="E106" s="157">
        <f t="shared" si="4"/>
        <v>55947</v>
      </c>
      <c r="F106" s="161">
        <f t="shared" si="5"/>
        <v>3.3699195512797347E-2</v>
      </c>
    </row>
    <row r="107" spans="1:6" ht="15" customHeight="1" x14ac:dyDescent="0.2">
      <c r="A107" s="147">
        <v>5</v>
      </c>
      <c r="B107" s="169" t="s">
        <v>237</v>
      </c>
      <c r="C107" s="157">
        <v>19497806</v>
      </c>
      <c r="D107" s="157">
        <v>19409916</v>
      </c>
      <c r="E107" s="157">
        <f t="shared" si="4"/>
        <v>-87890</v>
      </c>
      <c r="F107" s="161">
        <f t="shared" si="5"/>
        <v>-4.5076866597195606E-3</v>
      </c>
    </row>
    <row r="108" spans="1:6" ht="15" customHeight="1" x14ac:dyDescent="0.2">
      <c r="A108" s="147">
        <v>6</v>
      </c>
      <c r="B108" s="169" t="s">
        <v>238</v>
      </c>
      <c r="C108" s="157">
        <v>1394248</v>
      </c>
      <c r="D108" s="157">
        <v>1260969</v>
      </c>
      <c r="E108" s="157">
        <f t="shared" si="4"/>
        <v>-133279</v>
      </c>
      <c r="F108" s="161">
        <f t="shared" si="5"/>
        <v>-9.5592032407433969E-2</v>
      </c>
    </row>
    <row r="109" spans="1:6" ht="15" customHeight="1" x14ac:dyDescent="0.2">
      <c r="A109" s="147">
        <v>7</v>
      </c>
      <c r="B109" s="169" t="s">
        <v>239</v>
      </c>
      <c r="C109" s="157">
        <v>57349980</v>
      </c>
      <c r="D109" s="157">
        <v>47897461</v>
      </c>
      <c r="E109" s="157">
        <f t="shared" si="4"/>
        <v>-9452519</v>
      </c>
      <c r="F109" s="161">
        <f t="shared" si="5"/>
        <v>-0.16482166166404941</v>
      </c>
    </row>
    <row r="110" spans="1:6" ht="15" customHeight="1" x14ac:dyDescent="0.2">
      <c r="A110" s="147">
        <v>8</v>
      </c>
      <c r="B110" s="169" t="s">
        <v>240</v>
      </c>
      <c r="C110" s="157">
        <v>3131620</v>
      </c>
      <c r="D110" s="157">
        <v>1568370</v>
      </c>
      <c r="E110" s="157">
        <f t="shared" si="4"/>
        <v>-1563250</v>
      </c>
      <c r="F110" s="161">
        <f t="shared" si="5"/>
        <v>-0.49918253172479421</v>
      </c>
    </row>
    <row r="111" spans="1:6" ht="15" customHeight="1" x14ac:dyDescent="0.2">
      <c r="A111" s="147">
        <v>9</v>
      </c>
      <c r="B111" s="169" t="s">
        <v>241</v>
      </c>
      <c r="C111" s="157">
        <v>1740694</v>
      </c>
      <c r="D111" s="157">
        <v>1679992</v>
      </c>
      <c r="E111" s="157">
        <f t="shared" si="4"/>
        <v>-60702</v>
      </c>
      <c r="F111" s="161">
        <f t="shared" si="5"/>
        <v>-3.4872298060428769E-2</v>
      </c>
    </row>
    <row r="112" spans="1:6" ht="15" customHeight="1" x14ac:dyDescent="0.2">
      <c r="A112" s="147">
        <v>10</v>
      </c>
      <c r="B112" s="169" t="s">
        <v>242</v>
      </c>
      <c r="C112" s="157">
        <v>5237627</v>
      </c>
      <c r="D112" s="157">
        <v>4812575</v>
      </c>
      <c r="E112" s="157">
        <f t="shared" si="4"/>
        <v>-425052</v>
      </c>
      <c r="F112" s="161">
        <f t="shared" si="5"/>
        <v>-8.1153545298281074E-2</v>
      </c>
    </row>
    <row r="113" spans="1:6" ht="15" customHeight="1" x14ac:dyDescent="0.2">
      <c r="A113" s="147">
        <v>11</v>
      </c>
      <c r="B113" s="169" t="s">
        <v>243</v>
      </c>
      <c r="C113" s="157">
        <v>5493942</v>
      </c>
      <c r="D113" s="157">
        <v>5440075</v>
      </c>
      <c r="E113" s="157">
        <f t="shared" si="4"/>
        <v>-53867</v>
      </c>
      <c r="F113" s="161">
        <f t="shared" si="5"/>
        <v>-9.8047995410217286E-3</v>
      </c>
    </row>
    <row r="114" spans="1:6" ht="15" customHeight="1" x14ac:dyDescent="0.2">
      <c r="A114" s="147">
        <v>12</v>
      </c>
      <c r="B114" s="169" t="s">
        <v>244</v>
      </c>
      <c r="C114" s="157">
        <v>1389572</v>
      </c>
      <c r="D114" s="157">
        <v>1300583</v>
      </c>
      <c r="E114" s="157">
        <f t="shared" si="4"/>
        <v>-88989</v>
      </c>
      <c r="F114" s="161">
        <f t="shared" si="5"/>
        <v>-6.4040582280011402E-2</v>
      </c>
    </row>
    <row r="115" spans="1:6" ht="15" customHeight="1" x14ac:dyDescent="0.2">
      <c r="A115" s="147">
        <v>13</v>
      </c>
      <c r="B115" s="169" t="s">
        <v>245</v>
      </c>
      <c r="C115" s="157">
        <v>15645742</v>
      </c>
      <c r="D115" s="157">
        <v>15886155</v>
      </c>
      <c r="E115" s="157">
        <f t="shared" si="4"/>
        <v>240413</v>
      </c>
      <c r="F115" s="161">
        <f t="shared" si="5"/>
        <v>1.5366033774556682E-2</v>
      </c>
    </row>
    <row r="116" spans="1:6" ht="15" customHeight="1" x14ac:dyDescent="0.2">
      <c r="A116" s="147">
        <v>14</v>
      </c>
      <c r="B116" s="169" t="s">
        <v>246</v>
      </c>
      <c r="C116" s="157">
        <v>1713411</v>
      </c>
      <c r="D116" s="157">
        <v>1583224</v>
      </c>
      <c r="E116" s="157">
        <f t="shared" si="4"/>
        <v>-130187</v>
      </c>
      <c r="F116" s="161">
        <f t="shared" si="5"/>
        <v>-7.5981186066857276E-2</v>
      </c>
    </row>
    <row r="117" spans="1:6" ht="15" customHeight="1" x14ac:dyDescent="0.2">
      <c r="A117" s="147">
        <v>15</v>
      </c>
      <c r="B117" s="169" t="s">
        <v>203</v>
      </c>
      <c r="C117" s="157">
        <v>1933537</v>
      </c>
      <c r="D117" s="157">
        <v>1671684</v>
      </c>
      <c r="E117" s="157">
        <f t="shared" si="4"/>
        <v>-261853</v>
      </c>
      <c r="F117" s="161">
        <f t="shared" si="5"/>
        <v>-0.13542694036886804</v>
      </c>
    </row>
    <row r="118" spans="1:6" ht="15" customHeight="1" x14ac:dyDescent="0.2">
      <c r="A118" s="147">
        <v>16</v>
      </c>
      <c r="B118" s="169" t="s">
        <v>247</v>
      </c>
      <c r="C118" s="157">
        <v>1925902</v>
      </c>
      <c r="D118" s="157">
        <v>2267744</v>
      </c>
      <c r="E118" s="157">
        <f t="shared" si="4"/>
        <v>341842</v>
      </c>
      <c r="F118" s="161">
        <f t="shared" si="5"/>
        <v>0.17749708967538327</v>
      </c>
    </row>
    <row r="119" spans="1:6" ht="15" customHeight="1" x14ac:dyDescent="0.2">
      <c r="A119" s="147">
        <v>17</v>
      </c>
      <c r="B119" s="169" t="s">
        <v>248</v>
      </c>
      <c r="C119" s="157">
        <v>16568041</v>
      </c>
      <c r="D119" s="157">
        <v>15098237</v>
      </c>
      <c r="E119" s="157">
        <f t="shared" si="4"/>
        <v>-1469804</v>
      </c>
      <c r="F119" s="161">
        <f t="shared" si="5"/>
        <v>-8.8713203932800508E-2</v>
      </c>
    </row>
    <row r="120" spans="1:6" ht="15" customHeight="1" x14ac:dyDescent="0.2">
      <c r="A120" s="147">
        <v>18</v>
      </c>
      <c r="B120" s="169" t="s">
        <v>249</v>
      </c>
      <c r="C120" s="157">
        <v>6237057</v>
      </c>
      <c r="D120" s="157">
        <v>5769137</v>
      </c>
      <c r="E120" s="157">
        <f t="shared" si="4"/>
        <v>-467920</v>
      </c>
      <c r="F120" s="161">
        <f t="shared" si="5"/>
        <v>-7.5022562724695319E-2</v>
      </c>
    </row>
    <row r="121" spans="1:6" ht="15.75" customHeight="1" x14ac:dyDescent="0.25">
      <c r="A121" s="147"/>
      <c r="B121" s="165" t="s">
        <v>250</v>
      </c>
      <c r="C121" s="158">
        <f>SUM(C103:C120)</f>
        <v>164807532</v>
      </c>
      <c r="D121" s="158">
        <f>SUM(D103:D120)</f>
        <v>159862255</v>
      </c>
      <c r="E121" s="158">
        <f t="shared" si="4"/>
        <v>-4945277</v>
      </c>
      <c r="F121" s="159">
        <f t="shared" si="5"/>
        <v>-3.0006377378431953E-2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19472860</v>
      </c>
      <c r="D124" s="157">
        <v>19036460</v>
      </c>
      <c r="E124" s="157">
        <f t="shared" ref="E124:E130" si="6">D124-C124</f>
        <v>-436400</v>
      </c>
      <c r="F124" s="161">
        <f t="shared" ref="F124:F130" si="7">IF(C124=0,0,E124/C124)</f>
        <v>-2.2410678246544163E-2</v>
      </c>
    </row>
    <row r="125" spans="1:6" ht="15" customHeight="1" x14ac:dyDescent="0.2">
      <c r="A125" s="147">
        <v>2</v>
      </c>
      <c r="B125" s="169" t="s">
        <v>253</v>
      </c>
      <c r="C125" s="157">
        <v>6267068</v>
      </c>
      <c r="D125" s="157">
        <v>6543925</v>
      </c>
      <c r="E125" s="157">
        <f t="shared" si="6"/>
        <v>276857</v>
      </c>
      <c r="F125" s="161">
        <f t="shared" si="7"/>
        <v>4.4176479336110602E-2</v>
      </c>
    </row>
    <row r="126" spans="1:6" ht="15" customHeight="1" x14ac:dyDescent="0.2">
      <c r="A126" s="147">
        <v>3</v>
      </c>
      <c r="B126" s="169" t="s">
        <v>254</v>
      </c>
      <c r="C126" s="157">
        <v>2889939</v>
      </c>
      <c r="D126" s="157">
        <v>2507934</v>
      </c>
      <c r="E126" s="157">
        <f t="shared" si="6"/>
        <v>-382005</v>
      </c>
      <c r="F126" s="161">
        <f t="shared" si="7"/>
        <v>-0.13218445095207892</v>
      </c>
    </row>
    <row r="127" spans="1:6" ht="15" customHeight="1" x14ac:dyDescent="0.2">
      <c r="A127" s="147">
        <v>4</v>
      </c>
      <c r="B127" s="169" t="s">
        <v>255</v>
      </c>
      <c r="C127" s="157">
        <v>2864032</v>
      </c>
      <c r="D127" s="157">
        <v>1903840</v>
      </c>
      <c r="E127" s="157">
        <f t="shared" si="6"/>
        <v>-960192</v>
      </c>
      <c r="F127" s="161">
        <f t="shared" si="7"/>
        <v>-0.33525882392375506</v>
      </c>
    </row>
    <row r="128" spans="1:6" ht="15" customHeight="1" x14ac:dyDescent="0.2">
      <c r="A128" s="147">
        <v>5</v>
      </c>
      <c r="B128" s="169" t="s">
        <v>256</v>
      </c>
      <c r="C128" s="157">
        <v>4792555</v>
      </c>
      <c r="D128" s="157">
        <v>4409869</v>
      </c>
      <c r="E128" s="157">
        <f t="shared" si="6"/>
        <v>-382686</v>
      </c>
      <c r="F128" s="161">
        <f t="shared" si="7"/>
        <v>-7.9850100833480264E-2</v>
      </c>
    </row>
    <row r="129" spans="1:6" ht="15" customHeight="1" x14ac:dyDescent="0.2">
      <c r="A129" s="147">
        <v>6</v>
      </c>
      <c r="B129" s="169" t="s">
        <v>257</v>
      </c>
      <c r="C129" s="157">
        <v>9528742</v>
      </c>
      <c r="D129" s="157">
        <v>8876063</v>
      </c>
      <c r="E129" s="157">
        <f t="shared" si="6"/>
        <v>-652679</v>
      </c>
      <c r="F129" s="161">
        <f t="shared" si="7"/>
        <v>-6.849582032969305E-2</v>
      </c>
    </row>
    <row r="130" spans="1:6" ht="15.75" customHeight="1" x14ac:dyDescent="0.25">
      <c r="A130" s="147"/>
      <c r="B130" s="165" t="s">
        <v>258</v>
      </c>
      <c r="C130" s="158">
        <f>SUM(C124:C129)</f>
        <v>45815196</v>
      </c>
      <c r="D130" s="158">
        <f>SUM(D124:D129)</f>
        <v>43278091</v>
      </c>
      <c r="E130" s="158">
        <f t="shared" si="6"/>
        <v>-2537105</v>
      </c>
      <c r="F130" s="159">
        <f t="shared" si="7"/>
        <v>-5.5376932142776385E-2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20283618</v>
      </c>
      <c r="D133" s="157">
        <v>18039765</v>
      </c>
      <c r="E133" s="157">
        <f t="shared" ref="E133:E167" si="8">D133-C133</f>
        <v>-2243853</v>
      </c>
      <c r="F133" s="161">
        <f t="shared" ref="F133:F167" si="9">IF(C133=0,0,E133/C133)</f>
        <v>-0.11062390348704063</v>
      </c>
    </row>
    <row r="134" spans="1:6" ht="15" customHeight="1" x14ac:dyDescent="0.2">
      <c r="A134" s="147">
        <v>2</v>
      </c>
      <c r="B134" s="169" t="s">
        <v>261</v>
      </c>
      <c r="C134" s="157">
        <v>1843386</v>
      </c>
      <c r="D134" s="157">
        <v>1695889</v>
      </c>
      <c r="E134" s="157">
        <f t="shared" si="8"/>
        <v>-147497</v>
      </c>
      <c r="F134" s="161">
        <f t="shared" si="9"/>
        <v>-8.0014169577071761E-2</v>
      </c>
    </row>
    <row r="135" spans="1:6" ht="15" customHeight="1" x14ac:dyDescent="0.2">
      <c r="A135" s="147">
        <v>3</v>
      </c>
      <c r="B135" s="169" t="s">
        <v>262</v>
      </c>
      <c r="C135" s="157">
        <v>1228068</v>
      </c>
      <c r="D135" s="157">
        <v>955156</v>
      </c>
      <c r="E135" s="157">
        <f t="shared" si="8"/>
        <v>-272912</v>
      </c>
      <c r="F135" s="161">
        <f t="shared" si="9"/>
        <v>-0.22222873651947611</v>
      </c>
    </row>
    <row r="136" spans="1:6" ht="15" customHeight="1" x14ac:dyDescent="0.2">
      <c r="A136" s="147">
        <v>4</v>
      </c>
      <c r="B136" s="169" t="s">
        <v>263</v>
      </c>
      <c r="C136" s="157">
        <v>4469857</v>
      </c>
      <c r="D136" s="157">
        <v>4134242</v>
      </c>
      <c r="E136" s="157">
        <f t="shared" si="8"/>
        <v>-335615</v>
      </c>
      <c r="F136" s="161">
        <f t="shared" si="9"/>
        <v>-7.508405749893117E-2</v>
      </c>
    </row>
    <row r="137" spans="1:6" ht="15" customHeight="1" x14ac:dyDescent="0.2">
      <c r="A137" s="147">
        <v>5</v>
      </c>
      <c r="B137" s="169" t="s">
        <v>264</v>
      </c>
      <c r="C137" s="157">
        <v>9515952</v>
      </c>
      <c r="D137" s="157">
        <v>9297370</v>
      </c>
      <c r="E137" s="157">
        <f t="shared" si="8"/>
        <v>-218582</v>
      </c>
      <c r="F137" s="161">
        <f t="shared" si="9"/>
        <v>-2.2970061219308377E-2</v>
      </c>
    </row>
    <row r="138" spans="1:6" ht="15" customHeight="1" x14ac:dyDescent="0.2">
      <c r="A138" s="147">
        <v>6</v>
      </c>
      <c r="B138" s="169" t="s">
        <v>265</v>
      </c>
      <c r="C138" s="157">
        <v>1531690</v>
      </c>
      <c r="D138" s="157">
        <v>1491519</v>
      </c>
      <c r="E138" s="157">
        <f t="shared" si="8"/>
        <v>-40171</v>
      </c>
      <c r="F138" s="161">
        <f t="shared" si="9"/>
        <v>-2.6226586319686097E-2</v>
      </c>
    </row>
    <row r="139" spans="1:6" ht="15" customHeight="1" x14ac:dyDescent="0.2">
      <c r="A139" s="147">
        <v>7</v>
      </c>
      <c r="B139" s="169" t="s">
        <v>266</v>
      </c>
      <c r="C139" s="157">
        <v>2968705</v>
      </c>
      <c r="D139" s="157">
        <v>2659348</v>
      </c>
      <c r="E139" s="157">
        <f t="shared" si="8"/>
        <v>-309357</v>
      </c>
      <c r="F139" s="161">
        <f t="shared" si="9"/>
        <v>-0.10420604270212096</v>
      </c>
    </row>
    <row r="140" spans="1:6" ht="15" customHeight="1" x14ac:dyDescent="0.2">
      <c r="A140" s="147">
        <v>8</v>
      </c>
      <c r="B140" s="169" t="s">
        <v>267</v>
      </c>
      <c r="C140" s="157">
        <v>1470327</v>
      </c>
      <c r="D140" s="157">
        <v>1537062</v>
      </c>
      <c r="E140" s="157">
        <f t="shared" si="8"/>
        <v>66735</v>
      </c>
      <c r="F140" s="161">
        <f t="shared" si="9"/>
        <v>4.5387862699930018E-2</v>
      </c>
    </row>
    <row r="141" spans="1:6" ht="15" customHeight="1" x14ac:dyDescent="0.2">
      <c r="A141" s="147">
        <v>9</v>
      </c>
      <c r="B141" s="169" t="s">
        <v>268</v>
      </c>
      <c r="C141" s="157">
        <v>3505065</v>
      </c>
      <c r="D141" s="157">
        <v>3353299</v>
      </c>
      <c r="E141" s="157">
        <f t="shared" si="8"/>
        <v>-151766</v>
      </c>
      <c r="F141" s="161">
        <f t="shared" si="9"/>
        <v>-4.3299054368463923E-2</v>
      </c>
    </row>
    <row r="142" spans="1:6" ht="15" customHeight="1" x14ac:dyDescent="0.2">
      <c r="A142" s="147">
        <v>10</v>
      </c>
      <c r="B142" s="169" t="s">
        <v>269</v>
      </c>
      <c r="C142" s="157">
        <v>14213116</v>
      </c>
      <c r="D142" s="157">
        <v>14151695</v>
      </c>
      <c r="E142" s="157">
        <f t="shared" si="8"/>
        <v>-61421</v>
      </c>
      <c r="F142" s="161">
        <f t="shared" si="9"/>
        <v>-4.3214309937384598E-3</v>
      </c>
    </row>
    <row r="143" spans="1:6" ht="15" customHeight="1" x14ac:dyDescent="0.2">
      <c r="A143" s="147">
        <v>11</v>
      </c>
      <c r="B143" s="169" t="s">
        <v>270</v>
      </c>
      <c r="C143" s="157">
        <v>2237665</v>
      </c>
      <c r="D143" s="157">
        <v>2112772</v>
      </c>
      <c r="E143" s="157">
        <f t="shared" si="8"/>
        <v>-124893</v>
      </c>
      <c r="F143" s="161">
        <f t="shared" si="9"/>
        <v>-5.5813984667052487E-2</v>
      </c>
    </row>
    <row r="144" spans="1:6" ht="15" customHeight="1" x14ac:dyDescent="0.2">
      <c r="A144" s="147">
        <v>12</v>
      </c>
      <c r="B144" s="169" t="s">
        <v>271</v>
      </c>
      <c r="C144" s="157">
        <v>2017858</v>
      </c>
      <c r="D144" s="157">
        <v>1852418</v>
      </c>
      <c r="E144" s="157">
        <f t="shared" si="8"/>
        <v>-165440</v>
      </c>
      <c r="F144" s="161">
        <f t="shared" si="9"/>
        <v>-8.1987929775038673E-2</v>
      </c>
    </row>
    <row r="145" spans="1:6" ht="15" customHeight="1" x14ac:dyDescent="0.2">
      <c r="A145" s="147">
        <v>13</v>
      </c>
      <c r="B145" s="169" t="s">
        <v>272</v>
      </c>
      <c r="C145" s="157">
        <v>0</v>
      </c>
      <c r="D145" s="157">
        <v>0</v>
      </c>
      <c r="E145" s="157">
        <f t="shared" si="8"/>
        <v>0</v>
      </c>
      <c r="F145" s="161">
        <f t="shared" si="9"/>
        <v>0</v>
      </c>
    </row>
    <row r="146" spans="1:6" ht="15" customHeight="1" x14ac:dyDescent="0.2">
      <c r="A146" s="147">
        <v>14</v>
      </c>
      <c r="B146" s="169" t="s">
        <v>273</v>
      </c>
      <c r="C146" s="157">
        <v>2480879</v>
      </c>
      <c r="D146" s="157">
        <v>2063028</v>
      </c>
      <c r="E146" s="157">
        <f t="shared" si="8"/>
        <v>-417851</v>
      </c>
      <c r="F146" s="161">
        <f t="shared" si="9"/>
        <v>-0.16842860937595103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2796457</v>
      </c>
      <c r="D150" s="157">
        <v>2791427</v>
      </c>
      <c r="E150" s="157">
        <f t="shared" si="8"/>
        <v>-5030</v>
      </c>
      <c r="F150" s="161">
        <f t="shared" si="9"/>
        <v>-1.7987045751105774E-3</v>
      </c>
    </row>
    <row r="151" spans="1:6" ht="15" customHeight="1" x14ac:dyDescent="0.2">
      <c r="A151" s="147">
        <v>19</v>
      </c>
      <c r="B151" s="169" t="s">
        <v>278</v>
      </c>
      <c r="C151" s="157">
        <v>362910</v>
      </c>
      <c r="D151" s="157">
        <v>310784</v>
      </c>
      <c r="E151" s="157">
        <f t="shared" si="8"/>
        <v>-52126</v>
      </c>
      <c r="F151" s="161">
        <f t="shared" si="9"/>
        <v>-0.14363340773194455</v>
      </c>
    </row>
    <row r="152" spans="1:6" ht="15" customHeight="1" x14ac:dyDescent="0.2">
      <c r="A152" s="147">
        <v>20</v>
      </c>
      <c r="B152" s="169" t="s">
        <v>279</v>
      </c>
      <c r="C152" s="157">
        <v>540858</v>
      </c>
      <c r="D152" s="157">
        <v>602800</v>
      </c>
      <c r="E152" s="157">
        <f t="shared" si="8"/>
        <v>61942</v>
      </c>
      <c r="F152" s="161">
        <f t="shared" si="9"/>
        <v>0.11452543920955223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3580515</v>
      </c>
      <c r="D154" s="157">
        <v>3512191</v>
      </c>
      <c r="E154" s="157">
        <f t="shared" si="8"/>
        <v>-68324</v>
      </c>
      <c r="F154" s="161">
        <f t="shared" si="9"/>
        <v>-1.908217114018514E-2</v>
      </c>
    </row>
    <row r="155" spans="1:6" ht="15" customHeight="1" x14ac:dyDescent="0.2">
      <c r="A155" s="147">
        <v>23</v>
      </c>
      <c r="B155" s="169" t="s">
        <v>282</v>
      </c>
      <c r="C155" s="157">
        <v>3003401</v>
      </c>
      <c r="D155" s="157">
        <v>2828751</v>
      </c>
      <c r="E155" s="157">
        <f t="shared" si="8"/>
        <v>-174650</v>
      </c>
      <c r="F155" s="161">
        <f t="shared" si="9"/>
        <v>-5.8150743107563727E-2</v>
      </c>
    </row>
    <row r="156" spans="1:6" ht="15" customHeight="1" x14ac:dyDescent="0.2">
      <c r="A156" s="147">
        <v>24</v>
      </c>
      <c r="B156" s="169" t="s">
        <v>283</v>
      </c>
      <c r="C156" s="157">
        <v>20577817</v>
      </c>
      <c r="D156" s="157">
        <v>19514013</v>
      </c>
      <c r="E156" s="157">
        <f t="shared" si="8"/>
        <v>-1063804</v>
      </c>
      <c r="F156" s="161">
        <f t="shared" si="9"/>
        <v>-5.1696640124654622E-2</v>
      </c>
    </row>
    <row r="157" spans="1:6" ht="15" customHeight="1" x14ac:dyDescent="0.2">
      <c r="A157" s="147">
        <v>25</v>
      </c>
      <c r="B157" s="169" t="s">
        <v>284</v>
      </c>
      <c r="C157" s="157">
        <v>1138696</v>
      </c>
      <c r="D157" s="157">
        <v>973716</v>
      </c>
      <c r="E157" s="157">
        <f t="shared" si="8"/>
        <v>-164980</v>
      </c>
      <c r="F157" s="161">
        <f t="shared" si="9"/>
        <v>-0.14488502638105341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3120804</v>
      </c>
      <c r="D160" s="157">
        <v>3427368</v>
      </c>
      <c r="E160" s="157">
        <f t="shared" si="8"/>
        <v>306564</v>
      </c>
      <c r="F160" s="161">
        <f t="shared" si="9"/>
        <v>9.8232378579366092E-2</v>
      </c>
    </row>
    <row r="161" spans="1:6" ht="15" customHeight="1" x14ac:dyDescent="0.2">
      <c r="A161" s="147">
        <v>29</v>
      </c>
      <c r="B161" s="169" t="s">
        <v>288</v>
      </c>
      <c r="C161" s="157">
        <v>637299</v>
      </c>
      <c r="D161" s="157">
        <v>525923</v>
      </c>
      <c r="E161" s="157">
        <f t="shared" si="8"/>
        <v>-111376</v>
      </c>
      <c r="F161" s="161">
        <f t="shared" si="9"/>
        <v>-0.17476255258520726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4901693</v>
      </c>
      <c r="D163" s="157">
        <v>4326528</v>
      </c>
      <c r="E163" s="157">
        <f t="shared" si="8"/>
        <v>-575165</v>
      </c>
      <c r="F163" s="161">
        <f t="shared" si="9"/>
        <v>-0.11734007005334687</v>
      </c>
    </row>
    <row r="164" spans="1:6" ht="15" customHeight="1" x14ac:dyDescent="0.2">
      <c r="A164" s="147">
        <v>32</v>
      </c>
      <c r="B164" s="169" t="s">
        <v>291</v>
      </c>
      <c r="C164" s="157">
        <v>3661352</v>
      </c>
      <c r="D164" s="157">
        <v>3604985</v>
      </c>
      <c r="E164" s="157">
        <f t="shared" si="8"/>
        <v>-56367</v>
      </c>
      <c r="F164" s="161">
        <f t="shared" si="9"/>
        <v>-1.5395132726927102E-2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2099641</v>
      </c>
      <c r="D166" s="157">
        <v>2366300</v>
      </c>
      <c r="E166" s="157">
        <f t="shared" si="8"/>
        <v>266659</v>
      </c>
      <c r="F166" s="161">
        <f t="shared" si="9"/>
        <v>0.12700218751681835</v>
      </c>
    </row>
    <row r="167" spans="1:6" ht="15.75" customHeight="1" x14ac:dyDescent="0.25">
      <c r="A167" s="147"/>
      <c r="B167" s="165" t="s">
        <v>294</v>
      </c>
      <c r="C167" s="158">
        <f>SUM(C133:C166)</f>
        <v>114187629</v>
      </c>
      <c r="D167" s="158">
        <f>SUM(D133:D166)</f>
        <v>108128349</v>
      </c>
      <c r="E167" s="158">
        <f t="shared" si="8"/>
        <v>-6059280</v>
      </c>
      <c r="F167" s="159">
        <f t="shared" si="9"/>
        <v>-5.3064242186865972E-2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19786081</v>
      </c>
      <c r="D170" s="157">
        <v>18729181</v>
      </c>
      <c r="E170" s="157">
        <f t="shared" ref="E170:E183" si="10">D170-C170</f>
        <v>-1056900</v>
      </c>
      <c r="F170" s="161">
        <f t="shared" ref="F170:F183" si="11">IF(C170=0,0,E170/C170)</f>
        <v>-5.3416338485625325E-2</v>
      </c>
    </row>
    <row r="171" spans="1:6" ht="15" customHeight="1" x14ac:dyDescent="0.2">
      <c r="A171" s="147">
        <v>2</v>
      </c>
      <c r="B171" s="169" t="s">
        <v>297</v>
      </c>
      <c r="C171" s="157">
        <v>7984544</v>
      </c>
      <c r="D171" s="157">
        <v>6980764</v>
      </c>
      <c r="E171" s="157">
        <f t="shared" si="10"/>
        <v>-1003780</v>
      </c>
      <c r="F171" s="161">
        <f t="shared" si="11"/>
        <v>-0.12571538211825245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2158352</v>
      </c>
      <c r="D173" s="157">
        <v>2194589</v>
      </c>
      <c r="E173" s="157">
        <f t="shared" si="10"/>
        <v>36237</v>
      </c>
      <c r="F173" s="161">
        <f t="shared" si="11"/>
        <v>1.6789198425465356E-2</v>
      </c>
    </row>
    <row r="174" spans="1:6" ht="15" customHeight="1" x14ac:dyDescent="0.2">
      <c r="A174" s="147">
        <v>5</v>
      </c>
      <c r="B174" s="169" t="s">
        <v>300</v>
      </c>
      <c r="C174" s="157">
        <v>1224380</v>
      </c>
      <c r="D174" s="157">
        <v>1030395</v>
      </c>
      <c r="E174" s="157">
        <f t="shared" si="10"/>
        <v>-193985</v>
      </c>
      <c r="F174" s="161">
        <f t="shared" si="11"/>
        <v>-0.15843528969764289</v>
      </c>
    </row>
    <row r="175" spans="1:6" ht="15" customHeight="1" x14ac:dyDescent="0.2">
      <c r="A175" s="147">
        <v>6</v>
      </c>
      <c r="B175" s="169" t="s">
        <v>301</v>
      </c>
      <c r="C175" s="157">
        <v>2420322</v>
      </c>
      <c r="D175" s="157">
        <v>2344854</v>
      </c>
      <c r="E175" s="157">
        <f t="shared" si="10"/>
        <v>-75468</v>
      </c>
      <c r="F175" s="161">
        <f t="shared" si="11"/>
        <v>-3.1180975093396665E-2</v>
      </c>
    </row>
    <row r="176" spans="1:6" ht="15" customHeight="1" x14ac:dyDescent="0.2">
      <c r="A176" s="147">
        <v>7</v>
      </c>
      <c r="B176" s="169" t="s">
        <v>302</v>
      </c>
      <c r="C176" s="157">
        <v>844091</v>
      </c>
      <c r="D176" s="157">
        <v>861394</v>
      </c>
      <c r="E176" s="157">
        <f t="shared" si="10"/>
        <v>17303</v>
      </c>
      <c r="F176" s="161">
        <f t="shared" si="11"/>
        <v>2.0498974636620933E-2</v>
      </c>
    </row>
    <row r="177" spans="1:6" ht="15" customHeight="1" x14ac:dyDescent="0.2">
      <c r="A177" s="147">
        <v>8</v>
      </c>
      <c r="B177" s="169" t="s">
        <v>303</v>
      </c>
      <c r="C177" s="157">
        <v>1694894</v>
      </c>
      <c r="D177" s="157">
        <v>1593246</v>
      </c>
      <c r="E177" s="157">
        <f t="shared" si="10"/>
        <v>-101648</v>
      </c>
      <c r="F177" s="161">
        <f t="shared" si="11"/>
        <v>-5.9973072062323662E-2</v>
      </c>
    </row>
    <row r="178" spans="1:6" ht="15" customHeight="1" x14ac:dyDescent="0.2">
      <c r="A178" s="147">
        <v>9</v>
      </c>
      <c r="B178" s="169" t="s">
        <v>304</v>
      </c>
      <c r="C178" s="157">
        <v>2791750</v>
      </c>
      <c r="D178" s="157">
        <v>1740538</v>
      </c>
      <c r="E178" s="157">
        <f t="shared" si="10"/>
        <v>-1051212</v>
      </c>
      <c r="F178" s="161">
        <f t="shared" si="11"/>
        <v>-0.37654231216978595</v>
      </c>
    </row>
    <row r="179" spans="1:6" ht="15" customHeight="1" x14ac:dyDescent="0.2">
      <c r="A179" s="147">
        <v>10</v>
      </c>
      <c r="B179" s="169" t="s">
        <v>305</v>
      </c>
      <c r="C179" s="157">
        <v>5672890</v>
      </c>
      <c r="D179" s="157">
        <v>5375244</v>
      </c>
      <c r="E179" s="157">
        <f t="shared" si="10"/>
        <v>-297646</v>
      </c>
      <c r="F179" s="161">
        <f t="shared" si="11"/>
        <v>-5.2468142340147614E-2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4173915</v>
      </c>
      <c r="D181" s="157">
        <v>3947810</v>
      </c>
      <c r="E181" s="157">
        <f t="shared" si="10"/>
        <v>-226105</v>
      </c>
      <c r="F181" s="161">
        <f t="shared" si="11"/>
        <v>-5.4170964190693865E-2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48751219</v>
      </c>
      <c r="D183" s="158">
        <f>SUM(D170:D182)</f>
        <v>44798015</v>
      </c>
      <c r="E183" s="158">
        <f t="shared" si="10"/>
        <v>-3953204</v>
      </c>
      <c r="F183" s="159">
        <f t="shared" si="11"/>
        <v>-8.1089336453310012E-2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3885631</v>
      </c>
      <c r="D186" s="157">
        <v>3237374</v>
      </c>
      <c r="E186" s="157">
        <f>D186-C186</f>
        <v>-648257</v>
      </c>
      <c r="F186" s="161">
        <f>IF(C186=0,0,E186/C186)</f>
        <v>-0.1668344214877841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377447207</v>
      </c>
      <c r="D188" s="158">
        <f>+D186+D183+D167+D130+D121</f>
        <v>359304084</v>
      </c>
      <c r="E188" s="158">
        <f>D188-C188</f>
        <v>-18143123</v>
      </c>
      <c r="F188" s="159">
        <f>IF(C188=0,0,E188/C188)</f>
        <v>-4.8067975238719939E-2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FILING&amp;RTHE HOSPITAL OF CENTRAL CONNECTICUT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393528986</v>
      </c>
      <c r="D11" s="183">
        <v>371907491</v>
      </c>
      <c r="E11" s="76">
        <v>361711967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15421287</v>
      </c>
      <c r="D12" s="185">
        <v>19118992</v>
      </c>
      <c r="E12" s="185">
        <v>12375913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408950273</v>
      </c>
      <c r="D13" s="76">
        <f>+D11+D12</f>
        <v>391026483</v>
      </c>
      <c r="E13" s="76">
        <f>+E11+E12</f>
        <v>374087880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389521494</v>
      </c>
      <c r="D14" s="185">
        <v>377447207</v>
      </c>
      <c r="E14" s="185">
        <v>359304084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19428779</v>
      </c>
      <c r="D15" s="76">
        <f>+D13-D14</f>
        <v>13579276</v>
      </c>
      <c r="E15" s="76">
        <f>+E13-E14</f>
        <v>14783796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9965362</v>
      </c>
      <c r="D16" s="185">
        <v>11638482</v>
      </c>
      <c r="E16" s="185">
        <v>9562104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29394141</v>
      </c>
      <c r="D17" s="76">
        <f>D15+D16</f>
        <v>25217758</v>
      </c>
      <c r="E17" s="76">
        <f>E15+E16</f>
        <v>24345900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4.637873924185236E-2</v>
      </c>
      <c r="D20" s="189">
        <f>IF(+D27=0,0,+D24/+D27)</f>
        <v>3.3723510064999074E-2</v>
      </c>
      <c r="E20" s="189">
        <f>IF(+E27=0,0,+E24/+E27)</f>
        <v>3.8534593031548256E-2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2.3788469962454373E-2</v>
      </c>
      <c r="D21" s="189">
        <f>IF(D27=0,0,+D26/D27)</f>
        <v>2.8903637047240999E-2</v>
      </c>
      <c r="E21" s="189">
        <f>IF(E27=0,0,+E26/E27)</f>
        <v>2.4924030754032302E-2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7.0167209204306732E-2</v>
      </c>
      <c r="D22" s="189">
        <f>IF(D27=0,0,+D28/D27)</f>
        <v>6.2627147112240072E-2</v>
      </c>
      <c r="E22" s="189">
        <f>IF(E27=0,0,+E28/E27)</f>
        <v>6.3458623785580551E-2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19428779</v>
      </c>
      <c r="D24" s="76">
        <f>+D15</f>
        <v>13579276</v>
      </c>
      <c r="E24" s="76">
        <f>+E15</f>
        <v>14783796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408950273</v>
      </c>
      <c r="D25" s="76">
        <f>+D13</f>
        <v>391026483</v>
      </c>
      <c r="E25" s="76">
        <f>+E13</f>
        <v>374087880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9965362</v>
      </c>
      <c r="D26" s="76">
        <f>+D16</f>
        <v>11638482</v>
      </c>
      <c r="E26" s="76">
        <f>+E16</f>
        <v>9562104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418915635</v>
      </c>
      <c r="D27" s="76">
        <f>+D25+D26</f>
        <v>402664965</v>
      </c>
      <c r="E27" s="76">
        <f>+E25+E26</f>
        <v>383649984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29394141</v>
      </c>
      <c r="D28" s="76">
        <f>+D17</f>
        <v>25217758</v>
      </c>
      <c r="E28" s="76">
        <f>+E17</f>
        <v>24345900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93203114</v>
      </c>
      <c r="D31" s="76">
        <v>194567882</v>
      </c>
      <c r="E31" s="76">
        <v>178222407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135010987</v>
      </c>
      <c r="D32" s="76">
        <v>241711563</v>
      </c>
      <c r="E32" s="76">
        <v>228115282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-30432125</v>
      </c>
      <c r="D33" s="76">
        <f>+D32-C32</f>
        <v>106700576</v>
      </c>
      <c r="E33" s="76">
        <f>+E32-D32</f>
        <v>-13596281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0.81599999999999995</v>
      </c>
      <c r="D34" s="193">
        <f>IF(C32=0,0,+D33/C32)</f>
        <v>0.79031031748549474</v>
      </c>
      <c r="E34" s="193">
        <f>IF(D32=0,0,+E33/D32)</f>
        <v>-5.6250023090537872E-2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0.43822457320738761</v>
      </c>
      <c r="D38" s="195">
        <f>IF((D40+D41)=0,0,+D39/(D40+D41))</f>
        <v>0.41218039593722644</v>
      </c>
      <c r="E38" s="195">
        <f>IF((E40+E41)=0,0,+E39/(E40+E41))</f>
        <v>0.40965101230461021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389521494</v>
      </c>
      <c r="D39" s="76">
        <v>377447207</v>
      </c>
      <c r="E39" s="196">
        <v>359304084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860748119</v>
      </c>
      <c r="D40" s="76">
        <v>883915401</v>
      </c>
      <c r="E40" s="196">
        <v>854431479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28114619</v>
      </c>
      <c r="D41" s="76">
        <v>31817639</v>
      </c>
      <c r="E41" s="196">
        <v>22666522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1.4258632386479215</v>
      </c>
      <c r="D43" s="197">
        <f>IF(D38=0,0,IF((D46-D47)=0,0,((+D44-D45)/(D46-D47)/D38)))</f>
        <v>1.512132936787896</v>
      </c>
      <c r="E43" s="197">
        <f>IF(E38=0,0,IF((E46-E47)=0,0,((+E44-E45)/(E46-E47)/E38)))</f>
        <v>1.501160289521152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168114296</v>
      </c>
      <c r="D44" s="76">
        <v>160605595</v>
      </c>
      <c r="E44" s="196">
        <v>154898850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4546615</v>
      </c>
      <c r="D45" s="76">
        <v>1278286</v>
      </c>
      <c r="E45" s="196">
        <v>670153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284837307</v>
      </c>
      <c r="D46" s="76">
        <v>275411417</v>
      </c>
      <c r="E46" s="196">
        <v>267608153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23065484</v>
      </c>
      <c r="D47" s="76">
        <v>19780772</v>
      </c>
      <c r="E47" s="76">
        <v>16810141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0.83107884922746367</v>
      </c>
      <c r="D49" s="198">
        <f>IF(D38=0,0,IF(D51=0,0,(D50/D51)/D38))</f>
        <v>0.84985448423829035</v>
      </c>
      <c r="E49" s="198">
        <f>IF(E38=0,0,IF(E51=0,0,(E50/E51)/E38))</f>
        <v>0.87769839534592131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140674134</v>
      </c>
      <c r="D50" s="199">
        <v>140693224</v>
      </c>
      <c r="E50" s="199">
        <v>135788572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386256049</v>
      </c>
      <c r="D51" s="199">
        <v>401643996</v>
      </c>
      <c r="E51" s="199">
        <v>377662518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0.67819279485166661</v>
      </c>
      <c r="D53" s="198">
        <f>IF(D38=0,0,IF(D55=0,0,(D54/D55)/D38))</f>
        <v>0.69884951971712028</v>
      </c>
      <c r="E53" s="198">
        <f>IF(E38=0,0,IF(E55=0,0,(E54/E55)/E38))</f>
        <v>0.73559500778812437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55954658</v>
      </c>
      <c r="D54" s="199">
        <v>59259456</v>
      </c>
      <c r="E54" s="199">
        <v>62741144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188272265</v>
      </c>
      <c r="D55" s="199">
        <v>205724804</v>
      </c>
      <c r="E55" s="199">
        <v>208209062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10554538.492272666</v>
      </c>
      <c r="D57" s="88">
        <f>+D60*D38</f>
        <v>10738539.97715652</v>
      </c>
      <c r="E57" s="88">
        <f>+E60*E38</f>
        <v>9305275.1798287965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6791581</v>
      </c>
      <c r="D58" s="199">
        <v>16310702</v>
      </c>
      <c r="E58" s="199">
        <v>17256889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17293190</v>
      </c>
      <c r="D59" s="199">
        <v>9742308</v>
      </c>
      <c r="E59" s="199">
        <v>5458239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24084771</v>
      </c>
      <c r="D60" s="76">
        <v>26053010</v>
      </c>
      <c r="E60" s="201">
        <v>22715128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2.7096164537386648E-2</v>
      </c>
      <c r="D62" s="202">
        <f>IF(D63=0,0,+D57/D63)</f>
        <v>2.8450442281737483E-2</v>
      </c>
      <c r="E62" s="202">
        <f>IF(E63=0,0,+E57/E63)</f>
        <v>2.5898050131344448E-2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389521494</v>
      </c>
      <c r="D63" s="199">
        <v>377447207</v>
      </c>
      <c r="E63" s="199">
        <v>359304084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1.1913256909562158</v>
      </c>
      <c r="D67" s="203">
        <f>IF(D69=0,0,D68/D69)</f>
        <v>1.3865851007724985</v>
      </c>
      <c r="E67" s="203">
        <f>IF(E69=0,0,E68/E69)</f>
        <v>2.2767905874472731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92118717</v>
      </c>
      <c r="D68" s="204">
        <v>90990310</v>
      </c>
      <c r="E68" s="204">
        <v>122041968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77324545</v>
      </c>
      <c r="D69" s="204">
        <v>65621872</v>
      </c>
      <c r="E69" s="204">
        <v>53602632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26.774670031563684</v>
      </c>
      <c r="D71" s="203">
        <f>IF((D77/365)=0,0,+D74/(D77/365))</f>
        <v>24.195073675801421</v>
      </c>
      <c r="E71" s="203">
        <f>IF((E77/365)=0,0,+E74/(E77/365))</f>
        <v>53.983193966153543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27153802</v>
      </c>
      <c r="D72" s="183">
        <v>23728929</v>
      </c>
      <c r="E72" s="183">
        <v>50445261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27153802</v>
      </c>
      <c r="D74" s="204">
        <f>+D72+D73</f>
        <v>23728929</v>
      </c>
      <c r="E74" s="204">
        <f>+E72+E73</f>
        <v>50445261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389521494</v>
      </c>
      <c r="D75" s="204">
        <f>+D14</f>
        <v>377447207</v>
      </c>
      <c r="E75" s="204">
        <f>+E14</f>
        <v>359304084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19353058</v>
      </c>
      <c r="D76" s="204">
        <v>19479333</v>
      </c>
      <c r="E76" s="204">
        <v>18225335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370168436</v>
      </c>
      <c r="D77" s="204">
        <f>+D75-D76</f>
        <v>357967874</v>
      </c>
      <c r="E77" s="204">
        <f>+E75-E76</f>
        <v>341078749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27.051787831964173</v>
      </c>
      <c r="D79" s="203">
        <f>IF((D84/365)=0,0,+D83/(D84/365))</f>
        <v>32.679126527731057</v>
      </c>
      <c r="E79" s="203">
        <f>IF((E84/365)=0,0,+E83/(E84/365))</f>
        <v>21.292734544776618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48473300</v>
      </c>
      <c r="D80" s="212">
        <v>45274226</v>
      </c>
      <c r="E80" s="212">
        <v>40490596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19307101</v>
      </c>
      <c r="D82" s="212">
        <v>11976659</v>
      </c>
      <c r="E82" s="212">
        <v>19389673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29166199</v>
      </c>
      <c r="D83" s="212">
        <f>+D80+D81-D82</f>
        <v>33297567</v>
      </c>
      <c r="E83" s="212">
        <f>+E80+E81-E82</f>
        <v>21100923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393528986</v>
      </c>
      <c r="D84" s="204">
        <f>+D11</f>
        <v>371907491</v>
      </c>
      <c r="E84" s="204">
        <f>+E11</f>
        <v>361711967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76.24490956057636</v>
      </c>
      <c r="D86" s="203">
        <f>IF((D90/365)=0,0,+D87/(D90/365))</f>
        <v>66.910985648952405</v>
      </c>
      <c r="E86" s="203">
        <f>IF((E90/365)=0,0,+E87/(E90/365))</f>
        <v>57.362004338769282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77324545</v>
      </c>
      <c r="D87" s="76">
        <f>+D69</f>
        <v>65621872</v>
      </c>
      <c r="E87" s="76">
        <f>+E69</f>
        <v>53602632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389521494</v>
      </c>
      <c r="D88" s="76">
        <f t="shared" si="0"/>
        <v>377447207</v>
      </c>
      <c r="E88" s="76">
        <f t="shared" si="0"/>
        <v>359304084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19353058</v>
      </c>
      <c r="D89" s="201">
        <f t="shared" si="0"/>
        <v>19479333</v>
      </c>
      <c r="E89" s="201">
        <f t="shared" si="0"/>
        <v>18225335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370168436</v>
      </c>
      <c r="D90" s="76">
        <f>+D88-D89</f>
        <v>357967874</v>
      </c>
      <c r="E90" s="76">
        <f>+E88-E89</f>
        <v>341078749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33.767573331679543</v>
      </c>
      <c r="D94" s="214">
        <f>IF(D96=0,0,(D95/D96)*100)</f>
        <v>56.083668050036309</v>
      </c>
      <c r="E94" s="214">
        <f>IF(E96=0,0,(E95/E96)*100)</f>
        <v>45.508775400337527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135010987</v>
      </c>
      <c r="D95" s="76">
        <f>+D32</f>
        <v>241711563</v>
      </c>
      <c r="E95" s="76">
        <f>+E32</f>
        <v>228115282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399824369</v>
      </c>
      <c r="D96" s="76">
        <v>430983870</v>
      </c>
      <c r="E96" s="76">
        <v>501255593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61.94660427071593</v>
      </c>
      <c r="D98" s="214">
        <f>IF(D104=0,0,(D101/D104)*100)</f>
        <v>67.441990718985807</v>
      </c>
      <c r="E98" s="214">
        <f>IF(E104=0,0,(E101/E104)*100)</f>
        <v>79.264145828391491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29394141</v>
      </c>
      <c r="D99" s="76">
        <f>+D28</f>
        <v>25217758</v>
      </c>
      <c r="E99" s="76">
        <f>+E28</f>
        <v>24345900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19353058</v>
      </c>
      <c r="D100" s="201">
        <f>+D76</f>
        <v>19479333</v>
      </c>
      <c r="E100" s="201">
        <f>+E76</f>
        <v>18225335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48747199</v>
      </c>
      <c r="D101" s="76">
        <f>+D99+D100</f>
        <v>44697091</v>
      </c>
      <c r="E101" s="76">
        <f>+E99+E100</f>
        <v>42571235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77324545</v>
      </c>
      <c r="D102" s="204">
        <f>+D69</f>
        <v>65621872</v>
      </c>
      <c r="E102" s="204">
        <f>+E69</f>
        <v>53602632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1367741</v>
      </c>
      <c r="D103" s="216">
        <v>652997</v>
      </c>
      <c r="E103" s="216">
        <v>105428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78692286</v>
      </c>
      <c r="D104" s="204">
        <f>+D102+D103</f>
        <v>66274869</v>
      </c>
      <c r="E104" s="204">
        <f>+E102+E103</f>
        <v>53708060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1.0028990738203689</v>
      </c>
      <c r="D106" s="214">
        <f>IF(D109=0,0,(D107/D109)*100)</f>
        <v>0.2694275928790909</v>
      </c>
      <c r="E106" s="214">
        <f>IF(E109=0,0,(E107/E109)*100)</f>
        <v>4.6195632289462246E-2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1367741</v>
      </c>
      <c r="D107" s="204">
        <f>+D103</f>
        <v>652997</v>
      </c>
      <c r="E107" s="204">
        <f>+E103</f>
        <v>105428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135010987</v>
      </c>
      <c r="D108" s="204">
        <f>+D32</f>
        <v>241711563</v>
      </c>
      <c r="E108" s="204">
        <f>+E32</f>
        <v>228115282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136378728</v>
      </c>
      <c r="D109" s="204">
        <f>+D107+D108</f>
        <v>242364560</v>
      </c>
      <c r="E109" s="204">
        <f>+E107+E108</f>
        <v>228220710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10.783066360485439</v>
      </c>
      <c r="D111" s="214">
        <f>IF((+D113+D115)=0,0,((+D112+D113+D114)/(+D113+D115)))</f>
        <v>12.404667421232473</v>
      </c>
      <c r="E111" s="214">
        <f>IF((+E113+E115)=0,0,((+E112+E113+E114)/(+E113+E115)))</f>
        <v>11.738522971136044</v>
      </c>
    </row>
    <row r="112" spans="1:6" ht="24" customHeight="1" x14ac:dyDescent="0.2">
      <c r="A112" s="85">
        <v>16</v>
      </c>
      <c r="B112" s="75" t="s">
        <v>373</v>
      </c>
      <c r="C112" s="218">
        <f>+C17</f>
        <v>29394141</v>
      </c>
      <c r="D112" s="76">
        <f>+D17</f>
        <v>25217758</v>
      </c>
      <c r="E112" s="76">
        <f>+E17</f>
        <v>24345900</v>
      </c>
    </row>
    <row r="113" spans="1:8" ht="24" customHeight="1" x14ac:dyDescent="0.2">
      <c r="A113" s="85">
        <v>17</v>
      </c>
      <c r="B113" s="75" t="s">
        <v>88</v>
      </c>
      <c r="C113" s="218">
        <v>1957216</v>
      </c>
      <c r="D113" s="76">
        <v>1563598</v>
      </c>
      <c r="E113" s="76">
        <v>1418199</v>
      </c>
    </row>
    <row r="114" spans="1:8" ht="24" customHeight="1" x14ac:dyDescent="0.2">
      <c r="A114" s="85">
        <v>18</v>
      </c>
      <c r="B114" s="75" t="s">
        <v>374</v>
      </c>
      <c r="C114" s="218">
        <v>19353058</v>
      </c>
      <c r="D114" s="76">
        <v>19479333</v>
      </c>
      <c r="E114" s="76">
        <v>18225335</v>
      </c>
    </row>
    <row r="115" spans="1:8" ht="24" customHeight="1" x14ac:dyDescent="0.2">
      <c r="A115" s="85">
        <v>19</v>
      </c>
      <c r="B115" s="75" t="s">
        <v>104</v>
      </c>
      <c r="C115" s="218">
        <v>2745010</v>
      </c>
      <c r="D115" s="76">
        <v>2165699</v>
      </c>
      <c r="E115" s="76">
        <v>2329243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14.190666818649538</v>
      </c>
      <c r="D119" s="214">
        <f>IF(+D121=0,0,(+D120)/(+D121))</f>
        <v>11.852035488073437</v>
      </c>
      <c r="E119" s="214">
        <f>IF(+E121=0,0,(+E120)/(+E121))</f>
        <v>13.609695404775824</v>
      </c>
    </row>
    <row r="120" spans="1:8" ht="24" customHeight="1" x14ac:dyDescent="0.2">
      <c r="A120" s="85">
        <v>21</v>
      </c>
      <c r="B120" s="75" t="s">
        <v>378</v>
      </c>
      <c r="C120" s="218">
        <v>274632798</v>
      </c>
      <c r="D120" s="218">
        <v>230869746</v>
      </c>
      <c r="E120" s="218">
        <v>248041258</v>
      </c>
    </row>
    <row r="121" spans="1:8" ht="24" customHeight="1" x14ac:dyDescent="0.2">
      <c r="A121" s="85">
        <v>22</v>
      </c>
      <c r="B121" s="75" t="s">
        <v>374</v>
      </c>
      <c r="C121" s="218">
        <v>19353058</v>
      </c>
      <c r="D121" s="218">
        <v>19479333</v>
      </c>
      <c r="E121" s="218">
        <v>18225335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76771</v>
      </c>
      <c r="D124" s="218">
        <v>75467</v>
      </c>
      <c r="E124" s="218">
        <v>69265</v>
      </c>
    </row>
    <row r="125" spans="1:8" ht="24" customHeight="1" x14ac:dyDescent="0.2">
      <c r="A125" s="85">
        <v>2</v>
      </c>
      <c r="B125" s="75" t="s">
        <v>381</v>
      </c>
      <c r="C125" s="218">
        <v>18252</v>
      </c>
      <c r="D125" s="218">
        <v>17907</v>
      </c>
      <c r="E125" s="218">
        <v>15640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4.2061691869384177</v>
      </c>
      <c r="D126" s="219">
        <f>IF(D125=0,0,D124/D125)</f>
        <v>4.2143854358630701</v>
      </c>
      <c r="E126" s="219">
        <f>IF(E125=0,0,E124/E125)</f>
        <v>4.4287084398976981</v>
      </c>
    </row>
    <row r="127" spans="1:8" ht="24" customHeight="1" x14ac:dyDescent="0.2">
      <c r="A127" s="85">
        <v>4</v>
      </c>
      <c r="B127" s="75" t="s">
        <v>383</v>
      </c>
      <c r="C127" s="218">
        <v>356</v>
      </c>
      <c r="D127" s="218">
        <v>304</v>
      </c>
      <c r="E127" s="218">
        <v>305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373</v>
      </c>
      <c r="E128" s="218">
        <v>319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383</v>
      </c>
      <c r="D129" s="218">
        <v>446</v>
      </c>
      <c r="E129" s="218">
        <v>446</v>
      </c>
    </row>
    <row r="130" spans="1:7" ht="24" customHeight="1" x14ac:dyDescent="0.2">
      <c r="A130" s="85">
        <v>7</v>
      </c>
      <c r="B130" s="75" t="s">
        <v>386</v>
      </c>
      <c r="C130" s="193">
        <v>0.59079999999999999</v>
      </c>
      <c r="D130" s="193">
        <v>0.68010000000000004</v>
      </c>
      <c r="E130" s="193">
        <v>0.62209999999999999</v>
      </c>
    </row>
    <row r="131" spans="1:7" ht="24" customHeight="1" x14ac:dyDescent="0.2">
      <c r="A131" s="85">
        <v>8</v>
      </c>
      <c r="B131" s="75" t="s">
        <v>387</v>
      </c>
      <c r="C131" s="193">
        <v>0.54910000000000003</v>
      </c>
      <c r="D131" s="193">
        <v>0.55430000000000001</v>
      </c>
      <c r="E131" s="193">
        <v>0.5948</v>
      </c>
    </row>
    <row r="132" spans="1:7" ht="24" customHeight="1" x14ac:dyDescent="0.2">
      <c r="A132" s="85">
        <v>9</v>
      </c>
      <c r="B132" s="75" t="s">
        <v>388</v>
      </c>
      <c r="C132" s="219">
        <v>2299.5</v>
      </c>
      <c r="D132" s="219">
        <v>2272.9</v>
      </c>
      <c r="E132" s="219">
        <v>2001.7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0.30412128382472831</v>
      </c>
      <c r="D135" s="227">
        <f>IF(D149=0,0,D143/D149)</f>
        <v>0.2892026145384472</v>
      </c>
      <c r="E135" s="227">
        <f>IF(E149=0,0,E143/E149)</f>
        <v>0.29352618456137197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0.44874457518274286</v>
      </c>
      <c r="D136" s="227">
        <f>IF(D149=0,0,D144/D149)</f>
        <v>0.45439189717206885</v>
      </c>
      <c r="E136" s="227">
        <f>IF(E149=0,0,E144/E149)</f>
        <v>0.44200445241320513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0.21873096303565667</v>
      </c>
      <c r="D137" s="227">
        <f>IF(D149=0,0,D145/D149)</f>
        <v>0.23274264003914555</v>
      </c>
      <c r="E137" s="227">
        <f>IF(E149=0,0,E145/E149)</f>
        <v>0.24368140350315909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2.6797019349629272E-2</v>
      </c>
      <c r="D139" s="227">
        <f>IF(D149=0,0,D147/D149)</f>
        <v>2.2378580549248739E-2</v>
      </c>
      <c r="E139" s="227">
        <f>IF(E149=0,0,E147/E149)</f>
        <v>1.9674065636806903E-2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1.6061586072429162E-3</v>
      </c>
      <c r="D140" s="227">
        <f>IF(D149=0,0,D148/D149)</f>
        <v>1.2842677010896431E-3</v>
      </c>
      <c r="E140" s="227">
        <f>IF(E149=0,0,E148/E149)</f>
        <v>1.113893885456905E-3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261771823</v>
      </c>
      <c r="D143" s="229">
        <f>+D46-D147</f>
        <v>255630645</v>
      </c>
      <c r="E143" s="229">
        <f>+E46-E147</f>
        <v>250798012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386256049</v>
      </c>
      <c r="D144" s="229">
        <f>+D51</f>
        <v>401643996</v>
      </c>
      <c r="E144" s="229">
        <f>+E51</f>
        <v>377662518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188272265</v>
      </c>
      <c r="D145" s="229">
        <f>+D55</f>
        <v>205724804</v>
      </c>
      <c r="E145" s="229">
        <f>+E55</f>
        <v>208209062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23065484</v>
      </c>
      <c r="D147" s="229">
        <f>+D47</f>
        <v>19780772</v>
      </c>
      <c r="E147" s="229">
        <f>+E47</f>
        <v>16810141</v>
      </c>
    </row>
    <row r="148" spans="1:7" ht="20.100000000000001" customHeight="1" x14ac:dyDescent="0.2">
      <c r="A148" s="226">
        <v>13</v>
      </c>
      <c r="B148" s="224" t="s">
        <v>402</v>
      </c>
      <c r="C148" s="230">
        <v>1382498</v>
      </c>
      <c r="D148" s="229">
        <v>1135184</v>
      </c>
      <c r="E148" s="229">
        <v>951746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860748119</v>
      </c>
      <c r="D149" s="229">
        <f>SUM(D143:D148)</f>
        <v>883915401</v>
      </c>
      <c r="E149" s="229">
        <f>SUM(E143:E148)</f>
        <v>854431479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0.44781460581527582</v>
      </c>
      <c r="D152" s="227">
        <f>IF(D166=0,0,D160/D166)</f>
        <v>0.4414304187422381</v>
      </c>
      <c r="E152" s="227">
        <f>IF(E166=0,0,E160/E166)</f>
        <v>0.43618932016312334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0.38513679157446323</v>
      </c>
      <c r="D153" s="227">
        <f>IF(D166=0,0,D161/D166)</f>
        <v>0.38980303611677458</v>
      </c>
      <c r="E153" s="227">
        <f>IF(E166=0,0,E161/E166)</f>
        <v>0.38403699219867832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0.15319232358499091</v>
      </c>
      <c r="D154" s="227">
        <f>IF(D166=0,0,D162/D166)</f>
        <v>0.16418357054230567</v>
      </c>
      <c r="E154" s="227">
        <f>IF(E166=0,0,E162/E166)</f>
        <v>0.17744438927352557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1.2447694994335833E-2</v>
      </c>
      <c r="D156" s="227">
        <f>IF(D166=0,0,D164/D166)</f>
        <v>3.5416045610381867E-3</v>
      </c>
      <c r="E156" s="227">
        <f>IF(E166=0,0,E164/E166)</f>
        <v>1.8953254949387118E-3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1.4085840309341804E-3</v>
      </c>
      <c r="D157" s="227">
        <f>IF(D166=0,0,D165/D166)</f>
        <v>1.0413700376435157E-3</v>
      </c>
      <c r="E157" s="227">
        <f>IF(E166=0,0,E165/E166)</f>
        <v>4.3397286973403178E-4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163567681</v>
      </c>
      <c r="D160" s="229">
        <f>+D44-D164</f>
        <v>159327309</v>
      </c>
      <c r="E160" s="229">
        <f>+E44-E164</f>
        <v>154228697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140674134</v>
      </c>
      <c r="D161" s="229">
        <f>+D50</f>
        <v>140693224</v>
      </c>
      <c r="E161" s="229">
        <f>+E50</f>
        <v>135788572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55954658</v>
      </c>
      <c r="D162" s="229">
        <f>+D54</f>
        <v>59259456</v>
      </c>
      <c r="E162" s="229">
        <f>+E54</f>
        <v>62741144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4546615</v>
      </c>
      <c r="D164" s="229">
        <f>+D45</f>
        <v>1278286</v>
      </c>
      <c r="E164" s="229">
        <f>+E45</f>
        <v>670153</v>
      </c>
    </row>
    <row r="165" spans="1:6" ht="20.100000000000001" customHeight="1" x14ac:dyDescent="0.2">
      <c r="A165" s="226">
        <v>13</v>
      </c>
      <c r="B165" s="224" t="s">
        <v>417</v>
      </c>
      <c r="C165" s="230">
        <v>514496</v>
      </c>
      <c r="D165" s="229">
        <v>375866</v>
      </c>
      <c r="E165" s="229">
        <v>153445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365257584</v>
      </c>
      <c r="D166" s="229">
        <f>SUM(D160:D165)</f>
        <v>360934141</v>
      </c>
      <c r="E166" s="229">
        <f>SUM(E160:E165)</f>
        <v>353582011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5345</v>
      </c>
      <c r="D169" s="218">
        <v>4756</v>
      </c>
      <c r="E169" s="218">
        <v>4371</v>
      </c>
    </row>
    <row r="170" spans="1:6" ht="20.100000000000001" customHeight="1" x14ac:dyDescent="0.2">
      <c r="A170" s="226">
        <v>2</v>
      </c>
      <c r="B170" s="224" t="s">
        <v>420</v>
      </c>
      <c r="C170" s="218">
        <v>8524</v>
      </c>
      <c r="D170" s="218">
        <v>8464</v>
      </c>
      <c r="E170" s="218">
        <v>7089</v>
      </c>
    </row>
    <row r="171" spans="1:6" ht="20.100000000000001" customHeight="1" x14ac:dyDescent="0.2">
      <c r="A171" s="226">
        <v>3</v>
      </c>
      <c r="B171" s="224" t="s">
        <v>421</v>
      </c>
      <c r="C171" s="218">
        <v>4352</v>
      </c>
      <c r="D171" s="218">
        <v>4668</v>
      </c>
      <c r="E171" s="218">
        <v>4161</v>
      </c>
    </row>
    <row r="172" spans="1:6" ht="20.100000000000001" customHeight="1" x14ac:dyDescent="0.2">
      <c r="A172" s="226">
        <v>4</v>
      </c>
      <c r="B172" s="224" t="s">
        <v>422</v>
      </c>
      <c r="C172" s="218">
        <v>4352</v>
      </c>
      <c r="D172" s="218">
        <v>4668</v>
      </c>
      <c r="E172" s="218">
        <v>4161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31</v>
      </c>
      <c r="D174" s="218">
        <v>19</v>
      </c>
      <c r="E174" s="218">
        <v>19</v>
      </c>
    </row>
    <row r="175" spans="1:6" ht="20.100000000000001" customHeight="1" x14ac:dyDescent="0.2">
      <c r="A175" s="226">
        <v>7</v>
      </c>
      <c r="B175" s="224" t="s">
        <v>425</v>
      </c>
      <c r="C175" s="218">
        <v>200</v>
      </c>
      <c r="D175" s="218">
        <v>206</v>
      </c>
      <c r="E175" s="218">
        <v>224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18252</v>
      </c>
      <c r="D176" s="218">
        <f>+D169+D170+D171+D174</f>
        <v>17907</v>
      </c>
      <c r="E176" s="218">
        <f>+E169+E170+E171+E174</f>
        <v>15640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1.0782</v>
      </c>
      <c r="D179" s="231">
        <v>1.1322000000000001</v>
      </c>
      <c r="E179" s="231">
        <v>1.1756</v>
      </c>
    </row>
    <row r="180" spans="1:6" ht="20.100000000000001" customHeight="1" x14ac:dyDescent="0.2">
      <c r="A180" s="226">
        <v>2</v>
      </c>
      <c r="B180" s="224" t="s">
        <v>420</v>
      </c>
      <c r="C180" s="231">
        <v>1.3797999999999999</v>
      </c>
      <c r="D180" s="231">
        <v>1.4821200000000001</v>
      </c>
      <c r="E180" s="231">
        <v>1.5435000000000001</v>
      </c>
    </row>
    <row r="181" spans="1:6" ht="20.100000000000001" customHeight="1" x14ac:dyDescent="0.2">
      <c r="A181" s="226">
        <v>3</v>
      </c>
      <c r="B181" s="224" t="s">
        <v>421</v>
      </c>
      <c r="C181" s="231">
        <v>0.99860000000000004</v>
      </c>
      <c r="D181" s="231">
        <v>1.00952</v>
      </c>
      <c r="E181" s="231">
        <v>1.0504</v>
      </c>
    </row>
    <row r="182" spans="1:6" ht="20.100000000000001" customHeight="1" x14ac:dyDescent="0.2">
      <c r="A182" s="226">
        <v>4</v>
      </c>
      <c r="B182" s="224" t="s">
        <v>422</v>
      </c>
      <c r="C182" s="231">
        <v>0.99860000000000004</v>
      </c>
      <c r="D182" s="231">
        <v>1.00952</v>
      </c>
      <c r="E182" s="231">
        <v>1.0504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1.1358999999999999</v>
      </c>
      <c r="D184" s="231">
        <v>1.35307</v>
      </c>
      <c r="E184" s="231">
        <v>1.0747</v>
      </c>
    </row>
    <row r="185" spans="1:6" ht="20.100000000000001" customHeight="1" x14ac:dyDescent="0.2">
      <c r="A185" s="226">
        <v>7</v>
      </c>
      <c r="B185" s="224" t="s">
        <v>425</v>
      </c>
      <c r="C185" s="231">
        <v>0.99860000000000004</v>
      </c>
      <c r="D185" s="231">
        <v>1.0947100000000001</v>
      </c>
      <c r="E185" s="231">
        <v>1.1022000000000001</v>
      </c>
    </row>
    <row r="186" spans="1:6" ht="20.100000000000001" customHeight="1" x14ac:dyDescent="0.2">
      <c r="A186" s="226">
        <v>8</v>
      </c>
      <c r="B186" s="224" t="s">
        <v>429</v>
      </c>
      <c r="C186" s="231">
        <v>1.20017</v>
      </c>
      <c r="D186" s="231">
        <v>1.2658480000000001</v>
      </c>
      <c r="E186" s="231">
        <v>1.3089219999999999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14064</v>
      </c>
      <c r="D189" s="218">
        <v>14470</v>
      </c>
      <c r="E189" s="218">
        <v>14007</v>
      </c>
    </row>
    <row r="190" spans="1:6" ht="20.100000000000001" customHeight="1" x14ac:dyDescent="0.2">
      <c r="A190" s="226">
        <v>2</v>
      </c>
      <c r="B190" s="224" t="s">
        <v>433</v>
      </c>
      <c r="C190" s="218">
        <v>96434</v>
      </c>
      <c r="D190" s="218">
        <v>92594</v>
      </c>
      <c r="E190" s="218">
        <v>91297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110498</v>
      </c>
      <c r="D191" s="218">
        <f>+D190+D189</f>
        <v>107064</v>
      </c>
      <c r="E191" s="218">
        <f>+E190+E189</f>
        <v>105304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FILING&amp;RTHE HOSPITAL OF CENTRAL CONNECTICUT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2</v>
      </c>
      <c r="B4" s="797"/>
      <c r="C4" s="797"/>
      <c r="D4" s="797"/>
      <c r="E4" s="797"/>
      <c r="F4" s="797"/>
    </row>
    <row r="5" spans="1:7" ht="20.25" customHeight="1" x14ac:dyDescent="0.3">
      <c r="A5" s="797" t="s">
        <v>435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98"/>
      <c r="D9" s="799"/>
      <c r="E9" s="799"/>
      <c r="F9" s="800"/>
      <c r="G9" s="245"/>
    </row>
    <row r="10" spans="1:7" ht="20.25" customHeight="1" x14ac:dyDescent="0.3">
      <c r="A10" s="801" t="s">
        <v>12</v>
      </c>
      <c r="B10" s="802" t="s">
        <v>114</v>
      </c>
      <c r="C10" s="804"/>
      <c r="D10" s="805"/>
      <c r="E10" s="805"/>
      <c r="F10" s="806"/>
    </row>
    <row r="11" spans="1:7" ht="20.25" customHeight="1" x14ac:dyDescent="0.3">
      <c r="A11" s="787"/>
      <c r="B11" s="803"/>
      <c r="C11" s="793"/>
      <c r="D11" s="794"/>
      <c r="E11" s="794"/>
      <c r="F11" s="795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2052657</v>
      </c>
      <c r="D14" s="258">
        <v>1319146</v>
      </c>
      <c r="E14" s="258">
        <f t="shared" ref="E14:E24" si="0">D14-C14</f>
        <v>-733511</v>
      </c>
      <c r="F14" s="259">
        <f t="shared" ref="F14:F24" si="1">IF(C14=0,0,E14/C14)</f>
        <v>-0.35734708721427888</v>
      </c>
    </row>
    <row r="15" spans="1:7" ht="20.25" customHeight="1" x14ac:dyDescent="0.3">
      <c r="A15" s="256">
        <v>2</v>
      </c>
      <c r="B15" s="257" t="s">
        <v>442</v>
      </c>
      <c r="C15" s="258">
        <v>816615</v>
      </c>
      <c r="D15" s="258">
        <v>494903</v>
      </c>
      <c r="E15" s="258">
        <f t="shared" si="0"/>
        <v>-321712</v>
      </c>
      <c r="F15" s="259">
        <f t="shared" si="1"/>
        <v>-0.39395798509701635</v>
      </c>
    </row>
    <row r="16" spans="1:7" ht="20.25" customHeight="1" x14ac:dyDescent="0.3">
      <c r="A16" s="256">
        <v>3</v>
      </c>
      <c r="B16" s="257" t="s">
        <v>443</v>
      </c>
      <c r="C16" s="258">
        <v>2254727</v>
      </c>
      <c r="D16" s="258">
        <v>1539305</v>
      </c>
      <c r="E16" s="258">
        <f t="shared" si="0"/>
        <v>-715422</v>
      </c>
      <c r="F16" s="259">
        <f t="shared" si="1"/>
        <v>-0.31729872396968678</v>
      </c>
    </row>
    <row r="17" spans="1:6" ht="20.25" customHeight="1" x14ac:dyDescent="0.3">
      <c r="A17" s="256">
        <v>4</v>
      </c>
      <c r="B17" s="257" t="s">
        <v>444</v>
      </c>
      <c r="C17" s="258">
        <v>569953</v>
      </c>
      <c r="D17" s="258">
        <v>289696</v>
      </c>
      <c r="E17" s="258">
        <f t="shared" si="0"/>
        <v>-280257</v>
      </c>
      <c r="F17" s="259">
        <f t="shared" si="1"/>
        <v>-0.4917194926599211</v>
      </c>
    </row>
    <row r="18" spans="1:6" ht="20.25" customHeight="1" x14ac:dyDescent="0.3">
      <c r="A18" s="256">
        <v>5</v>
      </c>
      <c r="B18" s="257" t="s">
        <v>381</v>
      </c>
      <c r="C18" s="260">
        <v>85</v>
      </c>
      <c r="D18" s="260">
        <v>43</v>
      </c>
      <c r="E18" s="260">
        <f t="shared" si="0"/>
        <v>-42</v>
      </c>
      <c r="F18" s="259">
        <f t="shared" si="1"/>
        <v>-0.49411764705882355</v>
      </c>
    </row>
    <row r="19" spans="1:6" ht="20.25" customHeight="1" x14ac:dyDescent="0.3">
      <c r="A19" s="256">
        <v>6</v>
      </c>
      <c r="B19" s="257" t="s">
        <v>380</v>
      </c>
      <c r="C19" s="260">
        <v>340</v>
      </c>
      <c r="D19" s="260">
        <v>218</v>
      </c>
      <c r="E19" s="260">
        <f t="shared" si="0"/>
        <v>-122</v>
      </c>
      <c r="F19" s="259">
        <f t="shared" si="1"/>
        <v>-0.35882352941176471</v>
      </c>
    </row>
    <row r="20" spans="1:6" ht="20.25" customHeight="1" x14ac:dyDescent="0.3">
      <c r="A20" s="256">
        <v>7</v>
      </c>
      <c r="B20" s="257" t="s">
        <v>445</v>
      </c>
      <c r="C20" s="260">
        <v>842</v>
      </c>
      <c r="D20" s="260">
        <v>648</v>
      </c>
      <c r="E20" s="260">
        <f t="shared" si="0"/>
        <v>-194</v>
      </c>
      <c r="F20" s="259">
        <f t="shared" si="1"/>
        <v>-0.23040380047505937</v>
      </c>
    </row>
    <row r="21" spans="1:6" ht="20.25" customHeight="1" x14ac:dyDescent="0.3">
      <c r="A21" s="256">
        <v>8</v>
      </c>
      <c r="B21" s="257" t="s">
        <v>446</v>
      </c>
      <c r="C21" s="260">
        <v>133</v>
      </c>
      <c r="D21" s="260">
        <v>131</v>
      </c>
      <c r="E21" s="260">
        <f t="shared" si="0"/>
        <v>-2</v>
      </c>
      <c r="F21" s="259">
        <f t="shared" si="1"/>
        <v>-1.5037593984962405E-2</v>
      </c>
    </row>
    <row r="22" spans="1:6" ht="20.25" customHeight="1" x14ac:dyDescent="0.3">
      <c r="A22" s="256">
        <v>9</v>
      </c>
      <c r="B22" s="257" t="s">
        <v>447</v>
      </c>
      <c r="C22" s="260">
        <v>50</v>
      </c>
      <c r="D22" s="260">
        <v>41</v>
      </c>
      <c r="E22" s="260">
        <f t="shared" si="0"/>
        <v>-9</v>
      </c>
      <c r="F22" s="259">
        <f t="shared" si="1"/>
        <v>-0.18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4307384</v>
      </c>
      <c r="D23" s="263">
        <f>+D14+D16</f>
        <v>2858451</v>
      </c>
      <c r="E23" s="263">
        <f t="shared" si="0"/>
        <v>-1448933</v>
      </c>
      <c r="F23" s="264">
        <f t="shared" si="1"/>
        <v>-0.33638352187778009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1386568</v>
      </c>
      <c r="D24" s="263">
        <f>+D15+D17</f>
        <v>784599</v>
      </c>
      <c r="E24" s="263">
        <f t="shared" si="0"/>
        <v>-601969</v>
      </c>
      <c r="F24" s="264">
        <f t="shared" si="1"/>
        <v>-0.43414315057032904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142</v>
      </c>
      <c r="D29" s="258">
        <v>0</v>
      </c>
      <c r="E29" s="258">
        <f t="shared" si="2"/>
        <v>-142</v>
      </c>
      <c r="F29" s="259">
        <f t="shared" si="3"/>
        <v>-1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1</v>
      </c>
      <c r="D33" s="260">
        <v>0</v>
      </c>
      <c r="E33" s="260">
        <f t="shared" si="2"/>
        <v>-1</v>
      </c>
      <c r="F33" s="259">
        <f t="shared" si="3"/>
        <v>-1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142</v>
      </c>
      <c r="D36" s="263">
        <f>+D27+D29</f>
        <v>0</v>
      </c>
      <c r="E36" s="263">
        <f t="shared" si="2"/>
        <v>-142</v>
      </c>
      <c r="F36" s="264">
        <f t="shared" si="3"/>
        <v>-1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15886699</v>
      </c>
      <c r="D40" s="258">
        <v>16099993</v>
      </c>
      <c r="E40" s="258">
        <f t="shared" ref="E40:E50" si="4">D40-C40</f>
        <v>213294</v>
      </c>
      <c r="F40" s="259">
        <f t="shared" ref="F40:F50" si="5">IF(C40=0,0,E40/C40)</f>
        <v>1.3425948335774474E-2</v>
      </c>
    </row>
    <row r="41" spans="1:6" ht="20.25" customHeight="1" x14ac:dyDescent="0.3">
      <c r="A41" s="256">
        <v>2</v>
      </c>
      <c r="B41" s="257" t="s">
        <v>442</v>
      </c>
      <c r="C41" s="258">
        <v>6548061</v>
      </c>
      <c r="D41" s="258">
        <v>6906018</v>
      </c>
      <c r="E41" s="258">
        <f t="shared" si="4"/>
        <v>357957</v>
      </c>
      <c r="F41" s="259">
        <f t="shared" si="5"/>
        <v>5.4666106500840479E-2</v>
      </c>
    </row>
    <row r="42" spans="1:6" ht="20.25" customHeight="1" x14ac:dyDescent="0.3">
      <c r="A42" s="256">
        <v>3</v>
      </c>
      <c r="B42" s="257" t="s">
        <v>443</v>
      </c>
      <c r="C42" s="258">
        <v>13032690</v>
      </c>
      <c r="D42" s="258">
        <v>13443597</v>
      </c>
      <c r="E42" s="258">
        <f t="shared" si="4"/>
        <v>410907</v>
      </c>
      <c r="F42" s="259">
        <f t="shared" si="5"/>
        <v>3.1528947592553799E-2</v>
      </c>
    </row>
    <row r="43" spans="1:6" ht="20.25" customHeight="1" x14ac:dyDescent="0.3">
      <c r="A43" s="256">
        <v>4</v>
      </c>
      <c r="B43" s="257" t="s">
        <v>444</v>
      </c>
      <c r="C43" s="258">
        <v>2979406</v>
      </c>
      <c r="D43" s="258">
        <v>3267929</v>
      </c>
      <c r="E43" s="258">
        <f t="shared" si="4"/>
        <v>288523</v>
      </c>
      <c r="F43" s="259">
        <f t="shared" si="5"/>
        <v>9.6839101485329621E-2</v>
      </c>
    </row>
    <row r="44" spans="1:6" ht="20.25" customHeight="1" x14ac:dyDescent="0.3">
      <c r="A44" s="256">
        <v>5</v>
      </c>
      <c r="B44" s="257" t="s">
        <v>381</v>
      </c>
      <c r="C44" s="260">
        <v>556</v>
      </c>
      <c r="D44" s="260">
        <v>521</v>
      </c>
      <c r="E44" s="260">
        <f t="shared" si="4"/>
        <v>-35</v>
      </c>
      <c r="F44" s="259">
        <f t="shared" si="5"/>
        <v>-6.2949640287769781E-2</v>
      </c>
    </row>
    <row r="45" spans="1:6" ht="20.25" customHeight="1" x14ac:dyDescent="0.3">
      <c r="A45" s="256">
        <v>6</v>
      </c>
      <c r="B45" s="257" t="s">
        <v>380</v>
      </c>
      <c r="C45" s="260">
        <v>2363</v>
      </c>
      <c r="D45" s="260">
        <v>2335</v>
      </c>
      <c r="E45" s="260">
        <f t="shared" si="4"/>
        <v>-28</v>
      </c>
      <c r="F45" s="259">
        <f t="shared" si="5"/>
        <v>-1.184934405416843E-2</v>
      </c>
    </row>
    <row r="46" spans="1:6" ht="20.25" customHeight="1" x14ac:dyDescent="0.3">
      <c r="A46" s="256">
        <v>7</v>
      </c>
      <c r="B46" s="257" t="s">
        <v>445</v>
      </c>
      <c r="C46" s="260">
        <v>6215</v>
      </c>
      <c r="D46" s="260">
        <v>5940</v>
      </c>
      <c r="E46" s="260">
        <f t="shared" si="4"/>
        <v>-275</v>
      </c>
      <c r="F46" s="259">
        <f t="shared" si="5"/>
        <v>-4.4247787610619468E-2</v>
      </c>
    </row>
    <row r="47" spans="1:6" ht="20.25" customHeight="1" x14ac:dyDescent="0.3">
      <c r="A47" s="256">
        <v>8</v>
      </c>
      <c r="B47" s="257" t="s">
        <v>446</v>
      </c>
      <c r="C47" s="260">
        <v>983</v>
      </c>
      <c r="D47" s="260">
        <v>1205</v>
      </c>
      <c r="E47" s="260">
        <f t="shared" si="4"/>
        <v>222</v>
      </c>
      <c r="F47" s="259">
        <f t="shared" si="5"/>
        <v>0.22583926754832145</v>
      </c>
    </row>
    <row r="48" spans="1:6" ht="20.25" customHeight="1" x14ac:dyDescent="0.3">
      <c r="A48" s="256">
        <v>9</v>
      </c>
      <c r="B48" s="257" t="s">
        <v>447</v>
      </c>
      <c r="C48" s="260">
        <v>365</v>
      </c>
      <c r="D48" s="260">
        <v>373</v>
      </c>
      <c r="E48" s="260">
        <f t="shared" si="4"/>
        <v>8</v>
      </c>
      <c r="F48" s="259">
        <f t="shared" si="5"/>
        <v>2.1917808219178082E-2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28919389</v>
      </c>
      <c r="D49" s="263">
        <f>+D40+D42</f>
        <v>29543590</v>
      </c>
      <c r="E49" s="263">
        <f t="shared" si="4"/>
        <v>624201</v>
      </c>
      <c r="F49" s="264">
        <f t="shared" si="5"/>
        <v>2.1584169707043258E-2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9527467</v>
      </c>
      <c r="D50" s="263">
        <f>+D41+D43</f>
        <v>10173947</v>
      </c>
      <c r="E50" s="263">
        <f t="shared" si="4"/>
        <v>646480</v>
      </c>
      <c r="F50" s="264">
        <f t="shared" si="5"/>
        <v>6.785434155793979E-2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2065162</v>
      </c>
      <c r="D66" s="258">
        <v>2250754</v>
      </c>
      <c r="E66" s="258">
        <f t="shared" ref="E66:E76" si="8">D66-C66</f>
        <v>185592</v>
      </c>
      <c r="F66" s="259">
        <f t="shared" ref="F66:F76" si="9">IF(C66=0,0,E66/C66)</f>
        <v>8.9868010354635611E-2</v>
      </c>
    </row>
    <row r="67" spans="1:6" ht="20.25" customHeight="1" x14ac:dyDescent="0.3">
      <c r="A67" s="256">
        <v>2</v>
      </c>
      <c r="B67" s="257" t="s">
        <v>442</v>
      </c>
      <c r="C67" s="258">
        <v>742566</v>
      </c>
      <c r="D67" s="258">
        <v>773151</v>
      </c>
      <c r="E67" s="258">
        <f t="shared" si="8"/>
        <v>30585</v>
      </c>
      <c r="F67" s="259">
        <f t="shared" si="9"/>
        <v>4.118825801342911E-2</v>
      </c>
    </row>
    <row r="68" spans="1:6" ht="20.25" customHeight="1" x14ac:dyDescent="0.3">
      <c r="A68" s="256">
        <v>3</v>
      </c>
      <c r="B68" s="257" t="s">
        <v>443</v>
      </c>
      <c r="C68" s="258">
        <v>816315</v>
      </c>
      <c r="D68" s="258">
        <v>888481</v>
      </c>
      <c r="E68" s="258">
        <f t="shared" si="8"/>
        <v>72166</v>
      </c>
      <c r="F68" s="259">
        <f t="shared" si="9"/>
        <v>8.8404598714956845E-2</v>
      </c>
    </row>
    <row r="69" spans="1:6" ht="20.25" customHeight="1" x14ac:dyDescent="0.3">
      <c r="A69" s="256">
        <v>4</v>
      </c>
      <c r="B69" s="257" t="s">
        <v>444</v>
      </c>
      <c r="C69" s="258">
        <v>154930</v>
      </c>
      <c r="D69" s="258">
        <v>183174</v>
      </c>
      <c r="E69" s="258">
        <f t="shared" si="8"/>
        <v>28244</v>
      </c>
      <c r="F69" s="259">
        <f t="shared" si="9"/>
        <v>0.18230168463176918</v>
      </c>
    </row>
    <row r="70" spans="1:6" ht="20.25" customHeight="1" x14ac:dyDescent="0.3">
      <c r="A70" s="256">
        <v>5</v>
      </c>
      <c r="B70" s="257" t="s">
        <v>381</v>
      </c>
      <c r="C70" s="260">
        <v>77</v>
      </c>
      <c r="D70" s="260">
        <v>63</v>
      </c>
      <c r="E70" s="260">
        <f t="shared" si="8"/>
        <v>-14</v>
      </c>
      <c r="F70" s="259">
        <f t="shared" si="9"/>
        <v>-0.18181818181818182</v>
      </c>
    </row>
    <row r="71" spans="1:6" ht="20.25" customHeight="1" x14ac:dyDescent="0.3">
      <c r="A71" s="256">
        <v>6</v>
      </c>
      <c r="B71" s="257" t="s">
        <v>380</v>
      </c>
      <c r="C71" s="260">
        <v>351</v>
      </c>
      <c r="D71" s="260">
        <v>383</v>
      </c>
      <c r="E71" s="260">
        <f t="shared" si="8"/>
        <v>32</v>
      </c>
      <c r="F71" s="259">
        <f t="shared" si="9"/>
        <v>9.1168091168091173E-2</v>
      </c>
    </row>
    <row r="72" spans="1:6" ht="20.25" customHeight="1" x14ac:dyDescent="0.3">
      <c r="A72" s="256">
        <v>7</v>
      </c>
      <c r="B72" s="257" t="s">
        <v>445</v>
      </c>
      <c r="C72" s="260">
        <v>395</v>
      </c>
      <c r="D72" s="260">
        <v>321</v>
      </c>
      <c r="E72" s="260">
        <f t="shared" si="8"/>
        <v>-74</v>
      </c>
      <c r="F72" s="259">
        <f t="shared" si="9"/>
        <v>-0.18734177215189873</v>
      </c>
    </row>
    <row r="73" spans="1:6" ht="20.25" customHeight="1" x14ac:dyDescent="0.3">
      <c r="A73" s="256">
        <v>8</v>
      </c>
      <c r="B73" s="257" t="s">
        <v>446</v>
      </c>
      <c r="C73" s="260">
        <v>63</v>
      </c>
      <c r="D73" s="260">
        <v>65</v>
      </c>
      <c r="E73" s="260">
        <f t="shared" si="8"/>
        <v>2</v>
      </c>
      <c r="F73" s="259">
        <f t="shared" si="9"/>
        <v>3.1746031746031744E-2</v>
      </c>
    </row>
    <row r="74" spans="1:6" ht="20.25" customHeight="1" x14ac:dyDescent="0.3">
      <c r="A74" s="256">
        <v>9</v>
      </c>
      <c r="B74" s="257" t="s">
        <v>447</v>
      </c>
      <c r="C74" s="260">
        <v>23</v>
      </c>
      <c r="D74" s="260">
        <v>20</v>
      </c>
      <c r="E74" s="260">
        <f t="shared" si="8"/>
        <v>-3</v>
      </c>
      <c r="F74" s="259">
        <f t="shared" si="9"/>
        <v>-0.13043478260869565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2881477</v>
      </c>
      <c r="D75" s="263">
        <f>+D66+D68</f>
        <v>3139235</v>
      </c>
      <c r="E75" s="263">
        <f t="shared" si="8"/>
        <v>257758</v>
      </c>
      <c r="F75" s="264">
        <f t="shared" si="9"/>
        <v>8.9453429612660451E-2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897496</v>
      </c>
      <c r="D76" s="263">
        <f>+D67+D69</f>
        <v>956325</v>
      </c>
      <c r="E76" s="263">
        <f t="shared" si="8"/>
        <v>58829</v>
      </c>
      <c r="F76" s="264">
        <f t="shared" si="9"/>
        <v>6.5547924447574138E-2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0</v>
      </c>
      <c r="D92" s="258">
        <v>0</v>
      </c>
      <c r="E92" s="258">
        <f t="shared" ref="E92:E102" si="12">D92-C92</f>
        <v>0</v>
      </c>
      <c r="F92" s="259">
        <f t="shared" ref="F92:F102" si="13">IF(C92=0,0,E92/C92)</f>
        <v>0</v>
      </c>
    </row>
    <row r="93" spans="1:6" ht="20.25" customHeight="1" x14ac:dyDescent="0.3">
      <c r="A93" s="256">
        <v>2</v>
      </c>
      <c r="B93" s="257" t="s">
        <v>442</v>
      </c>
      <c r="C93" s="258">
        <v>0</v>
      </c>
      <c r="D93" s="258">
        <v>0</v>
      </c>
      <c r="E93" s="258">
        <f t="shared" si="12"/>
        <v>0</v>
      </c>
      <c r="F93" s="259">
        <f t="shared" si="13"/>
        <v>0</v>
      </c>
    </row>
    <row r="94" spans="1:6" ht="20.25" customHeight="1" x14ac:dyDescent="0.3">
      <c r="A94" s="256">
        <v>3</v>
      </c>
      <c r="B94" s="257" t="s">
        <v>443</v>
      </c>
      <c r="C94" s="258">
        <v>0</v>
      </c>
      <c r="D94" s="258">
        <v>0</v>
      </c>
      <c r="E94" s="258">
        <f t="shared" si="12"/>
        <v>0</v>
      </c>
      <c r="F94" s="259">
        <f t="shared" si="13"/>
        <v>0</v>
      </c>
    </row>
    <row r="95" spans="1:6" ht="20.25" customHeight="1" x14ac:dyDescent="0.3">
      <c r="A95" s="256">
        <v>4</v>
      </c>
      <c r="B95" s="257" t="s">
        <v>444</v>
      </c>
      <c r="C95" s="258">
        <v>0</v>
      </c>
      <c r="D95" s="258">
        <v>0</v>
      </c>
      <c r="E95" s="258">
        <f t="shared" si="12"/>
        <v>0</v>
      </c>
      <c r="F95" s="259">
        <f t="shared" si="13"/>
        <v>0</v>
      </c>
    </row>
    <row r="96" spans="1:6" ht="20.25" customHeight="1" x14ac:dyDescent="0.3">
      <c r="A96" s="256">
        <v>5</v>
      </c>
      <c r="B96" s="257" t="s">
        <v>381</v>
      </c>
      <c r="C96" s="260">
        <v>0</v>
      </c>
      <c r="D96" s="260">
        <v>0</v>
      </c>
      <c r="E96" s="260">
        <f t="shared" si="12"/>
        <v>0</v>
      </c>
      <c r="F96" s="259">
        <f t="shared" si="13"/>
        <v>0</v>
      </c>
    </row>
    <row r="97" spans="1:6" ht="20.25" customHeight="1" x14ac:dyDescent="0.3">
      <c r="A97" s="256">
        <v>6</v>
      </c>
      <c r="B97" s="257" t="s">
        <v>380</v>
      </c>
      <c r="C97" s="260">
        <v>0</v>
      </c>
      <c r="D97" s="260">
        <v>0</v>
      </c>
      <c r="E97" s="260">
        <f t="shared" si="12"/>
        <v>0</v>
      </c>
      <c r="F97" s="259">
        <f t="shared" si="13"/>
        <v>0</v>
      </c>
    </row>
    <row r="98" spans="1:6" ht="20.25" customHeight="1" x14ac:dyDescent="0.3">
      <c r="A98" s="256">
        <v>7</v>
      </c>
      <c r="B98" s="257" t="s">
        <v>445</v>
      </c>
      <c r="C98" s="260">
        <v>0</v>
      </c>
      <c r="D98" s="260">
        <v>0</v>
      </c>
      <c r="E98" s="260">
        <f t="shared" si="12"/>
        <v>0</v>
      </c>
      <c r="F98" s="259">
        <f t="shared" si="13"/>
        <v>0</v>
      </c>
    </row>
    <row r="99" spans="1:6" ht="20.25" customHeight="1" x14ac:dyDescent="0.3">
      <c r="A99" s="256">
        <v>8</v>
      </c>
      <c r="B99" s="257" t="s">
        <v>446</v>
      </c>
      <c r="C99" s="260">
        <v>0</v>
      </c>
      <c r="D99" s="260">
        <v>0</v>
      </c>
      <c r="E99" s="260">
        <f t="shared" si="12"/>
        <v>0</v>
      </c>
      <c r="F99" s="259">
        <f t="shared" si="13"/>
        <v>0</v>
      </c>
    </row>
    <row r="100" spans="1:6" ht="20.25" customHeight="1" x14ac:dyDescent="0.3">
      <c r="A100" s="256">
        <v>9</v>
      </c>
      <c r="B100" s="257" t="s">
        <v>447</v>
      </c>
      <c r="C100" s="260">
        <v>0</v>
      </c>
      <c r="D100" s="260">
        <v>0</v>
      </c>
      <c r="E100" s="260">
        <f t="shared" si="12"/>
        <v>0</v>
      </c>
      <c r="F100" s="259">
        <f t="shared" si="13"/>
        <v>0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0</v>
      </c>
      <c r="D101" s="263">
        <f>+D92+D94</f>
        <v>0</v>
      </c>
      <c r="E101" s="263">
        <f t="shared" si="12"/>
        <v>0</v>
      </c>
      <c r="F101" s="264">
        <f t="shared" si="13"/>
        <v>0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0</v>
      </c>
      <c r="D102" s="263">
        <f>+D93+D95</f>
        <v>0</v>
      </c>
      <c r="E102" s="263">
        <f t="shared" si="12"/>
        <v>0</v>
      </c>
      <c r="F102" s="264">
        <f t="shared" si="13"/>
        <v>0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5665326</v>
      </c>
      <c r="D105" s="258">
        <v>6091177</v>
      </c>
      <c r="E105" s="258">
        <f t="shared" ref="E105:E115" si="14">D105-C105</f>
        <v>425851</v>
      </c>
      <c r="F105" s="259">
        <f t="shared" ref="F105:F115" si="15">IF(C105=0,0,E105/C105)</f>
        <v>7.5167960325672342E-2</v>
      </c>
    </row>
    <row r="106" spans="1:6" ht="20.25" customHeight="1" x14ac:dyDescent="0.3">
      <c r="A106" s="256">
        <v>2</v>
      </c>
      <c r="B106" s="257" t="s">
        <v>442</v>
      </c>
      <c r="C106" s="258">
        <v>1974695</v>
      </c>
      <c r="D106" s="258">
        <v>2183465</v>
      </c>
      <c r="E106" s="258">
        <f t="shared" si="14"/>
        <v>208770</v>
      </c>
      <c r="F106" s="259">
        <f t="shared" si="15"/>
        <v>0.10572265590382313</v>
      </c>
    </row>
    <row r="107" spans="1:6" ht="20.25" customHeight="1" x14ac:dyDescent="0.3">
      <c r="A107" s="256">
        <v>3</v>
      </c>
      <c r="B107" s="257" t="s">
        <v>443</v>
      </c>
      <c r="C107" s="258">
        <v>5533685</v>
      </c>
      <c r="D107" s="258">
        <v>7386005</v>
      </c>
      <c r="E107" s="258">
        <f t="shared" si="14"/>
        <v>1852320</v>
      </c>
      <c r="F107" s="259">
        <f t="shared" si="15"/>
        <v>0.33473535266282778</v>
      </c>
    </row>
    <row r="108" spans="1:6" ht="20.25" customHeight="1" x14ac:dyDescent="0.3">
      <c r="A108" s="256">
        <v>4</v>
      </c>
      <c r="B108" s="257" t="s">
        <v>444</v>
      </c>
      <c r="C108" s="258">
        <v>1129844</v>
      </c>
      <c r="D108" s="258">
        <v>1513736</v>
      </c>
      <c r="E108" s="258">
        <f t="shared" si="14"/>
        <v>383892</v>
      </c>
      <c r="F108" s="259">
        <f t="shared" si="15"/>
        <v>0.33977434052842692</v>
      </c>
    </row>
    <row r="109" spans="1:6" ht="20.25" customHeight="1" x14ac:dyDescent="0.3">
      <c r="A109" s="256">
        <v>5</v>
      </c>
      <c r="B109" s="257" t="s">
        <v>381</v>
      </c>
      <c r="C109" s="260">
        <v>217</v>
      </c>
      <c r="D109" s="260">
        <v>209</v>
      </c>
      <c r="E109" s="260">
        <f t="shared" si="14"/>
        <v>-8</v>
      </c>
      <c r="F109" s="259">
        <f t="shared" si="15"/>
        <v>-3.6866359447004608E-2</v>
      </c>
    </row>
    <row r="110" spans="1:6" ht="20.25" customHeight="1" x14ac:dyDescent="0.3">
      <c r="A110" s="256">
        <v>6</v>
      </c>
      <c r="B110" s="257" t="s">
        <v>380</v>
      </c>
      <c r="C110" s="260">
        <v>881</v>
      </c>
      <c r="D110" s="260">
        <v>1043</v>
      </c>
      <c r="E110" s="260">
        <f t="shared" si="14"/>
        <v>162</v>
      </c>
      <c r="F110" s="259">
        <f t="shared" si="15"/>
        <v>0.18388195232690124</v>
      </c>
    </row>
    <row r="111" spans="1:6" ht="20.25" customHeight="1" x14ac:dyDescent="0.3">
      <c r="A111" s="256">
        <v>7</v>
      </c>
      <c r="B111" s="257" t="s">
        <v>445</v>
      </c>
      <c r="C111" s="260">
        <v>2680</v>
      </c>
      <c r="D111" s="260">
        <v>3433</v>
      </c>
      <c r="E111" s="260">
        <f t="shared" si="14"/>
        <v>753</v>
      </c>
      <c r="F111" s="259">
        <f t="shared" si="15"/>
        <v>0.28097014925373132</v>
      </c>
    </row>
    <row r="112" spans="1:6" ht="20.25" customHeight="1" x14ac:dyDescent="0.3">
      <c r="A112" s="256">
        <v>8</v>
      </c>
      <c r="B112" s="257" t="s">
        <v>446</v>
      </c>
      <c r="C112" s="260">
        <v>424</v>
      </c>
      <c r="D112" s="260">
        <v>696</v>
      </c>
      <c r="E112" s="260">
        <f t="shared" si="14"/>
        <v>272</v>
      </c>
      <c r="F112" s="259">
        <f t="shared" si="15"/>
        <v>0.64150943396226412</v>
      </c>
    </row>
    <row r="113" spans="1:6" ht="20.25" customHeight="1" x14ac:dyDescent="0.3">
      <c r="A113" s="256">
        <v>9</v>
      </c>
      <c r="B113" s="257" t="s">
        <v>447</v>
      </c>
      <c r="C113" s="260">
        <v>158</v>
      </c>
      <c r="D113" s="260">
        <v>216</v>
      </c>
      <c r="E113" s="260">
        <f t="shared" si="14"/>
        <v>58</v>
      </c>
      <c r="F113" s="259">
        <f t="shared" si="15"/>
        <v>0.36708860759493672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11199011</v>
      </c>
      <c r="D114" s="263">
        <f>+D105+D107</f>
        <v>13477182</v>
      </c>
      <c r="E114" s="263">
        <f t="shared" si="14"/>
        <v>2278171</v>
      </c>
      <c r="F114" s="264">
        <f t="shared" si="15"/>
        <v>0.20342608825011424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3104539</v>
      </c>
      <c r="D115" s="263">
        <f>+D106+D108</f>
        <v>3697201</v>
      </c>
      <c r="E115" s="263">
        <f t="shared" si="14"/>
        <v>592662</v>
      </c>
      <c r="F115" s="264">
        <f t="shared" si="15"/>
        <v>0.19090177317791787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7639219</v>
      </c>
      <c r="D118" s="258">
        <v>9588790</v>
      </c>
      <c r="E118" s="258">
        <f t="shared" ref="E118:E128" si="16">D118-C118</f>
        <v>1949571</v>
      </c>
      <c r="F118" s="259">
        <f t="shared" ref="F118:F128" si="17">IF(C118=0,0,E118/C118)</f>
        <v>0.25520553868137569</v>
      </c>
    </row>
    <row r="119" spans="1:6" ht="20.25" customHeight="1" x14ac:dyDescent="0.3">
      <c r="A119" s="256">
        <v>2</v>
      </c>
      <c r="B119" s="257" t="s">
        <v>442</v>
      </c>
      <c r="C119" s="258">
        <v>3090536</v>
      </c>
      <c r="D119" s="258">
        <v>3946012</v>
      </c>
      <c r="E119" s="258">
        <f t="shared" si="16"/>
        <v>855476</v>
      </c>
      <c r="F119" s="259">
        <f t="shared" si="17"/>
        <v>0.27680505905771685</v>
      </c>
    </row>
    <row r="120" spans="1:6" ht="20.25" customHeight="1" x14ac:dyDescent="0.3">
      <c r="A120" s="256">
        <v>3</v>
      </c>
      <c r="B120" s="257" t="s">
        <v>443</v>
      </c>
      <c r="C120" s="258">
        <v>5421503</v>
      </c>
      <c r="D120" s="258">
        <v>8137030</v>
      </c>
      <c r="E120" s="258">
        <f t="shared" si="16"/>
        <v>2715527</v>
      </c>
      <c r="F120" s="259">
        <f t="shared" si="17"/>
        <v>0.50088084429723634</v>
      </c>
    </row>
    <row r="121" spans="1:6" ht="20.25" customHeight="1" x14ac:dyDescent="0.3">
      <c r="A121" s="256">
        <v>4</v>
      </c>
      <c r="B121" s="257" t="s">
        <v>444</v>
      </c>
      <c r="C121" s="258">
        <v>1202982</v>
      </c>
      <c r="D121" s="258">
        <v>1850211</v>
      </c>
      <c r="E121" s="258">
        <f t="shared" si="16"/>
        <v>647229</v>
      </c>
      <c r="F121" s="259">
        <f t="shared" si="17"/>
        <v>0.53802051901025949</v>
      </c>
    </row>
    <row r="122" spans="1:6" ht="20.25" customHeight="1" x14ac:dyDescent="0.3">
      <c r="A122" s="256">
        <v>5</v>
      </c>
      <c r="B122" s="257" t="s">
        <v>381</v>
      </c>
      <c r="C122" s="260">
        <v>292</v>
      </c>
      <c r="D122" s="260">
        <v>316</v>
      </c>
      <c r="E122" s="260">
        <f t="shared" si="16"/>
        <v>24</v>
      </c>
      <c r="F122" s="259">
        <f t="shared" si="17"/>
        <v>8.2191780821917804E-2</v>
      </c>
    </row>
    <row r="123" spans="1:6" ht="20.25" customHeight="1" x14ac:dyDescent="0.3">
      <c r="A123" s="256">
        <v>6</v>
      </c>
      <c r="B123" s="257" t="s">
        <v>380</v>
      </c>
      <c r="C123" s="260">
        <v>1160</v>
      </c>
      <c r="D123" s="260">
        <v>1477</v>
      </c>
      <c r="E123" s="260">
        <f t="shared" si="16"/>
        <v>317</v>
      </c>
      <c r="F123" s="259">
        <f t="shared" si="17"/>
        <v>0.27327586206896554</v>
      </c>
    </row>
    <row r="124" spans="1:6" ht="20.25" customHeight="1" x14ac:dyDescent="0.3">
      <c r="A124" s="256">
        <v>7</v>
      </c>
      <c r="B124" s="257" t="s">
        <v>445</v>
      </c>
      <c r="C124" s="260">
        <v>2740</v>
      </c>
      <c r="D124" s="260">
        <v>3486</v>
      </c>
      <c r="E124" s="260">
        <f t="shared" si="16"/>
        <v>746</v>
      </c>
      <c r="F124" s="259">
        <f t="shared" si="17"/>
        <v>0.27226277372262775</v>
      </c>
    </row>
    <row r="125" spans="1:6" ht="20.25" customHeight="1" x14ac:dyDescent="0.3">
      <c r="A125" s="256">
        <v>8</v>
      </c>
      <c r="B125" s="257" t="s">
        <v>446</v>
      </c>
      <c r="C125" s="260">
        <v>433</v>
      </c>
      <c r="D125" s="260">
        <v>707</v>
      </c>
      <c r="E125" s="260">
        <f t="shared" si="16"/>
        <v>274</v>
      </c>
      <c r="F125" s="259">
        <f t="shared" si="17"/>
        <v>0.63279445727482675</v>
      </c>
    </row>
    <row r="126" spans="1:6" ht="20.25" customHeight="1" x14ac:dyDescent="0.3">
      <c r="A126" s="256">
        <v>9</v>
      </c>
      <c r="B126" s="257" t="s">
        <v>447</v>
      </c>
      <c r="C126" s="260">
        <v>161</v>
      </c>
      <c r="D126" s="260">
        <v>219</v>
      </c>
      <c r="E126" s="260">
        <f t="shared" si="16"/>
        <v>58</v>
      </c>
      <c r="F126" s="259">
        <f t="shared" si="17"/>
        <v>0.36024844720496896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13060722</v>
      </c>
      <c r="D127" s="263">
        <f>+D118+D120</f>
        <v>17725820</v>
      </c>
      <c r="E127" s="263">
        <f t="shared" si="16"/>
        <v>4665098</v>
      </c>
      <c r="F127" s="264">
        <f t="shared" si="17"/>
        <v>0.35718530721349095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4293518</v>
      </c>
      <c r="D128" s="263">
        <f>+D119+D121</f>
        <v>5796223</v>
      </c>
      <c r="E128" s="263">
        <f t="shared" si="16"/>
        <v>1502705</v>
      </c>
      <c r="F128" s="264">
        <f t="shared" si="17"/>
        <v>0.34999387448707564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0</v>
      </c>
      <c r="D133" s="258">
        <v>0</v>
      </c>
      <c r="E133" s="258">
        <f t="shared" si="18"/>
        <v>0</v>
      </c>
      <c r="F133" s="259">
        <f t="shared" si="19"/>
        <v>0</v>
      </c>
    </row>
    <row r="134" spans="1:6" ht="20.25" customHeight="1" x14ac:dyDescent="0.3">
      <c r="A134" s="256">
        <v>4</v>
      </c>
      <c r="B134" s="257" t="s">
        <v>444</v>
      </c>
      <c r="C134" s="258">
        <v>0</v>
      </c>
      <c r="D134" s="258">
        <v>0</v>
      </c>
      <c r="E134" s="258">
        <f t="shared" si="18"/>
        <v>0</v>
      </c>
      <c r="F134" s="259">
        <f t="shared" si="19"/>
        <v>0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0</v>
      </c>
      <c r="E138" s="260">
        <f t="shared" si="18"/>
        <v>0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0</v>
      </c>
      <c r="D140" s="263">
        <f>+D131+D133</f>
        <v>0</v>
      </c>
      <c r="E140" s="263">
        <f t="shared" si="18"/>
        <v>0</v>
      </c>
      <c r="F140" s="264">
        <f t="shared" si="19"/>
        <v>0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0</v>
      </c>
      <c r="D141" s="263">
        <f>+D132+D134</f>
        <v>0</v>
      </c>
      <c r="E141" s="263">
        <f t="shared" si="18"/>
        <v>0</v>
      </c>
      <c r="F141" s="264">
        <f t="shared" si="19"/>
        <v>0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27980879</v>
      </c>
      <c r="D144" s="258">
        <v>21765547</v>
      </c>
      <c r="E144" s="258">
        <f t="shared" ref="E144:E154" si="20">D144-C144</f>
        <v>-6215332</v>
      </c>
      <c r="F144" s="259">
        <f t="shared" ref="F144:F154" si="21">IF(C144=0,0,E144/C144)</f>
        <v>-0.22212783236723907</v>
      </c>
    </row>
    <row r="145" spans="1:6" ht="20.25" customHeight="1" x14ac:dyDescent="0.3">
      <c r="A145" s="256">
        <v>2</v>
      </c>
      <c r="B145" s="257" t="s">
        <v>442</v>
      </c>
      <c r="C145" s="258">
        <v>10781682</v>
      </c>
      <c r="D145" s="258">
        <v>9180709</v>
      </c>
      <c r="E145" s="258">
        <f t="shared" si="20"/>
        <v>-1600973</v>
      </c>
      <c r="F145" s="259">
        <f t="shared" si="21"/>
        <v>-0.14849009644320801</v>
      </c>
    </row>
    <row r="146" spans="1:6" ht="20.25" customHeight="1" x14ac:dyDescent="0.3">
      <c r="A146" s="256">
        <v>3</v>
      </c>
      <c r="B146" s="257" t="s">
        <v>443</v>
      </c>
      <c r="C146" s="258">
        <v>19328335</v>
      </c>
      <c r="D146" s="258">
        <v>17743060</v>
      </c>
      <c r="E146" s="258">
        <f t="shared" si="20"/>
        <v>-1585275</v>
      </c>
      <c r="F146" s="259">
        <f t="shared" si="21"/>
        <v>-8.2018187288248057E-2</v>
      </c>
    </row>
    <row r="147" spans="1:6" ht="20.25" customHeight="1" x14ac:dyDescent="0.3">
      <c r="A147" s="256">
        <v>4</v>
      </c>
      <c r="B147" s="257" t="s">
        <v>444</v>
      </c>
      <c r="C147" s="258">
        <v>4188671</v>
      </c>
      <c r="D147" s="258">
        <v>4145409</v>
      </c>
      <c r="E147" s="258">
        <f t="shared" si="20"/>
        <v>-43262</v>
      </c>
      <c r="F147" s="259">
        <f t="shared" si="21"/>
        <v>-1.0328335646318366E-2</v>
      </c>
    </row>
    <row r="148" spans="1:6" ht="20.25" customHeight="1" x14ac:dyDescent="0.3">
      <c r="A148" s="256">
        <v>5</v>
      </c>
      <c r="B148" s="257" t="s">
        <v>381</v>
      </c>
      <c r="C148" s="260">
        <v>970</v>
      </c>
      <c r="D148" s="260">
        <v>744</v>
      </c>
      <c r="E148" s="260">
        <f t="shared" si="20"/>
        <v>-226</v>
      </c>
      <c r="F148" s="259">
        <f t="shared" si="21"/>
        <v>-0.23298969072164949</v>
      </c>
    </row>
    <row r="149" spans="1:6" ht="20.25" customHeight="1" x14ac:dyDescent="0.3">
      <c r="A149" s="256">
        <v>6</v>
      </c>
      <c r="B149" s="257" t="s">
        <v>380</v>
      </c>
      <c r="C149" s="260">
        <v>4391</v>
      </c>
      <c r="D149" s="260">
        <v>3426</v>
      </c>
      <c r="E149" s="260">
        <f t="shared" si="20"/>
        <v>-965</v>
      </c>
      <c r="F149" s="259">
        <f t="shared" si="21"/>
        <v>-0.2197677066727397</v>
      </c>
    </row>
    <row r="150" spans="1:6" ht="20.25" customHeight="1" x14ac:dyDescent="0.3">
      <c r="A150" s="256">
        <v>7</v>
      </c>
      <c r="B150" s="257" t="s">
        <v>445</v>
      </c>
      <c r="C150" s="260">
        <v>10886</v>
      </c>
      <c r="D150" s="260">
        <v>7963</v>
      </c>
      <c r="E150" s="260">
        <f t="shared" si="20"/>
        <v>-2923</v>
      </c>
      <c r="F150" s="259">
        <f t="shared" si="21"/>
        <v>-0.26851001286055481</v>
      </c>
    </row>
    <row r="151" spans="1:6" ht="20.25" customHeight="1" x14ac:dyDescent="0.3">
      <c r="A151" s="256">
        <v>8</v>
      </c>
      <c r="B151" s="257" t="s">
        <v>446</v>
      </c>
      <c r="C151" s="260">
        <v>1721</v>
      </c>
      <c r="D151" s="260">
        <v>1615</v>
      </c>
      <c r="E151" s="260">
        <f t="shared" si="20"/>
        <v>-106</v>
      </c>
      <c r="F151" s="259">
        <f t="shared" si="21"/>
        <v>-6.1592097617664147E-2</v>
      </c>
    </row>
    <row r="152" spans="1:6" ht="20.25" customHeight="1" x14ac:dyDescent="0.3">
      <c r="A152" s="256">
        <v>9</v>
      </c>
      <c r="B152" s="257" t="s">
        <v>447</v>
      </c>
      <c r="C152" s="260">
        <v>640</v>
      </c>
      <c r="D152" s="260">
        <v>501</v>
      </c>
      <c r="E152" s="260">
        <f t="shared" si="20"/>
        <v>-139</v>
      </c>
      <c r="F152" s="259">
        <f t="shared" si="21"/>
        <v>-0.21718750000000001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47309214</v>
      </c>
      <c r="D153" s="263">
        <f>+D144+D146</f>
        <v>39508607</v>
      </c>
      <c r="E153" s="263">
        <f t="shared" si="20"/>
        <v>-7800607</v>
      </c>
      <c r="F153" s="264">
        <f t="shared" si="21"/>
        <v>-0.16488557598948905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14970353</v>
      </c>
      <c r="D154" s="263">
        <f>+D145+D147</f>
        <v>13326118</v>
      </c>
      <c r="E154" s="263">
        <f t="shared" si="20"/>
        <v>-1644235</v>
      </c>
      <c r="F154" s="264">
        <f t="shared" si="21"/>
        <v>-0.10983274743087221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86" t="s">
        <v>44</v>
      </c>
      <c r="B195" s="788" t="s">
        <v>464</v>
      </c>
      <c r="C195" s="790"/>
      <c r="D195" s="791"/>
      <c r="E195" s="791"/>
      <c r="F195" s="792"/>
      <c r="G195" s="796"/>
      <c r="H195" s="796"/>
      <c r="I195" s="796"/>
    </row>
    <row r="196" spans="1:9" ht="20.25" customHeight="1" x14ac:dyDescent="0.3">
      <c r="A196" s="787"/>
      <c r="B196" s="789"/>
      <c r="C196" s="793"/>
      <c r="D196" s="794"/>
      <c r="E196" s="794"/>
      <c r="F196" s="795"/>
      <c r="G196" s="796"/>
      <c r="H196" s="796"/>
      <c r="I196" s="79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61289942</v>
      </c>
      <c r="D198" s="263">
        <f t="shared" si="28"/>
        <v>57115407</v>
      </c>
      <c r="E198" s="263">
        <f t="shared" ref="E198:E208" si="29">D198-C198</f>
        <v>-4174535</v>
      </c>
      <c r="F198" s="273">
        <f t="shared" ref="F198:F208" si="30">IF(C198=0,0,E198/C198)</f>
        <v>-6.8111257145585163E-2</v>
      </c>
    </row>
    <row r="199" spans="1:9" ht="20.25" customHeight="1" x14ac:dyDescent="0.3">
      <c r="A199" s="271"/>
      <c r="B199" s="272" t="s">
        <v>466</v>
      </c>
      <c r="C199" s="263">
        <f t="shared" si="28"/>
        <v>23954155</v>
      </c>
      <c r="D199" s="263">
        <f t="shared" si="28"/>
        <v>23484258</v>
      </c>
      <c r="E199" s="263">
        <f t="shared" si="29"/>
        <v>-469897</v>
      </c>
      <c r="F199" s="273">
        <f t="shared" si="30"/>
        <v>-1.9616513293831489E-2</v>
      </c>
    </row>
    <row r="200" spans="1:9" ht="20.25" customHeight="1" x14ac:dyDescent="0.3">
      <c r="A200" s="271"/>
      <c r="B200" s="272" t="s">
        <v>467</v>
      </c>
      <c r="C200" s="263">
        <f t="shared" si="28"/>
        <v>46387397</v>
      </c>
      <c r="D200" s="263">
        <f t="shared" si="28"/>
        <v>49137478</v>
      </c>
      <c r="E200" s="263">
        <f t="shared" si="29"/>
        <v>2750081</v>
      </c>
      <c r="F200" s="273">
        <f t="shared" si="30"/>
        <v>5.9285089870423212E-2</v>
      </c>
    </row>
    <row r="201" spans="1:9" ht="20.25" customHeight="1" x14ac:dyDescent="0.3">
      <c r="A201" s="271"/>
      <c r="B201" s="272" t="s">
        <v>468</v>
      </c>
      <c r="C201" s="263">
        <f t="shared" si="28"/>
        <v>10225786</v>
      </c>
      <c r="D201" s="263">
        <f t="shared" si="28"/>
        <v>11250155</v>
      </c>
      <c r="E201" s="263">
        <f t="shared" si="29"/>
        <v>1024369</v>
      </c>
      <c r="F201" s="273">
        <f t="shared" si="30"/>
        <v>0.1001750867855048</v>
      </c>
    </row>
    <row r="202" spans="1:9" ht="20.25" customHeight="1" x14ac:dyDescent="0.3">
      <c r="A202" s="271"/>
      <c r="B202" s="272" t="s">
        <v>138</v>
      </c>
      <c r="C202" s="274">
        <f t="shared" si="28"/>
        <v>2197</v>
      </c>
      <c r="D202" s="274">
        <f t="shared" si="28"/>
        <v>1896</v>
      </c>
      <c r="E202" s="274">
        <f t="shared" si="29"/>
        <v>-301</v>
      </c>
      <c r="F202" s="273">
        <f t="shared" si="30"/>
        <v>-0.13700500682749203</v>
      </c>
    </row>
    <row r="203" spans="1:9" ht="20.25" customHeight="1" x14ac:dyDescent="0.3">
      <c r="A203" s="271"/>
      <c r="B203" s="272" t="s">
        <v>140</v>
      </c>
      <c r="C203" s="274">
        <f t="shared" si="28"/>
        <v>9486</v>
      </c>
      <c r="D203" s="274">
        <f t="shared" si="28"/>
        <v>8882</v>
      </c>
      <c r="E203" s="274">
        <f t="shared" si="29"/>
        <v>-604</v>
      </c>
      <c r="F203" s="273">
        <f t="shared" si="30"/>
        <v>-6.3672780940333129E-2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23759</v>
      </c>
      <c r="D204" s="274">
        <f t="shared" si="28"/>
        <v>21791</v>
      </c>
      <c r="E204" s="274">
        <f t="shared" si="29"/>
        <v>-1968</v>
      </c>
      <c r="F204" s="273">
        <f t="shared" si="30"/>
        <v>-8.2831769013847381E-2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3757</v>
      </c>
      <c r="D205" s="274">
        <f t="shared" si="28"/>
        <v>4419</v>
      </c>
      <c r="E205" s="274">
        <f t="shared" si="29"/>
        <v>662</v>
      </c>
      <c r="F205" s="273">
        <f t="shared" si="30"/>
        <v>0.17620441841895129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1397</v>
      </c>
      <c r="D206" s="274">
        <f t="shared" si="28"/>
        <v>1370</v>
      </c>
      <c r="E206" s="274">
        <f t="shared" si="29"/>
        <v>-27</v>
      </c>
      <c r="F206" s="273">
        <f t="shared" si="30"/>
        <v>-1.9327129563350035E-2</v>
      </c>
    </row>
    <row r="207" spans="1:9" ht="20.25" customHeight="1" x14ac:dyDescent="0.3">
      <c r="A207" s="271"/>
      <c r="B207" s="262" t="s">
        <v>471</v>
      </c>
      <c r="C207" s="263">
        <f>+C198+C200</f>
        <v>107677339</v>
      </c>
      <c r="D207" s="263">
        <f>+D198+D200</f>
        <v>106252885</v>
      </c>
      <c r="E207" s="263">
        <f t="shared" si="29"/>
        <v>-1424454</v>
      </c>
      <c r="F207" s="273">
        <f t="shared" si="30"/>
        <v>-1.3228911609712049E-2</v>
      </c>
    </row>
    <row r="208" spans="1:9" ht="20.25" customHeight="1" x14ac:dyDescent="0.3">
      <c r="A208" s="271"/>
      <c r="B208" s="262" t="s">
        <v>472</v>
      </c>
      <c r="C208" s="263">
        <f>+C199+C201</f>
        <v>34179941</v>
      </c>
      <c r="D208" s="263">
        <f>+D199+D201</f>
        <v>34734413</v>
      </c>
      <c r="E208" s="263">
        <f t="shared" si="29"/>
        <v>554472</v>
      </c>
      <c r="F208" s="273">
        <f t="shared" si="30"/>
        <v>1.6222146199725739E-2</v>
      </c>
    </row>
  </sheetData>
  <mergeCells count="12">
    <mergeCell ref="B10:B11"/>
    <mergeCell ref="C10:F11"/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FILING&amp;RTHE HOSPITAL OF CENTRAL CONNECTICUT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314</v>
      </c>
      <c r="B4" s="797"/>
      <c r="C4" s="797"/>
      <c r="D4" s="797"/>
      <c r="E4" s="797"/>
      <c r="F4" s="797"/>
    </row>
    <row r="5" spans="1:7" ht="20.25" customHeight="1" x14ac:dyDescent="0.3">
      <c r="A5" s="797" t="s">
        <v>473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86" t="s">
        <v>12</v>
      </c>
      <c r="B10" s="788" t="s">
        <v>116</v>
      </c>
      <c r="C10" s="790"/>
      <c r="D10" s="791"/>
      <c r="E10" s="791"/>
      <c r="F10" s="792"/>
    </row>
    <row r="11" spans="1:7" ht="20.25" customHeight="1" x14ac:dyDescent="0.3">
      <c r="A11" s="787"/>
      <c r="B11" s="789"/>
      <c r="C11" s="793"/>
      <c r="D11" s="794"/>
      <c r="E11" s="794"/>
      <c r="F11" s="795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86" t="s">
        <v>44</v>
      </c>
      <c r="B109" s="788" t="s">
        <v>490</v>
      </c>
      <c r="C109" s="790"/>
      <c r="D109" s="791"/>
      <c r="E109" s="791"/>
      <c r="F109" s="792"/>
      <c r="G109" s="245"/>
    </row>
    <row r="110" spans="1:7" ht="20.25" customHeight="1" x14ac:dyDescent="0.3">
      <c r="A110" s="787"/>
      <c r="B110" s="789"/>
      <c r="C110" s="793"/>
      <c r="D110" s="794"/>
      <c r="E110" s="794"/>
      <c r="F110" s="795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FILING&amp;RTHE HOSPITAL OF CENTRAL CONNECTICUT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56052328</v>
      </c>
      <c r="D13" s="22">
        <v>67647637</v>
      </c>
      <c r="E13" s="22">
        <f t="shared" ref="E13:E22" si="0">D13-C13</f>
        <v>11595309</v>
      </c>
      <c r="F13" s="306">
        <f t="shared" ref="F13:F22" si="1">IF(C13=0,0,E13/C13)</f>
        <v>0.20686578798297192</v>
      </c>
    </row>
    <row r="14" spans="1:8" ht="24" customHeight="1" x14ac:dyDescent="0.2">
      <c r="A14" s="304">
        <v>2</v>
      </c>
      <c r="B14" s="305" t="s">
        <v>17</v>
      </c>
      <c r="C14" s="22">
        <v>900393</v>
      </c>
      <c r="D14" s="22">
        <v>0</v>
      </c>
      <c r="E14" s="22">
        <f t="shared" si="0"/>
        <v>-900393</v>
      </c>
      <c r="F14" s="306">
        <f t="shared" si="1"/>
        <v>-1</v>
      </c>
    </row>
    <row r="15" spans="1:8" ht="35.1" customHeight="1" x14ac:dyDescent="0.2">
      <c r="A15" s="304">
        <v>3</v>
      </c>
      <c r="B15" s="305" t="s">
        <v>18</v>
      </c>
      <c r="C15" s="22">
        <v>47943669</v>
      </c>
      <c r="D15" s="22">
        <v>42669081</v>
      </c>
      <c r="E15" s="22">
        <f t="shared" si="0"/>
        <v>-5274588</v>
      </c>
      <c r="F15" s="306">
        <f t="shared" si="1"/>
        <v>-0.11001636107574496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7629401</v>
      </c>
      <c r="D17" s="22">
        <v>1453572</v>
      </c>
      <c r="E17" s="22">
        <f t="shared" si="0"/>
        <v>-6175829</v>
      </c>
      <c r="F17" s="306">
        <f t="shared" si="1"/>
        <v>-0.8094775723546318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5452138</v>
      </c>
      <c r="D19" s="22">
        <v>5657201</v>
      </c>
      <c r="E19" s="22">
        <f t="shared" si="0"/>
        <v>205063</v>
      </c>
      <c r="F19" s="306">
        <f t="shared" si="1"/>
        <v>3.7611483788561481E-2</v>
      </c>
    </row>
    <row r="20" spans="1:11" ht="24" customHeight="1" x14ac:dyDescent="0.2">
      <c r="A20" s="304">
        <v>8</v>
      </c>
      <c r="B20" s="305" t="s">
        <v>23</v>
      </c>
      <c r="C20" s="22">
        <v>4636259</v>
      </c>
      <c r="D20" s="22">
        <v>2814931</v>
      </c>
      <c r="E20" s="22">
        <f t="shared" si="0"/>
        <v>-1821328</v>
      </c>
      <c r="F20" s="306">
        <f t="shared" si="1"/>
        <v>-0.39284431693742733</v>
      </c>
    </row>
    <row r="21" spans="1:11" ht="24" customHeight="1" x14ac:dyDescent="0.2">
      <c r="A21" s="304">
        <v>9</v>
      </c>
      <c r="B21" s="305" t="s">
        <v>24</v>
      </c>
      <c r="C21" s="22">
        <v>12218740</v>
      </c>
      <c r="D21" s="22">
        <v>23630989</v>
      </c>
      <c r="E21" s="22">
        <f t="shared" si="0"/>
        <v>11412249</v>
      </c>
      <c r="F21" s="306">
        <f t="shared" si="1"/>
        <v>0.93399556746440304</v>
      </c>
    </row>
    <row r="22" spans="1:11" ht="24" customHeight="1" x14ac:dyDescent="0.25">
      <c r="A22" s="307"/>
      <c r="B22" s="308" t="s">
        <v>25</v>
      </c>
      <c r="C22" s="309">
        <f>SUM(C13:C21)</f>
        <v>134832928</v>
      </c>
      <c r="D22" s="309">
        <f>SUM(D13:D21)</f>
        <v>143873411</v>
      </c>
      <c r="E22" s="309">
        <f t="shared" si="0"/>
        <v>9040483</v>
      </c>
      <c r="F22" s="310">
        <f t="shared" si="1"/>
        <v>6.7049519239098632E-2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15979552</v>
      </c>
      <c r="D25" s="22">
        <v>16314311</v>
      </c>
      <c r="E25" s="22">
        <f>D25-C25</f>
        <v>334759</v>
      </c>
      <c r="F25" s="306">
        <f>IF(C25=0,0,E25/C25)</f>
        <v>2.094921059113547E-2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0</v>
      </c>
      <c r="D28" s="22">
        <v>0</v>
      </c>
      <c r="E28" s="22">
        <f>D28-C28</f>
        <v>0</v>
      </c>
      <c r="F28" s="306">
        <f>IF(C28=0,0,E28/C28)</f>
        <v>0</v>
      </c>
    </row>
    <row r="29" spans="1:11" ht="35.1" customHeight="1" x14ac:dyDescent="0.25">
      <c r="A29" s="307"/>
      <c r="B29" s="308" t="s">
        <v>32</v>
      </c>
      <c r="C29" s="309">
        <f>SUM(C25:C28)</f>
        <v>15979552</v>
      </c>
      <c r="D29" s="309">
        <f>SUM(D25:D28)</f>
        <v>16314311</v>
      </c>
      <c r="E29" s="309">
        <f>D29-C29</f>
        <v>334759</v>
      </c>
      <c r="F29" s="310">
        <f>IF(C29=0,0,E29/C29)</f>
        <v>2.094921059113547E-2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154908280</v>
      </c>
      <c r="D32" s="22">
        <v>167396494</v>
      </c>
      <c r="E32" s="22">
        <f>D32-C32</f>
        <v>12488214</v>
      </c>
      <c r="F32" s="306">
        <f>IF(C32=0,0,E32/C32)</f>
        <v>8.0616826937849939E-2</v>
      </c>
    </row>
    <row r="33" spans="1:8" ht="24" customHeight="1" x14ac:dyDescent="0.2">
      <c r="A33" s="304">
        <v>7</v>
      </c>
      <c r="B33" s="305" t="s">
        <v>35</v>
      </c>
      <c r="C33" s="22">
        <v>16942475</v>
      </c>
      <c r="D33" s="22">
        <v>22303647</v>
      </c>
      <c r="E33" s="22">
        <f>D33-C33</f>
        <v>5361172</v>
      </c>
      <c r="F33" s="306">
        <f>IF(C33=0,0,E33/C33)</f>
        <v>0.31643381501226947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398370923</v>
      </c>
      <c r="D36" s="22">
        <v>413868504</v>
      </c>
      <c r="E36" s="22">
        <f>D36-C36</f>
        <v>15497581</v>
      </c>
      <c r="F36" s="306">
        <f>IF(C36=0,0,E36/C36)</f>
        <v>3.890238997187051E-2</v>
      </c>
    </row>
    <row r="37" spans="1:8" ht="24" customHeight="1" x14ac:dyDescent="0.2">
      <c r="A37" s="304">
        <v>2</v>
      </c>
      <c r="B37" s="305" t="s">
        <v>39</v>
      </c>
      <c r="C37" s="22">
        <v>236304138</v>
      </c>
      <c r="D37" s="22">
        <v>258131623</v>
      </c>
      <c r="E37" s="22">
        <f>D37-C37</f>
        <v>21827485</v>
      </c>
      <c r="F37" s="22">
        <f>IF(C37=0,0,E37/C37)</f>
        <v>9.2370303731202544E-2</v>
      </c>
    </row>
    <row r="38" spans="1:8" ht="24" customHeight="1" x14ac:dyDescent="0.25">
      <c r="A38" s="307"/>
      <c r="B38" s="308" t="s">
        <v>40</v>
      </c>
      <c r="C38" s="309">
        <f>C36-C37</f>
        <v>162066785</v>
      </c>
      <c r="D38" s="309">
        <f>D36-D37</f>
        <v>155736881</v>
      </c>
      <c r="E38" s="309">
        <f>D38-C38</f>
        <v>-6329904</v>
      </c>
      <c r="F38" s="310">
        <f>IF(C38=0,0,E38/C38)</f>
        <v>-3.9057379956047134E-2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20090990</v>
      </c>
      <c r="D40" s="22">
        <v>33971839</v>
      </c>
      <c r="E40" s="22">
        <f>D40-C40</f>
        <v>13880849</v>
      </c>
      <c r="F40" s="306">
        <f>IF(C40=0,0,E40/C40)</f>
        <v>0.69089920407107863</v>
      </c>
    </row>
    <row r="41" spans="1:8" ht="24" customHeight="1" x14ac:dyDescent="0.25">
      <c r="A41" s="307"/>
      <c r="B41" s="308" t="s">
        <v>42</v>
      </c>
      <c r="C41" s="309">
        <f>+C38+C40</f>
        <v>182157775</v>
      </c>
      <c r="D41" s="309">
        <f>+D38+D40</f>
        <v>189708720</v>
      </c>
      <c r="E41" s="309">
        <f>D41-C41</f>
        <v>7550945</v>
      </c>
      <c r="F41" s="310">
        <f>IF(C41=0,0,E41/C41)</f>
        <v>4.1452773564016138E-2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504821010</v>
      </c>
      <c r="D43" s="309">
        <f>D22+D29+D31+D32+D33+D41</f>
        <v>539596583</v>
      </c>
      <c r="E43" s="309">
        <f>D43-C43</f>
        <v>34775573</v>
      </c>
      <c r="F43" s="310">
        <f>IF(C43=0,0,E43/C43)</f>
        <v>6.8886936777849239E-2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28396482</v>
      </c>
      <c r="D49" s="22">
        <v>16682302</v>
      </c>
      <c r="E49" s="22">
        <f t="shared" ref="E49:E56" si="2">D49-C49</f>
        <v>-11714180</v>
      </c>
      <c r="F49" s="306">
        <f t="shared" ref="F49:F56" si="3">IF(C49=0,0,E49/C49)</f>
        <v>-0.41252222722518939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14615968</v>
      </c>
      <c r="D50" s="22">
        <v>11620908</v>
      </c>
      <c r="E50" s="22">
        <f t="shared" si="2"/>
        <v>-2995060</v>
      </c>
      <c r="F50" s="306">
        <f t="shared" si="3"/>
        <v>-0.20491697847176457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12896861</v>
      </c>
      <c r="D51" s="22">
        <v>19638404</v>
      </c>
      <c r="E51" s="22">
        <f t="shared" si="2"/>
        <v>6741543</v>
      </c>
      <c r="F51" s="306">
        <f t="shared" si="3"/>
        <v>0.5227274295660006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5154351</v>
      </c>
      <c r="D52" s="22">
        <v>6087785</v>
      </c>
      <c r="E52" s="22">
        <f t="shared" si="2"/>
        <v>933434</v>
      </c>
      <c r="F52" s="306">
        <f t="shared" si="3"/>
        <v>0.18109632037088666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3320243</v>
      </c>
      <c r="D53" s="22">
        <v>931430</v>
      </c>
      <c r="E53" s="22">
        <f t="shared" si="2"/>
        <v>-2388813</v>
      </c>
      <c r="F53" s="306">
        <f t="shared" si="3"/>
        <v>-0.71946932799798091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13115642</v>
      </c>
      <c r="D55" s="22">
        <v>4129250</v>
      </c>
      <c r="E55" s="22">
        <f t="shared" si="2"/>
        <v>-8986392</v>
      </c>
      <c r="F55" s="306">
        <f t="shared" si="3"/>
        <v>-0.68516600254871241</v>
      </c>
    </row>
    <row r="56" spans="1:6" ht="24" customHeight="1" x14ac:dyDescent="0.25">
      <c r="A56" s="307"/>
      <c r="B56" s="308" t="s">
        <v>54</v>
      </c>
      <c r="C56" s="309">
        <f>SUM(C49:C55)</f>
        <v>77499547</v>
      </c>
      <c r="D56" s="309">
        <f>SUM(D49:D55)</f>
        <v>59090079</v>
      </c>
      <c r="E56" s="309">
        <f t="shared" si="2"/>
        <v>-18409468</v>
      </c>
      <c r="F56" s="310">
        <f t="shared" si="3"/>
        <v>-0.23754291105727365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0</v>
      </c>
      <c r="D59" s="22">
        <v>0</v>
      </c>
      <c r="E59" s="22">
        <f>D59-C59</f>
        <v>0</v>
      </c>
      <c r="F59" s="306">
        <f>IF(C59=0,0,E59/C59)</f>
        <v>0</v>
      </c>
    </row>
    <row r="60" spans="1:6" ht="24" customHeight="1" x14ac:dyDescent="0.2">
      <c r="A60" s="304">
        <v>2</v>
      </c>
      <c r="B60" s="305" t="s">
        <v>57</v>
      </c>
      <c r="C60" s="22">
        <v>652997</v>
      </c>
      <c r="D60" s="22">
        <v>105428</v>
      </c>
      <c r="E60" s="22">
        <f>D60-C60</f>
        <v>-547569</v>
      </c>
      <c r="F60" s="306">
        <f>IF(C60=0,0,E60/C60)</f>
        <v>-0.83854749715542343</v>
      </c>
    </row>
    <row r="61" spans="1:6" ht="24" customHeight="1" x14ac:dyDescent="0.25">
      <c r="A61" s="307"/>
      <c r="B61" s="308" t="s">
        <v>58</v>
      </c>
      <c r="C61" s="309">
        <f>SUM(C59:C60)</f>
        <v>652997</v>
      </c>
      <c r="D61" s="309">
        <f>SUM(D59:D60)</f>
        <v>105428</v>
      </c>
      <c r="E61" s="309">
        <f>D61-C61</f>
        <v>-547569</v>
      </c>
      <c r="F61" s="310">
        <f>IF(C61=0,0,E61/C61)</f>
        <v>-0.83854749715542343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65894053</v>
      </c>
      <c r="D63" s="22">
        <v>133575280</v>
      </c>
      <c r="E63" s="22">
        <f>D63-C63</f>
        <v>67681227</v>
      </c>
      <c r="F63" s="306">
        <f>IF(C63=0,0,E63/C63)</f>
        <v>1.0271219316256051</v>
      </c>
    </row>
    <row r="64" spans="1:6" ht="24" customHeight="1" x14ac:dyDescent="0.2">
      <c r="A64" s="304">
        <v>4</v>
      </c>
      <c r="B64" s="305" t="s">
        <v>60</v>
      </c>
      <c r="C64" s="22">
        <v>90216090</v>
      </c>
      <c r="D64" s="22">
        <v>108349994</v>
      </c>
      <c r="E64" s="22">
        <f>D64-C64</f>
        <v>18133904</v>
      </c>
      <c r="F64" s="306">
        <f>IF(C64=0,0,E64/C64)</f>
        <v>0.20100520871609487</v>
      </c>
    </row>
    <row r="65" spans="1:6" ht="24" customHeight="1" x14ac:dyDescent="0.25">
      <c r="A65" s="307"/>
      <c r="B65" s="308" t="s">
        <v>61</v>
      </c>
      <c r="C65" s="309">
        <f>SUM(C61:C64)</f>
        <v>156763140</v>
      </c>
      <c r="D65" s="309">
        <f>SUM(D61:D64)</f>
        <v>242030702</v>
      </c>
      <c r="E65" s="309">
        <f>D65-C65</f>
        <v>85267562</v>
      </c>
      <c r="F65" s="310">
        <f>IF(C65=0,0,E65/C65)</f>
        <v>0.54392609129926839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223258476</v>
      </c>
      <c r="D70" s="22">
        <v>188482040</v>
      </c>
      <c r="E70" s="22">
        <f>D70-C70</f>
        <v>-34776436</v>
      </c>
      <c r="F70" s="306">
        <f>IF(C70=0,0,E70/C70)</f>
        <v>-0.15576759558279885</v>
      </c>
    </row>
    <row r="71" spans="1:6" ht="24" customHeight="1" x14ac:dyDescent="0.2">
      <c r="A71" s="304">
        <v>2</v>
      </c>
      <c r="B71" s="305" t="s">
        <v>65</v>
      </c>
      <c r="C71" s="22">
        <v>24426744</v>
      </c>
      <c r="D71" s="22">
        <v>26871900</v>
      </c>
      <c r="E71" s="22">
        <f>D71-C71</f>
        <v>2445156</v>
      </c>
      <c r="F71" s="306">
        <f>IF(C71=0,0,E71/C71)</f>
        <v>0.10010159356482387</v>
      </c>
    </row>
    <row r="72" spans="1:6" ht="24" customHeight="1" x14ac:dyDescent="0.2">
      <c r="A72" s="304">
        <v>3</v>
      </c>
      <c r="B72" s="305" t="s">
        <v>66</v>
      </c>
      <c r="C72" s="22">
        <v>22873103</v>
      </c>
      <c r="D72" s="22">
        <v>23121862</v>
      </c>
      <c r="E72" s="22">
        <f>D72-C72</f>
        <v>248759</v>
      </c>
      <c r="F72" s="306">
        <f>IF(C72=0,0,E72/C72)</f>
        <v>1.0875612285748898E-2</v>
      </c>
    </row>
    <row r="73" spans="1:6" ht="24" customHeight="1" x14ac:dyDescent="0.25">
      <c r="A73" s="304"/>
      <c r="B73" s="308" t="s">
        <v>67</v>
      </c>
      <c r="C73" s="309">
        <f>SUM(C70:C72)</f>
        <v>270558323</v>
      </c>
      <c r="D73" s="309">
        <f>SUM(D70:D72)</f>
        <v>238475802</v>
      </c>
      <c r="E73" s="309">
        <f>D73-C73</f>
        <v>-32082521</v>
      </c>
      <c r="F73" s="310">
        <f>IF(C73=0,0,E73/C73)</f>
        <v>-0.11857894683949531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504821010</v>
      </c>
      <c r="D75" s="309">
        <f>D56+D65+D67+D73</f>
        <v>539596583</v>
      </c>
      <c r="E75" s="309">
        <f>D75-C75</f>
        <v>34775573</v>
      </c>
      <c r="F75" s="310">
        <f>IF(C75=0,0,E75/C75)</f>
        <v>6.8886936777849239E-2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FILING&amp;RHARTFORD HEALTH CARE CORPORATION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915417855</v>
      </c>
      <c r="D11" s="76">
        <v>882609761</v>
      </c>
      <c r="E11" s="76">
        <f t="shared" ref="E11:E20" si="0">D11-C11</f>
        <v>-32808094</v>
      </c>
      <c r="F11" s="77">
        <f t="shared" ref="F11:F20" si="1">IF(C11=0,0,E11/C11)</f>
        <v>-3.5839473548393917E-2</v>
      </c>
    </row>
    <row r="12" spans="1:7" ht="23.1" customHeight="1" x14ac:dyDescent="0.2">
      <c r="A12" s="74">
        <v>2</v>
      </c>
      <c r="B12" s="75" t="s">
        <v>72</v>
      </c>
      <c r="C12" s="76">
        <v>496600768</v>
      </c>
      <c r="D12" s="76">
        <v>480182282</v>
      </c>
      <c r="E12" s="76">
        <f t="shared" si="0"/>
        <v>-16418486</v>
      </c>
      <c r="F12" s="77">
        <f t="shared" si="1"/>
        <v>-3.306174105634891E-2</v>
      </c>
    </row>
    <row r="13" spans="1:7" ht="23.1" customHeight="1" x14ac:dyDescent="0.2">
      <c r="A13" s="74">
        <v>3</v>
      </c>
      <c r="B13" s="75" t="s">
        <v>73</v>
      </c>
      <c r="C13" s="76">
        <v>16331771</v>
      </c>
      <c r="D13" s="76">
        <v>17279385</v>
      </c>
      <c r="E13" s="76">
        <f t="shared" si="0"/>
        <v>947614</v>
      </c>
      <c r="F13" s="77">
        <f t="shared" si="1"/>
        <v>5.8022733725570853E-2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402485316</v>
      </c>
      <c r="D15" s="79">
        <f>D11-D12-D13-D14</f>
        <v>385148094</v>
      </c>
      <c r="E15" s="79">
        <f t="shared" si="0"/>
        <v>-17337222</v>
      </c>
      <c r="F15" s="80">
        <f t="shared" si="1"/>
        <v>-4.3075414955014157E-2</v>
      </c>
    </row>
    <row r="16" spans="1:7" ht="23.1" customHeight="1" x14ac:dyDescent="0.2">
      <c r="A16" s="74">
        <v>5</v>
      </c>
      <c r="B16" s="75" t="s">
        <v>76</v>
      </c>
      <c r="C16" s="76">
        <v>9961023</v>
      </c>
      <c r="D16" s="76">
        <v>5470512</v>
      </c>
      <c r="E16" s="76">
        <f t="shared" si="0"/>
        <v>-4490511</v>
      </c>
      <c r="F16" s="77">
        <f t="shared" si="1"/>
        <v>-0.45080821518030828</v>
      </c>
      <c r="G16" s="65"/>
    </row>
    <row r="17" spans="1:7" ht="31.5" customHeight="1" x14ac:dyDescent="0.25">
      <c r="A17" s="71"/>
      <c r="B17" s="81" t="s">
        <v>77</v>
      </c>
      <c r="C17" s="79">
        <f>C15-C16</f>
        <v>392524293</v>
      </c>
      <c r="D17" s="79">
        <f>D15-D16</f>
        <v>379677582</v>
      </c>
      <c r="E17" s="79">
        <f t="shared" si="0"/>
        <v>-12846711</v>
      </c>
      <c r="F17" s="80">
        <f t="shared" si="1"/>
        <v>-3.2728448223712868E-2</v>
      </c>
    </row>
    <row r="18" spans="1:7" ht="23.1" customHeight="1" x14ac:dyDescent="0.2">
      <c r="A18" s="74">
        <v>6</v>
      </c>
      <c r="B18" s="75" t="s">
        <v>78</v>
      </c>
      <c r="C18" s="76">
        <v>47497591</v>
      </c>
      <c r="D18" s="76">
        <v>31670240</v>
      </c>
      <c r="E18" s="76">
        <f t="shared" si="0"/>
        <v>-15827351</v>
      </c>
      <c r="F18" s="77">
        <f t="shared" si="1"/>
        <v>-0.33322428920658315</v>
      </c>
      <c r="G18" s="65"/>
    </row>
    <row r="19" spans="1:7" ht="33" customHeight="1" x14ac:dyDescent="0.2">
      <c r="A19" s="74">
        <v>7</v>
      </c>
      <c r="B19" s="82" t="s">
        <v>79</v>
      </c>
      <c r="C19" s="76">
        <v>1885094</v>
      </c>
      <c r="D19" s="76">
        <v>1351596</v>
      </c>
      <c r="E19" s="76">
        <f t="shared" si="0"/>
        <v>-533498</v>
      </c>
      <c r="F19" s="77">
        <f t="shared" si="1"/>
        <v>-0.2830086987704592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441906978</v>
      </c>
      <c r="D20" s="79">
        <f>SUM(D17:D19)</f>
        <v>412699418</v>
      </c>
      <c r="E20" s="79">
        <f t="shared" si="0"/>
        <v>-29207560</v>
      </c>
      <c r="F20" s="80">
        <f t="shared" si="1"/>
        <v>-6.6094362510835933E-2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199195663</v>
      </c>
      <c r="D23" s="76">
        <v>169706388</v>
      </c>
      <c r="E23" s="76">
        <f t="shared" ref="E23:E32" si="2">D23-C23</f>
        <v>-29489275</v>
      </c>
      <c r="F23" s="77">
        <f t="shared" ref="F23:F32" si="3">IF(C23=0,0,E23/C23)</f>
        <v>-0.14804175229457681</v>
      </c>
    </row>
    <row r="24" spans="1:7" ht="23.1" customHeight="1" x14ac:dyDescent="0.2">
      <c r="A24" s="74">
        <v>2</v>
      </c>
      <c r="B24" s="75" t="s">
        <v>83</v>
      </c>
      <c r="C24" s="76">
        <v>59417679</v>
      </c>
      <c r="D24" s="76">
        <v>50598470</v>
      </c>
      <c r="E24" s="76">
        <f t="shared" si="2"/>
        <v>-8819209</v>
      </c>
      <c r="F24" s="77">
        <f t="shared" si="3"/>
        <v>-0.14842735610726229</v>
      </c>
    </row>
    <row r="25" spans="1:7" ht="23.1" customHeight="1" x14ac:dyDescent="0.2">
      <c r="A25" s="74">
        <v>3</v>
      </c>
      <c r="B25" s="75" t="s">
        <v>84</v>
      </c>
      <c r="C25" s="76">
        <v>10145410</v>
      </c>
      <c r="D25" s="76">
        <v>9980614</v>
      </c>
      <c r="E25" s="76">
        <f t="shared" si="2"/>
        <v>-164796</v>
      </c>
      <c r="F25" s="77">
        <f t="shared" si="3"/>
        <v>-1.6243404652941575E-2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60177973</v>
      </c>
      <c r="D26" s="76">
        <v>51828651</v>
      </c>
      <c r="E26" s="76">
        <f t="shared" si="2"/>
        <v>-8349322</v>
      </c>
      <c r="F26" s="77">
        <f t="shared" si="3"/>
        <v>-0.13874382242818314</v>
      </c>
    </row>
    <row r="27" spans="1:7" ht="23.1" customHeight="1" x14ac:dyDescent="0.2">
      <c r="A27" s="74">
        <v>5</v>
      </c>
      <c r="B27" s="75" t="s">
        <v>86</v>
      </c>
      <c r="C27" s="76">
        <v>21770876</v>
      </c>
      <c r="D27" s="76">
        <v>20090591</v>
      </c>
      <c r="E27" s="76">
        <f t="shared" si="2"/>
        <v>-1680285</v>
      </c>
      <c r="F27" s="77">
        <f t="shared" si="3"/>
        <v>-7.7180403765103434E-2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1898047</v>
      </c>
      <c r="D29" s="76">
        <v>1653723</v>
      </c>
      <c r="E29" s="76">
        <f t="shared" si="2"/>
        <v>-244324</v>
      </c>
      <c r="F29" s="77">
        <f t="shared" si="3"/>
        <v>-0.12872389356006464</v>
      </c>
    </row>
    <row r="30" spans="1:7" ht="23.1" customHeight="1" x14ac:dyDescent="0.2">
      <c r="A30" s="74">
        <v>8</v>
      </c>
      <c r="B30" s="75" t="s">
        <v>89</v>
      </c>
      <c r="C30" s="76">
        <v>2558127</v>
      </c>
      <c r="D30" s="76">
        <v>3957824</v>
      </c>
      <c r="E30" s="76">
        <f t="shared" si="2"/>
        <v>1399697</v>
      </c>
      <c r="F30" s="77">
        <f t="shared" si="3"/>
        <v>0.54715696288729998</v>
      </c>
    </row>
    <row r="31" spans="1:7" ht="23.1" customHeight="1" x14ac:dyDescent="0.2">
      <c r="A31" s="74">
        <v>9</v>
      </c>
      <c r="B31" s="75" t="s">
        <v>90</v>
      </c>
      <c r="C31" s="76">
        <v>73903097</v>
      </c>
      <c r="D31" s="76">
        <v>89335527</v>
      </c>
      <c r="E31" s="76">
        <f t="shared" si="2"/>
        <v>15432430</v>
      </c>
      <c r="F31" s="77">
        <f t="shared" si="3"/>
        <v>0.20881980088060451</v>
      </c>
    </row>
    <row r="32" spans="1:7" ht="23.1" customHeight="1" x14ac:dyDescent="0.25">
      <c r="A32" s="71"/>
      <c r="B32" s="78" t="s">
        <v>91</v>
      </c>
      <c r="C32" s="79">
        <f>SUM(C23:C31)</f>
        <v>429066872</v>
      </c>
      <c r="D32" s="79">
        <f>SUM(D23:D31)</f>
        <v>397151788</v>
      </c>
      <c r="E32" s="79">
        <f t="shared" si="2"/>
        <v>-31915084</v>
      </c>
      <c r="F32" s="80">
        <f t="shared" si="3"/>
        <v>-7.438254053787681E-2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12840106</v>
      </c>
      <c r="D34" s="79">
        <f>+D20-D32</f>
        <v>15547630</v>
      </c>
      <c r="E34" s="79">
        <f>D34-C34</f>
        <v>2707524</v>
      </c>
      <c r="F34" s="80">
        <f>IF(C34=0,0,E34/C34)</f>
        <v>0.21086461435754503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5731301</v>
      </c>
      <c r="D37" s="76">
        <v>9801650</v>
      </c>
      <c r="E37" s="76">
        <f>D37-C37</f>
        <v>4070349</v>
      </c>
      <c r="F37" s="77">
        <f>IF(C37=0,0,E37/C37)</f>
        <v>0.71019634110998531</v>
      </c>
    </row>
    <row r="38" spans="1:6" ht="23.1" customHeight="1" x14ac:dyDescent="0.2">
      <c r="A38" s="85">
        <v>2</v>
      </c>
      <c r="B38" s="75" t="s">
        <v>95</v>
      </c>
      <c r="C38" s="76">
        <v>41607</v>
      </c>
      <c r="D38" s="76">
        <v>41567</v>
      </c>
      <c r="E38" s="76">
        <f>D38-C38</f>
        <v>-40</v>
      </c>
      <c r="F38" s="77">
        <f>IF(C38=0,0,E38/C38)</f>
        <v>-9.6137669142211651E-4</v>
      </c>
    </row>
    <row r="39" spans="1:6" ht="23.1" customHeight="1" x14ac:dyDescent="0.2">
      <c r="A39" s="85">
        <v>3</v>
      </c>
      <c r="B39" s="75" t="s">
        <v>96</v>
      </c>
      <c r="C39" s="76">
        <v>6048086</v>
      </c>
      <c r="D39" s="76">
        <v>48499</v>
      </c>
      <c r="E39" s="76">
        <f>D39-C39</f>
        <v>-5999587</v>
      </c>
      <c r="F39" s="77">
        <f>IF(C39=0,0,E39/C39)</f>
        <v>-0.99198109947510671</v>
      </c>
    </row>
    <row r="40" spans="1:6" ht="23.1" customHeight="1" x14ac:dyDescent="0.25">
      <c r="A40" s="83"/>
      <c r="B40" s="78" t="s">
        <v>97</v>
      </c>
      <c r="C40" s="79">
        <f>SUM(C37:C39)</f>
        <v>11820994</v>
      </c>
      <c r="D40" s="79">
        <f>SUM(D37:D39)</f>
        <v>9891716</v>
      </c>
      <c r="E40" s="79">
        <f>D40-C40</f>
        <v>-1929278</v>
      </c>
      <c r="F40" s="80">
        <f>IF(C40=0,0,E40/C40)</f>
        <v>-0.16320776408481386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24661100</v>
      </c>
      <c r="D42" s="79">
        <f>D34+D40</f>
        <v>25439346</v>
      </c>
      <c r="E42" s="79">
        <f>D42-C42</f>
        <v>778246</v>
      </c>
      <c r="F42" s="80">
        <f>IF(C42=0,0,E42/C42)</f>
        <v>3.1557635304183512E-2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24661100</v>
      </c>
      <c r="D49" s="79">
        <f>D42+D47</f>
        <v>25439346</v>
      </c>
      <c r="E49" s="79">
        <f>D49-C49</f>
        <v>778246</v>
      </c>
      <c r="F49" s="80">
        <f>IF(C49=0,0,E49/C49)</f>
        <v>3.1557635304183512E-2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FILING&amp;R&amp;8HARTFORD HEALTH CARE CORPORATION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2015-07-07T15:36:14Z</cp:lastPrinted>
  <dcterms:created xsi:type="dcterms:W3CDTF">2015-07-07T15:31:02Z</dcterms:created>
  <dcterms:modified xsi:type="dcterms:W3CDTF">2015-07-07T15:36:20Z</dcterms:modified>
</cp:coreProperties>
</file>