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4" i="22"/>
  <c r="C12" i="22"/>
  <c r="C33" i="22"/>
  <c r="D21" i="21"/>
  <c r="E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C220" i="18"/>
  <c r="C244" i="18"/>
  <c r="D219" i="18"/>
  <c r="D243" i="18"/>
  <c r="C219" i="18"/>
  <c r="C243" i="18"/>
  <c r="D218" i="18"/>
  <c r="D242" i="18"/>
  <c r="C218" i="18"/>
  <c r="C242" i="18"/>
  <c r="D217" i="18"/>
  <c r="D216" i="18"/>
  <c r="D240" i="18"/>
  <c r="E240" i="18"/>
  <c r="C216" i="18"/>
  <c r="C240" i="18"/>
  <c r="D215" i="18"/>
  <c r="D239" i="18"/>
  <c r="E239" i="18"/>
  <c r="C215" i="18"/>
  <c r="C239" i="18"/>
  <c r="D210" i="18"/>
  <c r="E209" i="18"/>
  <c r="E208" i="18"/>
  <c r="E207" i="18"/>
  <c r="E206" i="18"/>
  <c r="D205" i="18"/>
  <c r="D229" i="18"/>
  <c r="C205" i="18"/>
  <c r="C229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E179" i="18"/>
  <c r="C179" i="18"/>
  <c r="D178" i="18"/>
  <c r="C178" i="18"/>
  <c r="E178" i="18"/>
  <c r="D177" i="18"/>
  <c r="E177" i="18"/>
  <c r="C177" i="18"/>
  <c r="D176" i="18"/>
  <c r="C176" i="18"/>
  <c r="E176" i="18"/>
  <c r="D174" i="18"/>
  <c r="C174" i="18"/>
  <c r="E174" i="18"/>
  <c r="D173" i="18"/>
  <c r="E173" i="18"/>
  <c r="C173" i="18"/>
  <c r="D167" i="18"/>
  <c r="C167" i="18"/>
  <c r="E167" i="18"/>
  <c r="D166" i="18"/>
  <c r="E166" i="18"/>
  <c r="C166" i="18"/>
  <c r="D165" i="18"/>
  <c r="C165" i="18"/>
  <c r="E165" i="18"/>
  <c r="D164" i="18"/>
  <c r="E164" i="18"/>
  <c r="C164" i="18"/>
  <c r="D162" i="18"/>
  <c r="E162" i="18"/>
  <c r="C162" i="18"/>
  <c r="D161" i="18"/>
  <c r="C161" i="18"/>
  <c r="E161" i="18"/>
  <c r="C156" i="18"/>
  <c r="C157" i="18"/>
  <c r="E155" i="18"/>
  <c r="E154" i="18"/>
  <c r="E153" i="18"/>
  <c r="E152" i="18"/>
  <c r="D151" i="18"/>
  <c r="D156" i="18"/>
  <c r="C151" i="18"/>
  <c r="E150" i="18"/>
  <c r="E149" i="18"/>
  <c r="D144" i="18"/>
  <c r="D168" i="18"/>
  <c r="E143" i="18"/>
  <c r="E142" i="18"/>
  <c r="E141" i="18"/>
  <c r="E140" i="18"/>
  <c r="D139" i="18"/>
  <c r="D175" i="18"/>
  <c r="C139" i="18"/>
  <c r="C163" i="18"/>
  <c r="E138" i="18"/>
  <c r="E137" i="18"/>
  <c r="D75" i="18"/>
  <c r="E75" i="18"/>
  <c r="C75" i="18"/>
  <c r="D74" i="18"/>
  <c r="C74" i="18"/>
  <c r="E74" i="18"/>
  <c r="D73" i="18"/>
  <c r="E73" i="18"/>
  <c r="C73" i="18"/>
  <c r="D72" i="18"/>
  <c r="C72" i="18"/>
  <c r="E72" i="18"/>
  <c r="D71" i="18"/>
  <c r="D70" i="18"/>
  <c r="D76" i="18"/>
  <c r="C70" i="18"/>
  <c r="D69" i="18"/>
  <c r="C69" i="18"/>
  <c r="D65" i="18"/>
  <c r="E64" i="18"/>
  <c r="E63" i="18"/>
  <c r="E62" i="18"/>
  <c r="E61" i="18"/>
  <c r="D60" i="18"/>
  <c r="D289" i="18"/>
  <c r="C60" i="18"/>
  <c r="E59" i="18"/>
  <c r="E58" i="18"/>
  <c r="D55" i="18"/>
  <c r="D54" i="18"/>
  <c r="C54" i="18"/>
  <c r="C55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D43" i="18"/>
  <c r="C37" i="18"/>
  <c r="C43" i="18"/>
  <c r="D36" i="18"/>
  <c r="D44" i="18"/>
  <c r="C36" i="18"/>
  <c r="C44" i="18"/>
  <c r="D33" i="18"/>
  <c r="D32" i="18"/>
  <c r="D294" i="18"/>
  <c r="C32" i="18"/>
  <c r="C33" i="18"/>
  <c r="E31" i="18"/>
  <c r="E30" i="18"/>
  <c r="E29" i="18"/>
  <c r="E28" i="18"/>
  <c r="E27" i="18"/>
  <c r="E26" i="18"/>
  <c r="E25" i="18"/>
  <c r="C22" i="18"/>
  <c r="C284" i="18"/>
  <c r="D21" i="18"/>
  <c r="D283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F308" i="17"/>
  <c r="E308" i="17"/>
  <c r="D307" i="17"/>
  <c r="E307" i="17"/>
  <c r="F307" i="17"/>
  <c r="C307" i="17"/>
  <c r="D299" i="17"/>
  <c r="E299" i="17"/>
  <c r="C299" i="17"/>
  <c r="D298" i="17"/>
  <c r="E298" i="17"/>
  <c r="C298" i="17"/>
  <c r="F298" i="17"/>
  <c r="D297" i="17"/>
  <c r="E297" i="17"/>
  <c r="C297" i="17"/>
  <c r="D296" i="17"/>
  <c r="E296" i="17"/>
  <c r="C296" i="17"/>
  <c r="D295" i="17"/>
  <c r="E295" i="17"/>
  <c r="F295" i="17"/>
  <c r="C295" i="17"/>
  <c r="D294" i="17"/>
  <c r="E294" i="17"/>
  <c r="F294" i="17"/>
  <c r="C294" i="17"/>
  <c r="D250" i="17"/>
  <c r="D306" i="17"/>
  <c r="C250" i="17"/>
  <c r="C306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D239" i="17"/>
  <c r="C237" i="17"/>
  <c r="C239" i="17"/>
  <c r="E234" i="17"/>
  <c r="F234" i="17"/>
  <c r="E233" i="17"/>
  <c r="F233" i="17"/>
  <c r="D230" i="17"/>
  <c r="C230" i="17"/>
  <c r="D229" i="17"/>
  <c r="C229" i="17"/>
  <c r="E228" i="17"/>
  <c r="F228" i="17"/>
  <c r="D226" i="17"/>
  <c r="D227" i="17"/>
  <c r="E227" i="17"/>
  <c r="C226" i="17"/>
  <c r="C227" i="17"/>
  <c r="E225" i="17"/>
  <c r="F225" i="17"/>
  <c r="E224" i="17"/>
  <c r="F224" i="17"/>
  <c r="D223" i="17"/>
  <c r="C223" i="17"/>
  <c r="E222" i="17"/>
  <c r="F222" i="17"/>
  <c r="E221" i="17"/>
  <c r="F221" i="17"/>
  <c r="D204" i="17"/>
  <c r="D285" i="17"/>
  <c r="C204" i="17"/>
  <c r="D203" i="17"/>
  <c r="D283" i="17"/>
  <c r="C203" i="17"/>
  <c r="D198" i="17"/>
  <c r="C198" i="17"/>
  <c r="D191" i="17"/>
  <c r="C191" i="17"/>
  <c r="D189" i="17"/>
  <c r="C189" i="17"/>
  <c r="D188" i="17"/>
  <c r="C188" i="17"/>
  <c r="D180" i="17"/>
  <c r="C180" i="17"/>
  <c r="D179" i="17"/>
  <c r="D181" i="17"/>
  <c r="E181" i="17"/>
  <c r="C179" i="17"/>
  <c r="C181" i="17"/>
  <c r="F181" i="17"/>
  <c r="D171" i="17"/>
  <c r="D172" i="17"/>
  <c r="C171" i="17"/>
  <c r="C172" i="17"/>
  <c r="D170" i="17"/>
  <c r="C170" i="17"/>
  <c r="F169" i="17"/>
  <c r="E169" i="17"/>
  <c r="F168" i="17"/>
  <c r="E168" i="17"/>
  <c r="D165" i="17"/>
  <c r="C165" i="17"/>
  <c r="D164" i="17"/>
  <c r="C164" i="17"/>
  <c r="F163" i="17"/>
  <c r="E163" i="17"/>
  <c r="D158" i="17"/>
  <c r="D159" i="17"/>
  <c r="E159" i="17"/>
  <c r="C158" i="17"/>
  <c r="C159" i="17"/>
  <c r="F159" i="17"/>
  <c r="F157" i="17"/>
  <c r="E157" i="17"/>
  <c r="F156" i="17"/>
  <c r="E156" i="17"/>
  <c r="D155" i="17"/>
  <c r="C155" i="17"/>
  <c r="F154" i="17"/>
  <c r="E154" i="17"/>
  <c r="F153" i="17"/>
  <c r="E153" i="17"/>
  <c r="D145" i="17"/>
  <c r="C145" i="17"/>
  <c r="D144" i="17"/>
  <c r="D146" i="17"/>
  <c r="E146" i="17"/>
  <c r="C144" i="17"/>
  <c r="C146" i="17"/>
  <c r="D136" i="17"/>
  <c r="D137" i="17"/>
  <c r="C136" i="17"/>
  <c r="C137" i="17"/>
  <c r="D135" i="17"/>
  <c r="C135" i="17"/>
  <c r="E134" i="17"/>
  <c r="F134" i="17"/>
  <c r="E133" i="17"/>
  <c r="F133" i="17"/>
  <c r="D130" i="17"/>
  <c r="C130" i="17"/>
  <c r="D129" i="17"/>
  <c r="C129" i="17"/>
  <c r="E128" i="17"/>
  <c r="F128" i="17"/>
  <c r="D123" i="17"/>
  <c r="C123" i="17"/>
  <c r="C193" i="17"/>
  <c r="E122" i="17"/>
  <c r="F122" i="17"/>
  <c r="E121" i="17"/>
  <c r="F121" i="17"/>
  <c r="D120" i="17"/>
  <c r="C120" i="17"/>
  <c r="E119" i="17"/>
  <c r="F119" i="17"/>
  <c r="E118" i="17"/>
  <c r="F118" i="17"/>
  <c r="D110" i="17"/>
  <c r="C110" i="17"/>
  <c r="D109" i="17"/>
  <c r="D111" i="17"/>
  <c r="C109" i="17"/>
  <c r="C111" i="17"/>
  <c r="D101" i="17"/>
  <c r="D102" i="17"/>
  <c r="C101" i="17"/>
  <c r="C102" i="17"/>
  <c r="D100" i="17"/>
  <c r="C100" i="17"/>
  <c r="E99" i="17"/>
  <c r="F99" i="17"/>
  <c r="E98" i="17"/>
  <c r="F98" i="17"/>
  <c r="D95" i="17"/>
  <c r="C95" i="17"/>
  <c r="D94" i="17"/>
  <c r="C94" i="17"/>
  <c r="E93" i="17"/>
  <c r="F93" i="17"/>
  <c r="D88" i="17"/>
  <c r="D89" i="17"/>
  <c r="E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E77" i="17"/>
  <c r="C76" i="17"/>
  <c r="C77" i="17"/>
  <c r="F74" i="17"/>
  <c r="E74" i="17"/>
  <c r="F73" i="17"/>
  <c r="E73" i="17"/>
  <c r="D67" i="17"/>
  <c r="E67" i="17"/>
  <c r="F67" i="17"/>
  <c r="C67" i="17"/>
  <c r="D66" i="17"/>
  <c r="D68" i="17"/>
  <c r="E68" i="17"/>
  <c r="C66" i="17"/>
  <c r="C68" i="17"/>
  <c r="D59" i="17"/>
  <c r="D60" i="17"/>
  <c r="C59" i="17"/>
  <c r="C60" i="17"/>
  <c r="D58" i="17"/>
  <c r="E58" i="17"/>
  <c r="F58" i="17"/>
  <c r="C58" i="17"/>
  <c r="E57" i="17"/>
  <c r="F57" i="17"/>
  <c r="E56" i="17"/>
  <c r="F56" i="17"/>
  <c r="D53" i="17"/>
  <c r="E53" i="17"/>
  <c r="F53" i="17"/>
  <c r="C53" i="17"/>
  <c r="D52" i="17"/>
  <c r="E52" i="17"/>
  <c r="F52" i="17"/>
  <c r="C52" i="17"/>
  <c r="E51" i="17"/>
  <c r="F51" i="17"/>
  <c r="D47" i="17"/>
  <c r="D48" i="17"/>
  <c r="C47" i="17"/>
  <c r="C48" i="17"/>
  <c r="E46" i="17"/>
  <c r="F46" i="17"/>
  <c r="E45" i="17"/>
  <c r="F45" i="17"/>
  <c r="D44" i="17"/>
  <c r="E44" i="17"/>
  <c r="F44" i="17"/>
  <c r="C44" i="17"/>
  <c r="E43" i="17"/>
  <c r="F43" i="17"/>
  <c r="E42" i="17"/>
  <c r="F42" i="17"/>
  <c r="D36" i="17"/>
  <c r="E36" i="17"/>
  <c r="F36" i="17"/>
  <c r="C36" i="17"/>
  <c r="D35" i="17"/>
  <c r="D37" i="17"/>
  <c r="C35" i="17"/>
  <c r="D30" i="17"/>
  <c r="D31" i="17"/>
  <c r="C30" i="17"/>
  <c r="C31" i="17"/>
  <c r="D29" i="17"/>
  <c r="E29" i="17"/>
  <c r="F29" i="17"/>
  <c r="C29" i="17"/>
  <c r="F28" i="17"/>
  <c r="E28" i="17"/>
  <c r="F27" i="17"/>
  <c r="E27" i="17"/>
  <c r="D24" i="17"/>
  <c r="E24" i="17"/>
  <c r="F24" i="17"/>
  <c r="C24" i="17"/>
  <c r="D23" i="17"/>
  <c r="E23" i="17"/>
  <c r="F23" i="17"/>
  <c r="C23" i="17"/>
  <c r="F22" i="17"/>
  <c r="E22" i="17"/>
  <c r="D20" i="17"/>
  <c r="E20" i="17"/>
  <c r="F20" i="17"/>
  <c r="C20" i="17"/>
  <c r="F19" i="17"/>
  <c r="E19" i="17"/>
  <c r="F18" i="17"/>
  <c r="E18" i="17"/>
  <c r="D17" i="17"/>
  <c r="E17" i="17"/>
  <c r="F17" i="17"/>
  <c r="C17" i="17"/>
  <c r="F16" i="17"/>
  <c r="E16" i="17"/>
  <c r="F15" i="17"/>
  <c r="E15" i="17"/>
  <c r="D21" i="16"/>
  <c r="E21" i="16"/>
  <c r="F21" i="16"/>
  <c r="C21" i="16"/>
  <c r="F20" i="16"/>
  <c r="E20" i="16"/>
  <c r="D17" i="16"/>
  <c r="E17" i="16"/>
  <c r="F17" i="16"/>
  <c r="C17" i="16"/>
  <c r="F16" i="16"/>
  <c r="E16" i="16"/>
  <c r="D13" i="16"/>
  <c r="E13" i="16"/>
  <c r="F13" i="16"/>
  <c r="C13" i="16"/>
  <c r="F12" i="16"/>
  <c r="E12" i="16"/>
  <c r="D107" i="15"/>
  <c r="E107" i="15"/>
  <c r="F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D60" i="15"/>
  <c r="C60" i="15"/>
  <c r="F59" i="15"/>
  <c r="E59" i="15"/>
  <c r="F58" i="15"/>
  <c r="E58" i="15"/>
  <c r="E60" i="15"/>
  <c r="F60" i="15"/>
  <c r="F55" i="15"/>
  <c r="D55" i="15"/>
  <c r="E55" i="15"/>
  <c r="C55" i="15"/>
  <c r="F54" i="15"/>
  <c r="E54" i="15"/>
  <c r="F53" i="15"/>
  <c r="E53" i="15"/>
  <c r="F50" i="15"/>
  <c r="D50" i="15"/>
  <c r="E50" i="15"/>
  <c r="C50" i="15"/>
  <c r="F49" i="15"/>
  <c r="E49" i="15"/>
  <c r="F48" i="15"/>
  <c r="E48" i="15"/>
  <c r="F45" i="15"/>
  <c r="D45" i="15"/>
  <c r="E45" i="15"/>
  <c r="C45" i="15"/>
  <c r="F44" i="15"/>
  <c r="E44" i="15"/>
  <c r="F43" i="15"/>
  <c r="E43" i="15"/>
  <c r="D37" i="15"/>
  <c r="E37" i="15"/>
  <c r="F37" i="15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G31" i="14"/>
  <c r="I31" i="14"/>
  <c r="E31" i="14"/>
  <c r="C31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3" i="14"/>
  <c r="F17" i="14"/>
  <c r="F31" i="14"/>
  <c r="H31" i="14"/>
  <c r="E17" i="14"/>
  <c r="E33" i="14"/>
  <c r="E36" i="14"/>
  <c r="E38" i="14"/>
  <c r="E40" i="14"/>
  <c r="D17" i="14"/>
  <c r="D31" i="14"/>
  <c r="C17" i="14"/>
  <c r="C33" i="14"/>
  <c r="C36" i="14"/>
  <c r="C38" i="14"/>
  <c r="C40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E59" i="13"/>
  <c r="E61" i="13"/>
  <c r="E57" i="13"/>
  <c r="D46" i="13"/>
  <c r="D59" i="13"/>
  <c r="D61" i="13"/>
  <c r="D57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D47" i="12"/>
  <c r="E47" i="12"/>
  <c r="C47" i="12"/>
  <c r="F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E54" i="11"/>
  <c r="F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E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E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E122" i="10"/>
  <c r="C113" i="10"/>
  <c r="C122" i="10"/>
  <c r="F122" i="10"/>
  <c r="F112" i="10"/>
  <c r="D112" i="10"/>
  <c r="D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/>
  <c r="C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F193" i="9"/>
  <c r="D193" i="9"/>
  <c r="E193" i="9"/>
  <c r="C193" i="9"/>
  <c r="F192" i="9"/>
  <c r="D192" i="9"/>
  <c r="E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F141" i="9"/>
  <c r="C141" i="9"/>
  <c r="D140" i="9"/>
  <c r="E140" i="9"/>
  <c r="F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D89" i="8"/>
  <c r="C89" i="8"/>
  <c r="E88" i="8"/>
  <c r="E90" i="8"/>
  <c r="E86" i="8"/>
  <c r="C88" i="8"/>
  <c r="C90" i="8"/>
  <c r="C86" i="8"/>
  <c r="E87" i="8"/>
  <c r="D87" i="8"/>
  <c r="C87" i="8"/>
  <c r="E84" i="8"/>
  <c r="D84" i="8"/>
  <c r="C84" i="8"/>
  <c r="E83" i="8"/>
  <c r="E79" i="8"/>
  <c r="D83" i="8"/>
  <c r="C83" i="8"/>
  <c r="C79" i="8"/>
  <c r="D79" i="8"/>
  <c r="E77" i="8"/>
  <c r="E71" i="8"/>
  <c r="C77" i="8"/>
  <c r="C71" i="8"/>
  <c r="E75" i="8"/>
  <c r="D75" i="8"/>
  <c r="D88" i="8"/>
  <c r="D90" i="8"/>
  <c r="D86" i="8"/>
  <c r="C75" i="8"/>
  <c r="E74" i="8"/>
  <c r="D74" i="8"/>
  <c r="C74" i="8"/>
  <c r="E67" i="8"/>
  <c r="D67" i="8"/>
  <c r="C67" i="8"/>
  <c r="D53" i="8"/>
  <c r="D43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E25" i="8"/>
  <c r="E27" i="8"/>
  <c r="C25" i="8"/>
  <c r="C27" i="8"/>
  <c r="E15" i="8"/>
  <c r="E24" i="8"/>
  <c r="C15" i="8"/>
  <c r="C24" i="8"/>
  <c r="E13" i="8"/>
  <c r="D13" i="8"/>
  <c r="D25" i="8"/>
  <c r="D27" i="8"/>
  <c r="C13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4" i="6"/>
  <c r="D94" i="6"/>
  <c r="E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1" i="6"/>
  <c r="D51" i="6"/>
  <c r="E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F48" i="5"/>
  <c r="D48" i="5"/>
  <c r="E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E16" i="5"/>
  <c r="F16" i="5"/>
  <c r="C16" i="5"/>
  <c r="C18" i="5"/>
  <c r="F15" i="5"/>
  <c r="E15" i="5"/>
  <c r="F14" i="5"/>
  <c r="E14" i="5"/>
  <c r="F13" i="5"/>
  <c r="E13" i="5"/>
  <c r="F12" i="5"/>
  <c r="E12" i="5"/>
  <c r="D73" i="4"/>
  <c r="E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E65" i="4"/>
  <c r="C61" i="4"/>
  <c r="C65" i="4"/>
  <c r="F60" i="4"/>
  <c r="E60" i="4"/>
  <c r="F59" i="4"/>
  <c r="E59" i="4"/>
  <c r="D56" i="4"/>
  <c r="D75" i="4"/>
  <c r="E75" i="4"/>
  <c r="C56" i="4"/>
  <c r="C75" i="4"/>
  <c r="F55" i="4"/>
  <c r="E55" i="4"/>
  <c r="E54" i="4"/>
  <c r="F54" i="4"/>
  <c r="F53" i="4"/>
  <c r="E53" i="4"/>
  <c r="F52" i="4"/>
  <c r="E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D41" i="4"/>
  <c r="E41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D43" i="4"/>
  <c r="E43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D108" i="22"/>
  <c r="D109" i="22"/>
  <c r="C109" i="22"/>
  <c r="C108" i="22"/>
  <c r="E109" i="22"/>
  <c r="E108" i="22"/>
  <c r="C103" i="22"/>
  <c r="D22" i="22"/>
  <c r="C23" i="22"/>
  <c r="E23" i="22"/>
  <c r="D33" i="22"/>
  <c r="C34" i="22"/>
  <c r="E34" i="22"/>
  <c r="D101" i="22"/>
  <c r="D103" i="22"/>
  <c r="C102" i="22"/>
  <c r="E102" i="22"/>
  <c r="E103" i="22"/>
  <c r="D111" i="22"/>
  <c r="C22" i="22"/>
  <c r="E22" i="22"/>
  <c r="D30" i="22"/>
  <c r="D36" i="22"/>
  <c r="D40" i="22"/>
  <c r="D46" i="22"/>
  <c r="F21" i="21"/>
  <c r="F20" i="20"/>
  <c r="C41" i="20"/>
  <c r="F40" i="20"/>
  <c r="D41" i="20"/>
  <c r="E39" i="20"/>
  <c r="E41" i="20"/>
  <c r="E19" i="20"/>
  <c r="F19" i="20"/>
  <c r="E43" i="20"/>
  <c r="C38" i="19"/>
  <c r="C127" i="19"/>
  <c r="C129" i="19"/>
  <c r="C133" i="19"/>
  <c r="E94" i="17"/>
  <c r="E95" i="17"/>
  <c r="E100" i="17"/>
  <c r="E110" i="17"/>
  <c r="E120" i="17"/>
  <c r="E229" i="17"/>
  <c r="E230" i="17"/>
  <c r="E238" i="17"/>
  <c r="F296" i="17"/>
  <c r="F297" i="17"/>
  <c r="F299" i="17"/>
  <c r="C22" i="19"/>
  <c r="E33" i="18"/>
  <c r="D258" i="18"/>
  <c r="D101" i="18"/>
  <c r="D99" i="18"/>
  <c r="D97" i="18"/>
  <c r="D95" i="18"/>
  <c r="D88" i="18"/>
  <c r="D86" i="18"/>
  <c r="D84" i="18"/>
  <c r="D100" i="18"/>
  <c r="D98" i="18"/>
  <c r="D96" i="18"/>
  <c r="D89" i="18"/>
  <c r="D87" i="18"/>
  <c r="D85" i="18"/>
  <c r="D83" i="18"/>
  <c r="E44" i="18"/>
  <c r="D259" i="18"/>
  <c r="E43" i="18"/>
  <c r="C76" i="18"/>
  <c r="E76" i="18"/>
  <c r="C258" i="18"/>
  <c r="C100" i="18"/>
  <c r="C98" i="18"/>
  <c r="C96" i="18"/>
  <c r="C102" i="18"/>
  <c r="C89" i="18"/>
  <c r="C87" i="18"/>
  <c r="C85" i="18"/>
  <c r="C83" i="18"/>
  <c r="C91" i="18"/>
  <c r="C101" i="18"/>
  <c r="C99" i="18"/>
  <c r="C97" i="18"/>
  <c r="C95" i="18"/>
  <c r="C103" i="18"/>
  <c r="C88" i="18"/>
  <c r="C86" i="18"/>
  <c r="C84" i="18"/>
  <c r="C90" i="18"/>
  <c r="C259" i="18"/>
  <c r="C263" i="18"/>
  <c r="E85" i="17"/>
  <c r="D192" i="17"/>
  <c r="E129" i="17"/>
  <c r="E130" i="17"/>
  <c r="F130" i="17"/>
  <c r="E135" i="17"/>
  <c r="E145" i="17"/>
  <c r="E155" i="17"/>
  <c r="E164" i="17"/>
  <c r="E165" i="17"/>
  <c r="E170" i="17"/>
  <c r="E180" i="17"/>
  <c r="E223" i="17"/>
  <c r="C283" i="18"/>
  <c r="E21" i="18"/>
  <c r="D22" i="18"/>
  <c r="E37" i="18"/>
  <c r="E55" i="18"/>
  <c r="D66" i="18"/>
  <c r="D295" i="18"/>
  <c r="D77" i="18"/>
  <c r="E69" i="18"/>
  <c r="E71" i="18"/>
  <c r="E283" i="18"/>
  <c r="E32" i="18"/>
  <c r="E36" i="18"/>
  <c r="E54" i="18"/>
  <c r="C289" i="18"/>
  <c r="E289" i="18"/>
  <c r="C71" i="18"/>
  <c r="C65" i="18"/>
  <c r="C66" i="18"/>
  <c r="C295" i="18"/>
  <c r="E60" i="18"/>
  <c r="C77" i="18"/>
  <c r="E70" i="18"/>
  <c r="D157" i="18"/>
  <c r="E157" i="18"/>
  <c r="E156" i="18"/>
  <c r="C144" i="18"/>
  <c r="E144" i="18"/>
  <c r="D145" i="18"/>
  <c r="E151" i="18"/>
  <c r="D163" i="18"/>
  <c r="E163" i="18"/>
  <c r="C175" i="18"/>
  <c r="E175" i="18"/>
  <c r="D180" i="18"/>
  <c r="C261" i="18"/>
  <c r="C189" i="18"/>
  <c r="E189" i="18"/>
  <c r="E188" i="18"/>
  <c r="D260" i="18"/>
  <c r="E195" i="18"/>
  <c r="E229" i="18"/>
  <c r="D241" i="18"/>
  <c r="E242" i="18"/>
  <c r="E243" i="18"/>
  <c r="E244" i="18"/>
  <c r="E245" i="18"/>
  <c r="D252" i="18"/>
  <c r="D253" i="18"/>
  <c r="D254" i="18"/>
  <c r="E302" i="18"/>
  <c r="C303" i="18"/>
  <c r="C306" i="18"/>
  <c r="C310" i="18"/>
  <c r="E139" i="18"/>
  <c r="E261" i="18"/>
  <c r="D234" i="18"/>
  <c r="C253" i="18"/>
  <c r="E303" i="18"/>
  <c r="D306" i="18"/>
  <c r="D320" i="18"/>
  <c r="E320" i="18"/>
  <c r="E316" i="18"/>
  <c r="E326" i="18"/>
  <c r="D330" i="18"/>
  <c r="E330" i="18"/>
  <c r="C210" i="18"/>
  <c r="E210" i="18"/>
  <c r="D211" i="18"/>
  <c r="E215" i="18"/>
  <c r="C217" i="18"/>
  <c r="C241" i="18"/>
  <c r="E219" i="18"/>
  <c r="E221" i="18"/>
  <c r="D222" i="18"/>
  <c r="C252" i="18"/>
  <c r="C254" i="18"/>
  <c r="E265" i="18"/>
  <c r="E314" i="18"/>
  <c r="E205" i="18"/>
  <c r="E216" i="18"/>
  <c r="E218" i="18"/>
  <c r="E220" i="18"/>
  <c r="C222" i="18"/>
  <c r="D223" i="18"/>
  <c r="E233" i="18"/>
  <c r="E251" i="18"/>
  <c r="E301" i="18"/>
  <c r="E324" i="18"/>
  <c r="C32" i="17"/>
  <c r="C160" i="17"/>
  <c r="C90" i="17"/>
  <c r="C61" i="17"/>
  <c r="F68" i="17"/>
  <c r="F89" i="17"/>
  <c r="E102" i="17"/>
  <c r="D103" i="17"/>
  <c r="E111" i="17"/>
  <c r="F111" i="17"/>
  <c r="C207" i="17"/>
  <c r="C138" i="17"/>
  <c r="F146" i="17"/>
  <c r="C173" i="17"/>
  <c r="F173" i="17"/>
  <c r="F172" i="17"/>
  <c r="D32" i="17"/>
  <c r="E31" i="17"/>
  <c r="F31" i="17"/>
  <c r="D160" i="17"/>
  <c r="E160" i="17"/>
  <c r="D90" i="17"/>
  <c r="E90" i="17"/>
  <c r="E48" i="17"/>
  <c r="F48" i="17"/>
  <c r="D61" i="17"/>
  <c r="E60" i="17"/>
  <c r="F60" i="17"/>
  <c r="C103" i="17"/>
  <c r="F102" i="17"/>
  <c r="C194" i="17"/>
  <c r="D207" i="17"/>
  <c r="E137" i="17"/>
  <c r="F137" i="17"/>
  <c r="D138" i="17"/>
  <c r="E172" i="17"/>
  <c r="D173" i="17"/>
  <c r="E173" i="17"/>
  <c r="C282" i="17"/>
  <c r="C266" i="17"/>
  <c r="C21" i="17"/>
  <c r="E30" i="17"/>
  <c r="F30" i="17"/>
  <c r="E35" i="17"/>
  <c r="F35" i="17"/>
  <c r="C37" i="17"/>
  <c r="E47" i="17"/>
  <c r="F47" i="17"/>
  <c r="E59" i="17"/>
  <c r="F59" i="17"/>
  <c r="E66" i="17"/>
  <c r="F66" i="17"/>
  <c r="E76" i="17"/>
  <c r="F76" i="17"/>
  <c r="F85" i="17"/>
  <c r="F94" i="17"/>
  <c r="F95" i="17"/>
  <c r="F100" i="17"/>
  <c r="F110" i="17"/>
  <c r="F120" i="17"/>
  <c r="D124" i="17"/>
  <c r="F129" i="17"/>
  <c r="F135" i="17"/>
  <c r="F145" i="17"/>
  <c r="F155" i="17"/>
  <c r="F158" i="17"/>
  <c r="F164" i="17"/>
  <c r="F165" i="17"/>
  <c r="F170" i="17"/>
  <c r="F171" i="17"/>
  <c r="F179" i="17"/>
  <c r="F180" i="17"/>
  <c r="D277" i="17"/>
  <c r="D261" i="17"/>
  <c r="D214" i="17"/>
  <c r="D206" i="17"/>
  <c r="D278" i="17"/>
  <c r="D262" i="17"/>
  <c r="D215" i="17"/>
  <c r="D190" i="17"/>
  <c r="D280" i="17"/>
  <c r="D264" i="17"/>
  <c r="D200" i="17"/>
  <c r="D193" i="17"/>
  <c r="D282" i="17"/>
  <c r="E282" i="17"/>
  <c r="F227" i="17"/>
  <c r="E239" i="17"/>
  <c r="F239" i="17"/>
  <c r="D21" i="17"/>
  <c r="E88" i="17"/>
  <c r="F88" i="17"/>
  <c r="E101" i="17"/>
  <c r="F101" i="17"/>
  <c r="E109" i="17"/>
  <c r="F109" i="17"/>
  <c r="E123" i="17"/>
  <c r="F123" i="17"/>
  <c r="C124" i="17"/>
  <c r="E136" i="17"/>
  <c r="F136" i="17"/>
  <c r="E144" i="17"/>
  <c r="F144" i="17"/>
  <c r="E158" i="17"/>
  <c r="E171" i="17"/>
  <c r="E179" i="17"/>
  <c r="C277" i="17"/>
  <c r="C261" i="17"/>
  <c r="C254" i="17"/>
  <c r="C214" i="17"/>
  <c r="C206" i="17"/>
  <c r="E188" i="17"/>
  <c r="F188" i="17"/>
  <c r="C278" i="17"/>
  <c r="C262" i="17"/>
  <c r="C255" i="17"/>
  <c r="C215" i="17"/>
  <c r="E189" i="17"/>
  <c r="F189" i="17"/>
  <c r="C190" i="17"/>
  <c r="C280" i="17"/>
  <c r="C264" i="17"/>
  <c r="C200" i="17"/>
  <c r="E191" i="17"/>
  <c r="F191" i="17"/>
  <c r="C192" i="17"/>
  <c r="C290" i="17"/>
  <c r="C274" i="17"/>
  <c r="C199" i="17"/>
  <c r="E198" i="17"/>
  <c r="F198" i="17"/>
  <c r="D290" i="17"/>
  <c r="E290" i="17"/>
  <c r="D274" i="17"/>
  <c r="E274" i="17"/>
  <c r="D199" i="17"/>
  <c r="E199" i="17"/>
  <c r="D286" i="17"/>
  <c r="D205" i="17"/>
  <c r="F223" i="17"/>
  <c r="F229" i="17"/>
  <c r="F230" i="17"/>
  <c r="F238" i="17"/>
  <c r="E306" i="17"/>
  <c r="C283" i="17"/>
  <c r="E283" i="17"/>
  <c r="C267" i="17"/>
  <c r="E203" i="17"/>
  <c r="F203" i="17"/>
  <c r="C285" i="17"/>
  <c r="C269" i="17"/>
  <c r="E204" i="17"/>
  <c r="F204" i="17"/>
  <c r="C205" i="17"/>
  <c r="E226" i="17"/>
  <c r="F226" i="17"/>
  <c r="E237" i="17"/>
  <c r="F237" i="17"/>
  <c r="E250" i="17"/>
  <c r="F250" i="17"/>
  <c r="D267" i="17"/>
  <c r="D269" i="17"/>
  <c r="I40" i="14"/>
  <c r="I33" i="14"/>
  <c r="I36" i="14"/>
  <c r="I38" i="14"/>
  <c r="G36" i="14"/>
  <c r="G38" i="14"/>
  <c r="G40" i="14"/>
  <c r="H17" i="14"/>
  <c r="D33" i="14"/>
  <c r="D36" i="14"/>
  <c r="D38" i="14"/>
  <c r="D40" i="14"/>
  <c r="F33" i="14"/>
  <c r="I17" i="14"/>
  <c r="E20" i="13"/>
  <c r="E21" i="13"/>
  <c r="C69" i="13"/>
  <c r="D21" i="13"/>
  <c r="C22" i="13"/>
  <c r="C20" i="13"/>
  <c r="C21" i="13"/>
  <c r="D15" i="13"/>
  <c r="C17" i="13"/>
  <c r="C28" i="13"/>
  <c r="C70" i="13"/>
  <c r="C72" i="13"/>
  <c r="E17" i="13"/>
  <c r="E28" i="13"/>
  <c r="E70" i="13"/>
  <c r="E72" i="13"/>
  <c r="E69" i="13"/>
  <c r="D48" i="13"/>
  <c r="D42" i="13"/>
  <c r="C20" i="12"/>
  <c r="D20" i="12"/>
  <c r="E17" i="12"/>
  <c r="F17" i="12"/>
  <c r="E15" i="12"/>
  <c r="F15" i="12"/>
  <c r="F43" i="11"/>
  <c r="F41" i="11"/>
  <c r="F75" i="11"/>
  <c r="F65" i="11"/>
  <c r="E22" i="11"/>
  <c r="F22" i="11"/>
  <c r="E38" i="11"/>
  <c r="F38" i="11"/>
  <c r="E56" i="11"/>
  <c r="F56" i="11"/>
  <c r="E61" i="11"/>
  <c r="F61" i="11"/>
  <c r="E121" i="10"/>
  <c r="E112" i="10"/>
  <c r="E113" i="10"/>
  <c r="F207" i="9"/>
  <c r="F208" i="9"/>
  <c r="E198" i="9"/>
  <c r="F198" i="9"/>
  <c r="E199" i="9"/>
  <c r="F199" i="9"/>
  <c r="D21" i="8"/>
  <c r="C20" i="8"/>
  <c r="C21" i="8"/>
  <c r="C140" i="8"/>
  <c r="C138" i="8"/>
  <c r="C136" i="8"/>
  <c r="C139" i="8"/>
  <c r="C137" i="8"/>
  <c r="C135" i="8"/>
  <c r="E157" i="8"/>
  <c r="E155" i="8"/>
  <c r="E153" i="8"/>
  <c r="E156" i="8"/>
  <c r="E154" i="8"/>
  <c r="E152" i="8"/>
  <c r="D156" i="8"/>
  <c r="D154" i="8"/>
  <c r="D152" i="8"/>
  <c r="D157" i="8"/>
  <c r="D155" i="8"/>
  <c r="D153" i="8"/>
  <c r="E20" i="8"/>
  <c r="E21" i="8"/>
  <c r="E140" i="8"/>
  <c r="E138" i="8"/>
  <c r="E136" i="8"/>
  <c r="E139" i="8"/>
  <c r="E137" i="8"/>
  <c r="E135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D15" i="8"/>
  <c r="C17" i="8"/>
  <c r="E17" i="8"/>
  <c r="C43" i="8"/>
  <c r="E43" i="8"/>
  <c r="D49" i="8"/>
  <c r="C53" i="8"/>
  <c r="E53" i="8"/>
  <c r="D77" i="8"/>
  <c r="D71" i="8"/>
  <c r="C49" i="8"/>
  <c r="E49" i="8"/>
  <c r="F95" i="7"/>
  <c r="F188" i="7"/>
  <c r="E90" i="7"/>
  <c r="F90" i="7"/>
  <c r="E183" i="7"/>
  <c r="F183" i="7"/>
  <c r="F52" i="6"/>
  <c r="E95" i="6"/>
  <c r="F179" i="6"/>
  <c r="F95" i="6"/>
  <c r="E41" i="6"/>
  <c r="F41" i="6"/>
  <c r="E84" i="6"/>
  <c r="F84" i="6"/>
  <c r="C21" i="5"/>
  <c r="D18" i="5"/>
  <c r="F43" i="4"/>
  <c r="F41" i="4"/>
  <c r="F75" i="4"/>
  <c r="F65" i="4"/>
  <c r="F73" i="4"/>
  <c r="E22" i="4"/>
  <c r="F22" i="4"/>
  <c r="E38" i="4"/>
  <c r="F38" i="4"/>
  <c r="E56" i="4"/>
  <c r="F56" i="4"/>
  <c r="E61" i="4"/>
  <c r="F61" i="4"/>
  <c r="E53" i="22"/>
  <c r="E45" i="22"/>
  <c r="E39" i="22"/>
  <c r="E35" i="22"/>
  <c r="E29" i="22"/>
  <c r="E110" i="22"/>
  <c r="C111" i="22"/>
  <c r="C54" i="22"/>
  <c r="C46" i="22"/>
  <c r="C40" i="22"/>
  <c r="C36" i="22"/>
  <c r="C30" i="22"/>
  <c r="D56" i="22"/>
  <c r="D48" i="22"/>
  <c r="D38" i="22"/>
  <c r="D113" i="22"/>
  <c r="C53" i="22"/>
  <c r="C45" i="22"/>
  <c r="C39" i="22"/>
  <c r="C35" i="22"/>
  <c r="C29" i="22"/>
  <c r="C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D266" i="17"/>
  <c r="E266" i="17"/>
  <c r="F266" i="17"/>
  <c r="F39" i="20"/>
  <c r="F43" i="20"/>
  <c r="E46" i="20"/>
  <c r="F46" i="20"/>
  <c r="F41" i="20"/>
  <c r="E295" i="18"/>
  <c r="C246" i="18"/>
  <c r="C223" i="18"/>
  <c r="C247" i="18"/>
  <c r="E217" i="18"/>
  <c r="E306" i="18"/>
  <c r="D310" i="18"/>
  <c r="E310" i="18"/>
  <c r="E253" i="18"/>
  <c r="E241" i="18"/>
  <c r="C294" i="18"/>
  <c r="E294" i="18"/>
  <c r="E65" i="18"/>
  <c r="C264" i="18"/>
  <c r="C266" i="18"/>
  <c r="C267" i="18"/>
  <c r="E85" i="18"/>
  <c r="E89" i="18"/>
  <c r="E98" i="18"/>
  <c r="D90" i="18"/>
  <c r="E90" i="18"/>
  <c r="E84" i="18"/>
  <c r="E88" i="18"/>
  <c r="E97" i="18"/>
  <c r="E101" i="18"/>
  <c r="D247" i="18"/>
  <c r="E223" i="18"/>
  <c r="E222" i="18"/>
  <c r="D246" i="18"/>
  <c r="E246" i="18"/>
  <c r="D235" i="18"/>
  <c r="E235" i="18"/>
  <c r="C211" i="18"/>
  <c r="C235" i="18"/>
  <c r="C234" i="18"/>
  <c r="E234" i="18"/>
  <c r="E254" i="18"/>
  <c r="E252" i="18"/>
  <c r="E260" i="18"/>
  <c r="D181" i="18"/>
  <c r="D169" i="18"/>
  <c r="C180" i="18"/>
  <c r="E180" i="18"/>
  <c r="C145" i="18"/>
  <c r="E145" i="18"/>
  <c r="C168" i="18"/>
  <c r="E168" i="18"/>
  <c r="C127" i="18"/>
  <c r="C125" i="18"/>
  <c r="C123" i="18"/>
  <c r="C121" i="18"/>
  <c r="C114" i="18"/>
  <c r="C112" i="18"/>
  <c r="C110" i="18"/>
  <c r="C126" i="18"/>
  <c r="C124" i="18"/>
  <c r="C122" i="18"/>
  <c r="C115" i="18"/>
  <c r="C113" i="18"/>
  <c r="C111" i="18"/>
  <c r="C109" i="18"/>
  <c r="D126" i="18"/>
  <c r="E126" i="18"/>
  <c r="D124" i="18"/>
  <c r="D122" i="18"/>
  <c r="D115" i="18"/>
  <c r="D113" i="18"/>
  <c r="E113" i="18"/>
  <c r="D111" i="18"/>
  <c r="D109" i="18"/>
  <c r="D127" i="18"/>
  <c r="D125" i="18"/>
  <c r="E125" i="18"/>
  <c r="D123" i="18"/>
  <c r="D121" i="18"/>
  <c r="D114" i="18"/>
  <c r="D112" i="18"/>
  <c r="E112" i="18"/>
  <c r="D110" i="18"/>
  <c r="E77" i="18"/>
  <c r="E66" i="18"/>
  <c r="D284" i="18"/>
  <c r="E284" i="18"/>
  <c r="E22" i="18"/>
  <c r="C105" i="18"/>
  <c r="D263" i="18"/>
  <c r="E263" i="18"/>
  <c r="E259" i="18"/>
  <c r="E83" i="18"/>
  <c r="D91" i="18"/>
  <c r="E87" i="18"/>
  <c r="E96" i="18"/>
  <c r="D102" i="18"/>
  <c r="E102" i="18"/>
  <c r="E100" i="18"/>
  <c r="E86" i="18"/>
  <c r="D103" i="18"/>
  <c r="E103" i="18"/>
  <c r="E95" i="18"/>
  <c r="E99" i="18"/>
  <c r="E258" i="18"/>
  <c r="D264" i="18"/>
  <c r="E267" i="17"/>
  <c r="D270" i="17"/>
  <c r="E269" i="17"/>
  <c r="F269" i="17"/>
  <c r="C270" i="17"/>
  <c r="F267" i="17"/>
  <c r="E285" i="17"/>
  <c r="F285" i="17"/>
  <c r="F274" i="17"/>
  <c r="C281" i="17"/>
  <c r="C288" i="17"/>
  <c r="C287" i="17"/>
  <c r="C284" i="17"/>
  <c r="C279" i="17"/>
  <c r="D194" i="17"/>
  <c r="D196" i="17"/>
  <c r="E193" i="17"/>
  <c r="F193" i="17"/>
  <c r="D300" i="17"/>
  <c r="E264" i="17"/>
  <c r="E190" i="17"/>
  <c r="F190" i="17"/>
  <c r="D272" i="17"/>
  <c r="E262" i="17"/>
  <c r="F262" i="17"/>
  <c r="E206" i="17"/>
  <c r="F206" i="17"/>
  <c r="D271" i="17"/>
  <c r="D268" i="17"/>
  <c r="E261" i="17"/>
  <c r="D263" i="17"/>
  <c r="E124" i="17"/>
  <c r="F124" i="17"/>
  <c r="E138" i="17"/>
  <c r="E207" i="17"/>
  <c r="F207" i="17"/>
  <c r="D208" i="17"/>
  <c r="D125" i="17"/>
  <c r="C208" i="17"/>
  <c r="F90" i="17"/>
  <c r="F160" i="17"/>
  <c r="C210" i="17"/>
  <c r="C175" i="17"/>
  <c r="C140" i="17"/>
  <c r="C105" i="17"/>
  <c r="C62" i="17"/>
  <c r="C286" i="17"/>
  <c r="F283" i="17"/>
  <c r="E205" i="17"/>
  <c r="F205" i="17"/>
  <c r="E286" i="17"/>
  <c r="F199" i="17"/>
  <c r="F290" i="17"/>
  <c r="C300" i="17"/>
  <c r="C265" i="17"/>
  <c r="F264" i="17"/>
  <c r="C272" i="17"/>
  <c r="C216" i="17"/>
  <c r="C271" i="17"/>
  <c r="C268" i="17"/>
  <c r="C263" i="17"/>
  <c r="F261" i="17"/>
  <c r="D49" i="17"/>
  <c r="D161" i="17"/>
  <c r="D126" i="17"/>
  <c r="D91" i="17"/>
  <c r="E21" i="17"/>
  <c r="E200" i="17"/>
  <c r="F200" i="17"/>
  <c r="E280" i="17"/>
  <c r="F280" i="17"/>
  <c r="D281" i="17"/>
  <c r="E281" i="17"/>
  <c r="E215" i="17"/>
  <c r="F215" i="17"/>
  <c r="D255" i="17"/>
  <c r="E255" i="17"/>
  <c r="F255" i="17"/>
  <c r="E278" i="17"/>
  <c r="F278" i="17"/>
  <c r="D288" i="17"/>
  <c r="E288" i="17"/>
  <c r="E214" i="17"/>
  <c r="F214" i="17"/>
  <c r="D254" i="17"/>
  <c r="D216" i="17"/>
  <c r="E216" i="17"/>
  <c r="E277" i="17"/>
  <c r="F277" i="17"/>
  <c r="D287" i="17"/>
  <c r="D284" i="17"/>
  <c r="E284" i="17"/>
  <c r="D279" i="17"/>
  <c r="E279" i="17"/>
  <c r="C304" i="17"/>
  <c r="C196" i="17"/>
  <c r="C161" i="17"/>
  <c r="C126" i="17"/>
  <c r="C91" i="17"/>
  <c r="F21" i="17"/>
  <c r="C49" i="17"/>
  <c r="F282" i="17"/>
  <c r="D209" i="17"/>
  <c r="D174" i="17"/>
  <c r="D139" i="17"/>
  <c r="D104" i="17"/>
  <c r="E61" i="17"/>
  <c r="F61" i="17"/>
  <c r="E37" i="17"/>
  <c r="F37" i="17"/>
  <c r="D210" i="17"/>
  <c r="D62" i="17"/>
  <c r="D175" i="17"/>
  <c r="D140" i="17"/>
  <c r="D105" i="17"/>
  <c r="E32" i="17"/>
  <c r="F32" i="17"/>
  <c r="F138" i="17"/>
  <c r="E192" i="17"/>
  <c r="F192" i="17"/>
  <c r="E103" i="17"/>
  <c r="F103" i="17"/>
  <c r="C209" i="17"/>
  <c r="C174" i="17"/>
  <c r="C139" i="17"/>
  <c r="C104" i="17"/>
  <c r="C125" i="17"/>
  <c r="C195" i="17"/>
  <c r="F36" i="14"/>
  <c r="F38" i="14"/>
  <c r="F40" i="14"/>
  <c r="H33" i="14"/>
  <c r="H36" i="14"/>
  <c r="H38" i="14"/>
  <c r="H40" i="14"/>
  <c r="D24" i="13"/>
  <c r="D20" i="13"/>
  <c r="D17" i="13"/>
  <c r="D28" i="13"/>
  <c r="E22" i="13"/>
  <c r="F20" i="12"/>
  <c r="C34" i="12"/>
  <c r="D34" i="12"/>
  <c r="E20" i="12"/>
  <c r="D24" i="8"/>
  <c r="D20" i="8"/>
  <c r="D17" i="8"/>
  <c r="C112" i="8"/>
  <c r="C111" i="8"/>
  <c r="C28" i="8"/>
  <c r="C158" i="8"/>
  <c r="E141" i="8"/>
  <c r="E158" i="8"/>
  <c r="C141" i="8"/>
  <c r="E112" i="8"/>
  <c r="E111" i="8"/>
  <c r="E28" i="8"/>
  <c r="D141" i="8"/>
  <c r="D158" i="8"/>
  <c r="E18" i="5"/>
  <c r="F18" i="5"/>
  <c r="D21" i="5"/>
  <c r="C35" i="5"/>
  <c r="D112" i="22"/>
  <c r="D55" i="22"/>
  <c r="D47" i="22"/>
  <c r="D37" i="22"/>
  <c r="E113" i="22"/>
  <c r="E56" i="22"/>
  <c r="E48" i="22"/>
  <c r="E38" i="22"/>
  <c r="C113" i="22"/>
  <c r="C56" i="22"/>
  <c r="C48" i="22"/>
  <c r="C38" i="22"/>
  <c r="C55" i="22"/>
  <c r="C47" i="22"/>
  <c r="C37" i="22"/>
  <c r="C112" i="22"/>
  <c r="E55" i="22"/>
  <c r="E47" i="22"/>
  <c r="E37" i="22"/>
  <c r="E112" i="22"/>
  <c r="D265" i="17"/>
  <c r="E264" i="18"/>
  <c r="D266" i="18"/>
  <c r="E110" i="18"/>
  <c r="D116" i="18"/>
  <c r="E114" i="18"/>
  <c r="E123" i="18"/>
  <c r="E127" i="18"/>
  <c r="E111" i="18"/>
  <c r="E115" i="18"/>
  <c r="E124" i="18"/>
  <c r="C117" i="18"/>
  <c r="C128" i="18"/>
  <c r="C129" i="18"/>
  <c r="E211" i="18"/>
  <c r="E247" i="18"/>
  <c r="E91" i="18"/>
  <c r="D105" i="18"/>
  <c r="E105" i="18"/>
  <c r="E121" i="18"/>
  <c r="D129" i="18"/>
  <c r="E129" i="18"/>
  <c r="D117" i="18"/>
  <c r="E109" i="18"/>
  <c r="D128" i="18"/>
  <c r="E128" i="18"/>
  <c r="E122" i="18"/>
  <c r="C116" i="18"/>
  <c r="C169" i="18"/>
  <c r="C181" i="18"/>
  <c r="E169" i="18"/>
  <c r="E181" i="18"/>
  <c r="C269" i="18"/>
  <c r="C268" i="18"/>
  <c r="E105" i="17"/>
  <c r="F105" i="17"/>
  <c r="D106" i="17"/>
  <c r="E175" i="17"/>
  <c r="F175" i="17"/>
  <c r="D176" i="17"/>
  <c r="E210" i="17"/>
  <c r="D211" i="17"/>
  <c r="E139" i="17"/>
  <c r="F139" i="17"/>
  <c r="E209" i="17"/>
  <c r="F209" i="17"/>
  <c r="C127" i="17"/>
  <c r="E254" i="17"/>
  <c r="F254" i="17"/>
  <c r="E91" i="17"/>
  <c r="F91" i="17"/>
  <c r="D92" i="17"/>
  <c r="E161" i="17"/>
  <c r="F161" i="17"/>
  <c r="D162" i="17"/>
  <c r="D197" i="17"/>
  <c r="E196" i="17"/>
  <c r="F196" i="17"/>
  <c r="C273" i="17"/>
  <c r="F216" i="17"/>
  <c r="F286" i="17"/>
  <c r="C63" i="17"/>
  <c r="C106" i="17"/>
  <c r="C176" i="17"/>
  <c r="F176" i="17"/>
  <c r="E125" i="17"/>
  <c r="F125" i="17"/>
  <c r="E208" i="17"/>
  <c r="E271" i="17"/>
  <c r="F271" i="17"/>
  <c r="D304" i="17"/>
  <c r="D273" i="17"/>
  <c r="E273" i="17"/>
  <c r="F279" i="17"/>
  <c r="C291" i="17"/>
  <c r="C289" i="17"/>
  <c r="F281" i="17"/>
  <c r="E270" i="17"/>
  <c r="F270" i="17"/>
  <c r="E140" i="17"/>
  <c r="F140" i="17"/>
  <c r="D141" i="17"/>
  <c r="D63" i="17"/>
  <c r="E63" i="17"/>
  <c r="E62" i="17"/>
  <c r="F62" i="17"/>
  <c r="E104" i="17"/>
  <c r="F104" i="17"/>
  <c r="E174" i="17"/>
  <c r="F174" i="17"/>
  <c r="C50" i="17"/>
  <c r="C92" i="17"/>
  <c r="C162" i="17"/>
  <c r="E287" i="17"/>
  <c r="F287" i="17"/>
  <c r="D291" i="17"/>
  <c r="D289" i="17"/>
  <c r="E289" i="17"/>
  <c r="E126" i="17"/>
  <c r="F126" i="17"/>
  <c r="D127" i="17"/>
  <c r="D50" i="17"/>
  <c r="E49" i="17"/>
  <c r="F49" i="17"/>
  <c r="C141" i="17"/>
  <c r="F210" i="17"/>
  <c r="F208" i="17"/>
  <c r="E263" i="17"/>
  <c r="F263" i="17"/>
  <c r="E268" i="17"/>
  <c r="F268" i="17"/>
  <c r="E272" i="17"/>
  <c r="F272" i="17"/>
  <c r="E265" i="17"/>
  <c r="F265" i="17"/>
  <c r="E300" i="17"/>
  <c r="F300" i="17"/>
  <c r="E194" i="17"/>
  <c r="F194" i="17"/>
  <c r="D195" i="17"/>
  <c r="E195" i="17"/>
  <c r="F195" i="17"/>
  <c r="F284" i="17"/>
  <c r="F288" i="17"/>
  <c r="D70" i="13"/>
  <c r="D72" i="13"/>
  <c r="D69" i="13"/>
  <c r="D22" i="13"/>
  <c r="D42" i="12"/>
  <c r="E34" i="12"/>
  <c r="F34" i="12"/>
  <c r="C42" i="12"/>
  <c r="E99" i="8"/>
  <c r="E101" i="8"/>
  <c r="E98" i="8"/>
  <c r="E22" i="8"/>
  <c r="C99" i="8"/>
  <c r="C101" i="8"/>
  <c r="C98" i="8"/>
  <c r="C22" i="8"/>
  <c r="D28" i="8"/>
  <c r="D112" i="8"/>
  <c r="D111" i="8"/>
  <c r="C43" i="5"/>
  <c r="E21" i="5"/>
  <c r="F21" i="5"/>
  <c r="D35" i="5"/>
  <c r="C271" i="18"/>
  <c r="D131" i="18"/>
  <c r="E117" i="18"/>
  <c r="E116" i="18"/>
  <c r="E266" i="18"/>
  <c r="D267" i="18"/>
  <c r="C131" i="18"/>
  <c r="D70" i="17"/>
  <c r="E50" i="17"/>
  <c r="E291" i="17"/>
  <c r="D305" i="17"/>
  <c r="C323" i="17"/>
  <c r="F323" i="17"/>
  <c r="C183" i="17"/>
  <c r="F183" i="17"/>
  <c r="F162" i="17"/>
  <c r="C324" i="17"/>
  <c r="C113" i="17"/>
  <c r="F289" i="17"/>
  <c r="E304" i="17"/>
  <c r="F304" i="17"/>
  <c r="F63" i="17"/>
  <c r="F273" i="17"/>
  <c r="D323" i="17"/>
  <c r="E323" i="17"/>
  <c r="E162" i="17"/>
  <c r="D183" i="17"/>
  <c r="E183" i="17"/>
  <c r="D324" i="17"/>
  <c r="E92" i="17"/>
  <c r="F92" i="17"/>
  <c r="D113" i="17"/>
  <c r="C197" i="17"/>
  <c r="E197" i="17"/>
  <c r="C148" i="17"/>
  <c r="C322" i="17"/>
  <c r="C211" i="17"/>
  <c r="E127" i="17"/>
  <c r="F127" i="17"/>
  <c r="D148" i="17"/>
  <c r="E148" i="17"/>
  <c r="F50" i="17"/>
  <c r="C70" i="17"/>
  <c r="D322" i="17"/>
  <c r="E322" i="17"/>
  <c r="E141" i="17"/>
  <c r="F141" i="17"/>
  <c r="C305" i="17"/>
  <c r="F291" i="17"/>
  <c r="E211" i="17"/>
  <c r="E176" i="17"/>
  <c r="E106" i="17"/>
  <c r="F106" i="17"/>
  <c r="D49" i="12"/>
  <c r="E49" i="12"/>
  <c r="E42" i="12"/>
  <c r="F42" i="12"/>
  <c r="C49" i="12"/>
  <c r="D99" i="8"/>
  <c r="D101" i="8"/>
  <c r="D98" i="8"/>
  <c r="D22" i="8"/>
  <c r="C50" i="5"/>
  <c r="E35" i="5"/>
  <c r="F35" i="5"/>
  <c r="D43" i="5"/>
  <c r="D269" i="18"/>
  <c r="E269" i="18"/>
  <c r="E267" i="18"/>
  <c r="D268" i="18"/>
  <c r="E131" i="18"/>
  <c r="C309" i="17"/>
  <c r="F322" i="17"/>
  <c r="F148" i="17"/>
  <c r="E113" i="17"/>
  <c r="F113" i="17"/>
  <c r="D325" i="17"/>
  <c r="E325" i="17"/>
  <c r="E324" i="17"/>
  <c r="F324" i="17"/>
  <c r="C325" i="17"/>
  <c r="D309" i="17"/>
  <c r="E305" i="17"/>
  <c r="F305" i="17"/>
  <c r="F211" i="17"/>
  <c r="F197" i="17"/>
  <c r="E70" i="17"/>
  <c r="F70" i="17"/>
  <c r="F49" i="12"/>
  <c r="E43" i="5"/>
  <c r="F43" i="5"/>
  <c r="D50" i="5"/>
  <c r="E50" i="5"/>
  <c r="F50" i="5"/>
  <c r="D271" i="18"/>
  <c r="E271" i="18"/>
  <c r="E268" i="18"/>
  <c r="E309" i="17"/>
  <c r="D310" i="17"/>
  <c r="F309" i="17"/>
  <c r="C310" i="17"/>
  <c r="F325" i="17"/>
  <c r="F310" i="17"/>
  <c r="C312" i="17"/>
  <c r="D312" i="17"/>
  <c r="E310" i="17"/>
  <c r="E312" i="17"/>
  <c r="D313" i="17"/>
  <c r="F312" i="17"/>
  <c r="C313" i="17"/>
  <c r="F313" i="17"/>
  <c r="C314" i="17"/>
  <c r="C251" i="17"/>
  <c r="C315" i="17"/>
  <c r="C256" i="17"/>
  <c r="D315" i="17"/>
  <c r="E315" i="17"/>
  <c r="D314" i="17"/>
  <c r="E313" i="17"/>
  <c r="D251" i="17"/>
  <c r="D256" i="17"/>
  <c r="E251" i="17"/>
  <c r="D318" i="17"/>
  <c r="E314" i="17"/>
  <c r="C257" i="17"/>
  <c r="F256" i="17"/>
  <c r="E256" i="17"/>
  <c r="D257" i="17"/>
  <c r="E257" i="17"/>
  <c r="F315" i="17"/>
  <c r="F314" i="17"/>
  <c r="C318" i="17"/>
  <c r="F251" i="17"/>
  <c r="F257" i="17"/>
  <c r="E318" i="17"/>
  <c r="F318" i="17"/>
</calcChain>
</file>

<file path=xl/sharedStrings.xml><?xml version="1.0" encoding="utf-8"?>
<sst xmlns="http://schemas.openxmlformats.org/spreadsheetml/2006/main" count="2333" uniqueCount="1009">
  <si>
    <t>MANCHESTER MEMORIAL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</si>
  <si>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</si>
  <si>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</si>
  <si>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</si>
  <si>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</si>
  <si>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</si>
  <si>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</si>
  <si>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</si>
  <si>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</si>
  <si>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</si>
  <si>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</si>
  <si>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</si>
  <si>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</si>
  <si>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</si>
  <si>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</si>
  <si>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</si>
  <si>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</si>
  <si>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</si>
  <si>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</si>
  <si>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</si>
  <si>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</si>
  <si>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</si>
  <si>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</si>
  <si>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</si>
  <si>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</si>
  <si>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</si>
  <si>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</si>
  <si>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</si>
  <si>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</si>
  <si>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</si>
  <si>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</si>
  <si>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</si>
  <si>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</si>
  <si>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</si>
  <si>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</si>
  <si>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</si>
  <si>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</si>
  <si>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</si>
  <si>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</si>
  <si>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</si>
  <si>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</si>
  <si>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</si>
  <si>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</si>
  <si>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</si>
  <si>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</si>
  <si>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</si>
  <si>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</si>
  <si>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</si>
  <si>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</si>
  <si>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</si>
  <si>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</si>
  <si>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</si>
  <si>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</si>
  <si>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</si>
  <si>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</si>
  <si>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</si>
  <si>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</si>
  <si>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</si>
  <si>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</si>
  <si>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</si>
  <si>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</si>
  <si>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</si>
  <si>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</si>
  <si>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</si>
  <si>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</si>
  <si>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</si>
  <si>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</si>
  <si>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</si>
  <si>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</si>
  <si>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</si>
  <si>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</si>
  <si>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</si>
  <si>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</si>
  <si>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</si>
  <si>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</si>
  <si>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</si>
  <si>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</si>
  <si>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</si>
  <si>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</si>
  <si>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</si>
  <si>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</si>
  <si>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</si>
  <si>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</si>
  <si>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</si>
  <si>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</si>
  <si>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</si>
  <si>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</si>
  <si>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</si>
  <si>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</si>
  <si>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</si>
  <si>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</si>
  <si>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</si>
  <si>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</si>
  <si>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</si>
  <si>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</si>
  <si>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</si>
  <si>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</si>
  <si>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</si>
  <si>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</si>
  <si>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</si>
  <si>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</si>
  <si>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</si>
  <si>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</si>
  <si>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</si>
  <si>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</si>
  <si>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</si>
  <si>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</si>
  <si>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</si>
  <si>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</si>
  <si>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</si>
  <si>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</si>
  <si>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</si>
  <si>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</si>
  <si>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</si>
  <si>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</si>
  <si>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</si>
  <si>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</si>
  <si>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</si>
  <si>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</si>
  <si>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</si>
  <si>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</si>
  <si>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</si>
  <si>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</si>
  <si>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</si>
  <si>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</si>
  <si>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</si>
  <si>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</si>
  <si>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</si>
  <si>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</si>
  <si>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</si>
  <si>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</si>
  <si>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</si>
  <si>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</si>
  <si>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</si>
  <si>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</si>
  <si>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</si>
  <si>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</si>
  <si>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</si>
  <si>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</si>
  <si>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</si>
  <si>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</si>
  <si>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</si>
  <si>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</si>
  <si>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</si>
  <si>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</si>
  <si>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</si>
  <si>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</si>
  <si>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</si>
  <si>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</si>
  <si>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</si>
  <si>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</si>
  <si>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</si>
  <si>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</si>
  <si>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</si>
  <si>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</si>
  <si>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</si>
  <si>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</si>
  <si>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</si>
  <si>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</si>
  <si>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</si>
  <si>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</si>
  <si>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</si>
  <si>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</si>
  <si>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</si>
  <si>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</si>
  <si>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</si>
  <si>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</si>
  <si>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</si>
  <si>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</si>
  <si>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</si>
  <si>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</si>
  <si>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</si>
  <si>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</si>
  <si>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</si>
  <si>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</si>
  <si>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</si>
  <si>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</si>
  <si>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</si>
  <si>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</si>
  <si>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</si>
  <si>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</si>
  <si>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</si>
  <si>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</si>
  <si>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</si>
  <si>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</si>
  <si>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</si>
  <si>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</si>
  <si>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</si>
  <si>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</si>
  <si>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</si>
  <si>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</si>
  <si>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</si>
  <si>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</si>
  <si>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</si>
  <si>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</si>
  <si>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</si>
  <si>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</si>
  <si>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</si>
  <si>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</si>
  <si>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</si>
  <si>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</si>
  <si>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</si>
  <si>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</si>
  <si>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</si>
  <si>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</si>
  <si>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</si>
  <si>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</si>
  <si>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</si>
  <si>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</si>
  <si>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</si>
  <si>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</si>
  <si>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</si>
  <si>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</si>
  <si>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</si>
  <si>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</si>
  <si>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</si>
  <si>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</si>
  <si>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</si>
  <si>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</si>
  <si>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</si>
  <si>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</si>
  <si>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</si>
  <si>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</si>
  <si>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</si>
  <si>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</si>
  <si>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</si>
  <si>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</si>
  <si>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</si>
  <si>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</si>
  <si>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</si>
  <si>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</si>
  <si>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</si>
  <si>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</si>
  <si>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</si>
  <si>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</si>
  <si>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</si>
  <si>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</si>
  <si>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</si>
  <si>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</si>
  <si>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</si>
  <si>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</si>
  <si>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</si>
  <si>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</si>
  <si>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</si>
  <si>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</si>
  <si>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</si>
  <si>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</si>
  <si>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</si>
  <si>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</si>
  <si>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</si>
  <si>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</si>
  <si>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</si>
  <si>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</si>
  <si>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</si>
  <si>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</si>
  <si>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</si>
  <si>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</si>
  <si>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</si>
  <si>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</si>
  <si>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</si>
  <si>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</si>
  <si>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</si>
  <si>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</si>
  <si>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</si>
  <si>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</si>
  <si>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</si>
  <si>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</si>
  <si>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</si>
  <si>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</si>
  <si>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</si>
  <si>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</si>
  <si>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</si>
  <si>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</si>
  <si>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</si>
  <si>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</si>
  <si>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</si>
  <si>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</si>
  <si>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</si>
  <si>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</si>
  <si>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</si>
  <si>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</si>
  <si>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</si>
  <si>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</si>
  <si>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</si>
  <si>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</si>
  <si>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</si>
  <si>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</si>
  <si>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</si>
  <si>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</si>
  <si>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</si>
  <si>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</si>
  <si>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</si>
  <si>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</si>
  <si>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</si>
  <si>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</si>
  <si>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</si>
  <si>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</si>
  <si>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</si>
  <si>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</si>
  <si>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</si>
  <si>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</si>
  <si>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</si>
  <si>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</si>
  <si>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</si>
  <si>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</si>
  <si>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</si>
  <si>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</si>
  <si>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</si>
  <si>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</si>
  <si>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</si>
  <si>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</si>
  <si>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</si>
  <si>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</si>
  <si>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</si>
  <si>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</si>
  <si>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</si>
  <si>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</si>
  <si>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</si>
  <si>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</si>
  <si>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</si>
  <si>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</si>
  <si>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</si>
  <si>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</si>
  <si>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</si>
  <si>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</si>
  <si>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</si>
  <si>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</si>
  <si>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</si>
  <si>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</si>
  <si>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</si>
  <si>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</si>
  <si>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</si>
  <si>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</si>
  <si>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</si>
  <si>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</si>
  <si>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</si>
  <si>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</si>
  <si>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</si>
  <si>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</si>
  <si>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</si>
  <si>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</si>
  <si>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</si>
  <si>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</si>
  <si>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</si>
  <si>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</si>
  <si>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</si>
  <si>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</si>
  <si>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</si>
  <si>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</si>
  <si>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</si>
  <si>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</si>
  <si>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</si>
  <si>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</si>
  <si>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</si>
  <si>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</si>
  <si>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</si>
  <si>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</si>
  <si>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</si>
  <si>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</si>
  <si>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</si>
  <si>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</si>
  <si>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</si>
  <si>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</si>
  <si>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</si>
  <si>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</si>
  <si>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</si>
  <si>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</si>
  <si>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</si>
  <si>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</si>
  <si>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</si>
  <si>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</si>
  <si>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</si>
  <si>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</si>
  <si>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</si>
  <si>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</si>
  <si>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</si>
  <si>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</si>
  <si>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</si>
  <si>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</si>
  <si>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</si>
  <si>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</si>
  <si>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</si>
  <si>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</si>
  <si>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</si>
  <si>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</si>
  <si>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</si>
  <si>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</si>
  <si>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</si>
  <si>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</si>
  <si>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</si>
  <si>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</si>
  <si>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</si>
  <si>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</si>
  <si>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</si>
  <si>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</si>
  <si>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</si>
  <si>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</si>
  <si>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</si>
  <si>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</si>
  <si>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</si>
  <si>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</si>
  <si>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</si>
  <si>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</si>
  <si>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</si>
  <si>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</si>
  <si>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</si>
  <si>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</si>
  <si>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</si>
  <si>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</si>
  <si>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</si>
  <si>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</si>
  <si>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</si>
  <si>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</si>
  <si>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</si>
  <si>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</si>
  <si>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</si>
  <si>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</si>
  <si>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</si>
  <si>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</si>
  <si>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</si>
  <si>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</si>
  <si>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</si>
  <si>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</si>
  <si>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</si>
  <si>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</si>
  <si>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</si>
  <si>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</si>
  <si>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</si>
  <si>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</si>
  <si>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</si>
  <si>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</si>
  <si>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</si>
  <si>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</si>
  <si>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</si>
  <si>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</si>
  <si>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</si>
  <si>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</si>
  <si>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</si>
  <si>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</si>
  <si>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</si>
  <si>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</si>
  <si>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</si>
  <si>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</si>
  <si>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</si>
  <si>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</si>
  <si>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</si>
  <si>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</si>
  <si>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</si>
  <si>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</si>
  <si>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</si>
  <si>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</si>
  <si>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</si>
  <si>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</si>
  <si>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</si>
  <si>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</si>
  <si>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</si>
  <si>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</si>
  <si>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</si>
  <si>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</si>
  <si>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</si>
  <si>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</si>
  <si>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</si>
  <si>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</si>
  <si>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</si>
  <si>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</si>
  <si>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</si>
  <si>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</si>
  <si>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</si>
  <si>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</si>
  <si>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</si>
  <si>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</si>
  <si>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</si>
  <si>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</si>
  <si>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</si>
  <si>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</si>
  <si>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</si>
  <si>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</si>
  <si>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</si>
  <si>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</si>
  <si>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</si>
  <si>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</si>
  <si>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</si>
  <si>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</si>
  <si>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</si>
  <si>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</si>
  <si>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</si>
  <si>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</si>
  <si>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</si>
  <si>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</si>
  <si>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</si>
  <si>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</si>
  <si>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</si>
  <si>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</si>
  <si>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</si>
  <si>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</si>
  <si>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</si>
  <si>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</si>
  <si>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</si>
  <si>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</si>
  <si>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</si>
  <si>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EASTERN CONNECTICUT HEALTH NETWORK,INC.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</si>
  <si>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</si>
  <si>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</si>
  <si>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</si>
  <si>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</si>
  <si>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</si>
  <si>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</si>
  <si>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</si>
  <si>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</si>
  <si>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</si>
  <si>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</si>
  <si>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</si>
  <si>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</si>
  <si>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</si>
  <si>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</si>
  <si>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</si>
  <si>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</si>
  <si>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</si>
  <si>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</si>
  <si>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</si>
  <si>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</si>
  <si>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</si>
  <si>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</si>
  <si>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</si>
  <si>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</si>
  <si>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</si>
  <si>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</si>
  <si>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</si>
  <si>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</si>
  <si>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</si>
  <si>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</si>
  <si>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</si>
  <si>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</si>
  <si>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</si>
  <si>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</si>
  <si>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</si>
  <si>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</si>
  <si>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</si>
  <si>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</si>
  <si>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</si>
  <si>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</si>
  <si>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</si>
  <si>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</si>
  <si>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</si>
  <si>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</si>
  <si>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</si>
  <si>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</si>
  <si>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</si>
  <si>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</si>
  <si>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</si>
  <si>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</si>
  <si>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</si>
  <si>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</si>
  <si>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</si>
  <si>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</si>
  <si>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</si>
  <si>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</si>
  <si>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</si>
  <si>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</si>
  <si>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</si>
  <si>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</si>
  <si>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</si>
  <si>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</si>
  <si>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</si>
  <si>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</si>
  <si>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</si>
  <si>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</si>
  <si>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</si>
  <si>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</si>
  <si>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</si>
  <si>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</si>
  <si>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</si>
  <si>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</si>
  <si>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</si>
  <si>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</si>
  <si>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</si>
  <si>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</si>
  <si>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</si>
  <si>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</si>
  <si>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</si>
  <si>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</si>
  <si>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</si>
  <si>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</si>
  <si>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</si>
  <si>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</si>
  <si>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</si>
  <si>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</si>
  <si>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</si>
  <si>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</si>
  <si>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</si>
  <si>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</si>
  <si>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</si>
  <si>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</si>
  <si>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</si>
  <si>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</si>
  <si>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</si>
  <si>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</si>
  <si>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</si>
  <si>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</si>
  <si>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</si>
  <si>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</si>
  <si>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</si>
  <si>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</si>
  <si>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</si>
  <si>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</si>
  <si>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</si>
  <si>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</si>
  <si>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</si>
  <si>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</si>
  <si>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</si>
  <si>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</si>
  <si>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</si>
  <si>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</si>
  <si>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</si>
  <si>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</si>
  <si>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</si>
  <si>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</si>
  <si>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</si>
  <si>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</si>
  <si>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</si>
  <si>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</si>
  <si>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 Operating Room</t>
  </si>
  <si>
    <t>Total Outpatient Surgical Procedures(A)</t>
  </si>
  <si>
    <t>Total Outpatient Endoscopy Procedures(B)</t>
  </si>
  <si>
    <t>Outpatient Hospital Emergency Room Visits</t>
  </si>
  <si>
    <t>Hospital Emergency Room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</si>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</sst>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12239488</v>
      </c>
      <c r="D13" s="22">
        <v>9361439</v>
      </c>
      <c r="E13" s="22">
        <f t="shared" ref="E13:E22" si="0">D13-C13</f>
        <v>-2878049</v>
      </c>
      <c r="F13" s="23">
        <f t="shared" ref="F13:F22" si="1">IF(C13=0,0,E13/C13)</f>
        <v>-0.23514455833446629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27182276</v>
      </c>
      <c r="D15" s="22">
        <v>25099884</v>
      </c>
      <c r="E15" s="22">
        <f t="shared" si="0"/>
        <v>-2082392</v>
      </c>
      <c r="F15" s="23">
        <f t="shared" si="1"/>
        <v>-7.6608448828935444E-2</v>
      </c>
    </row>
    <row r="16" spans="1:8" ht="24" customHeight="1" x14ac:dyDescent="0.2">
      <c r="A16" s="20">
        <v>4</v>
      </c>
      <c r="B16" s="21" t="s">
        <v>19</v>
      </c>
      <c r="C16" s="22">
        <v>1300096</v>
      </c>
      <c r="D16" s="22">
        <v>653623</v>
      </c>
      <c r="E16" s="22">
        <f t="shared" si="0"/>
        <v>-646473</v>
      </c>
      <c r="F16" s="23">
        <f t="shared" si="1"/>
        <v>-0.49725020306192774</v>
      </c>
    </row>
    <row r="17" spans="1:11" ht="24" customHeight="1" x14ac:dyDescent="0.2">
      <c r="A17" s="20">
        <v>5</v>
      </c>
      <c r="B17" s="21" t="s">
        <v>20</v>
      </c>
      <c r="C17" s="22">
        <v>370120</v>
      </c>
      <c r="D17" s="22">
        <v>142498</v>
      </c>
      <c r="E17" s="22">
        <f t="shared" si="0"/>
        <v>-227622</v>
      </c>
      <c r="F17" s="23">
        <f t="shared" si="1"/>
        <v>-0.61499513671241757</v>
      </c>
    </row>
    <row r="18" spans="1:11" ht="24" customHeight="1" x14ac:dyDescent="0.2">
      <c r="A18" s="20">
        <v>6</v>
      </c>
      <c r="B18" s="21" t="s">
        <v>21</v>
      </c>
      <c r="C18" s="22">
        <v>3078822</v>
      </c>
      <c r="D18" s="22">
        <v>3454150</v>
      </c>
      <c r="E18" s="22">
        <f t="shared" si="0"/>
        <v>375328</v>
      </c>
      <c r="F18" s="23">
        <f t="shared" si="1"/>
        <v>0.12190636548653998</v>
      </c>
    </row>
    <row r="19" spans="1:11" ht="24" customHeight="1" x14ac:dyDescent="0.2">
      <c r="A19" s="20">
        <v>7</v>
      </c>
      <c r="B19" s="21" t="s">
        <v>22</v>
      </c>
      <c r="C19" s="22">
        <v>3245125</v>
      </c>
      <c r="D19" s="22">
        <v>3873042</v>
      </c>
      <c r="E19" s="22">
        <f t="shared" si="0"/>
        <v>627917</v>
      </c>
      <c r="F19" s="23">
        <f t="shared" si="1"/>
        <v>0.19349547398020106</v>
      </c>
    </row>
    <row r="20" spans="1:11" ht="24" customHeight="1" x14ac:dyDescent="0.2">
      <c r="A20" s="20">
        <v>8</v>
      </c>
      <c r="B20" s="21" t="s">
        <v>23</v>
      </c>
      <c r="C20" s="22">
        <v>2316130</v>
      </c>
      <c r="D20" s="22">
        <v>2357426</v>
      </c>
      <c r="E20" s="22">
        <f t="shared" si="0"/>
        <v>41296</v>
      </c>
      <c r="F20" s="23">
        <f t="shared" si="1"/>
        <v>1.7829741853868306E-2</v>
      </c>
    </row>
    <row r="21" spans="1:11" ht="24" customHeight="1" x14ac:dyDescent="0.2">
      <c r="A21" s="20">
        <v>9</v>
      </c>
      <c r="B21" s="21" t="s">
        <v>24</v>
      </c>
      <c r="C21" s="22">
        <v>0</v>
      </c>
      <c r="D21" s="22">
        <v>0</v>
      </c>
      <c r="E21" s="22">
        <f t="shared" si="0"/>
        <v>0</v>
      </c>
      <c r="F21" s="23">
        <f t="shared" si="1"/>
        <v>0</v>
      </c>
    </row>
    <row r="22" spans="1:11" ht="24" customHeight="1" x14ac:dyDescent="0.25">
      <c r="A22" s="24"/>
      <c r="B22" s="25" t="s">
        <v>25</v>
      </c>
      <c r="C22" s="26">
        <f>SUM(C13:C21)</f>
        <v>49732057</v>
      </c>
      <c r="D22" s="26">
        <f>SUM(D13:D21)</f>
        <v>44942062</v>
      </c>
      <c r="E22" s="26">
        <f t="shared" si="0"/>
        <v>-4789995</v>
      </c>
      <c r="F22" s="27">
        <f t="shared" si="1"/>
        <v>-9.6316044196603404E-2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9021896</v>
      </c>
      <c r="D25" s="22">
        <v>13097882</v>
      </c>
      <c r="E25" s="22">
        <f>D25-C25</f>
        <v>4075986</v>
      </c>
      <c r="F25" s="23">
        <f>IF(C25=0,0,E25/C25)</f>
        <v>0.45178818288306583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11660074</v>
      </c>
      <c r="D28" s="22">
        <v>12762846</v>
      </c>
      <c r="E28" s="22">
        <f>D28-C28</f>
        <v>1102772</v>
      </c>
      <c r="F28" s="23">
        <f>IF(C28=0,0,E28/C28)</f>
        <v>9.4576758260710866E-2</v>
      </c>
    </row>
    <row r="29" spans="1:11" ht="24" customHeight="1" x14ac:dyDescent="0.25">
      <c r="A29" s="24"/>
      <c r="B29" s="25" t="s">
        <v>32</v>
      </c>
      <c r="C29" s="26">
        <f>SUM(C25:C28)</f>
        <v>20681970</v>
      </c>
      <c r="D29" s="26">
        <f>SUM(D25:D28)</f>
        <v>25860728</v>
      </c>
      <c r="E29" s="26">
        <f>D29-C29</f>
        <v>5178758</v>
      </c>
      <c r="F29" s="27">
        <f>IF(C29=0,0,E29/C29)</f>
        <v>0.25039964761577355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7278631</v>
      </c>
      <c r="D31" s="22">
        <v>7323190</v>
      </c>
      <c r="E31" s="22">
        <f>D31-C31</f>
        <v>44559</v>
      </c>
      <c r="F31" s="23">
        <f>IF(C31=0,0,E31/C31)</f>
        <v>6.1218929768523779E-3</v>
      </c>
    </row>
    <row r="32" spans="1:11" ht="24" customHeight="1" x14ac:dyDescent="0.2">
      <c r="A32" s="20">
        <v>6</v>
      </c>
      <c r="B32" s="21" t="s">
        <v>34</v>
      </c>
      <c r="C32" s="22">
        <v>7868128</v>
      </c>
      <c r="D32" s="22">
        <v>5188536</v>
      </c>
      <c r="E32" s="22">
        <f>D32-C32</f>
        <v>-2679592</v>
      </c>
      <c r="F32" s="23">
        <f>IF(C32=0,0,E32/C32)</f>
        <v>-0.34056283781860186</v>
      </c>
    </row>
    <row r="33" spans="1:8" ht="24" customHeight="1" x14ac:dyDescent="0.2">
      <c r="A33" s="20">
        <v>7</v>
      </c>
      <c r="B33" s="21" t="s">
        <v>35</v>
      </c>
      <c r="C33" s="22">
        <v>34019637</v>
      </c>
      <c r="D33" s="22">
        <v>22722234</v>
      </c>
      <c r="E33" s="22">
        <f>D33-C33</f>
        <v>-11297403</v>
      </c>
      <c r="F33" s="23">
        <f>IF(C33=0,0,E33/C33)</f>
        <v>-0.33208476034003537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188491903</v>
      </c>
      <c r="D36" s="22">
        <v>194979035</v>
      </c>
      <c r="E36" s="22">
        <f>D36-C36</f>
        <v>6487132</v>
      </c>
      <c r="F36" s="23">
        <f>IF(C36=0,0,E36/C36)</f>
        <v>3.4415971703569678E-2</v>
      </c>
    </row>
    <row r="37" spans="1:8" ht="24" customHeight="1" x14ac:dyDescent="0.2">
      <c r="A37" s="20">
        <v>2</v>
      </c>
      <c r="B37" s="21" t="s">
        <v>39</v>
      </c>
      <c r="C37" s="22">
        <v>134774977</v>
      </c>
      <c r="D37" s="22">
        <v>141480889</v>
      </c>
      <c r="E37" s="22">
        <f>D37-C37</f>
        <v>6705912</v>
      </c>
      <c r="F37" s="23">
        <f>IF(C37=0,0,E37/C37)</f>
        <v>4.975635796250219E-2</v>
      </c>
    </row>
    <row r="38" spans="1:8" ht="24" customHeight="1" x14ac:dyDescent="0.25">
      <c r="A38" s="24"/>
      <c r="B38" s="25" t="s">
        <v>40</v>
      </c>
      <c r="C38" s="26">
        <f>C36-C37</f>
        <v>53716926</v>
      </c>
      <c r="D38" s="26">
        <f>D36-D37</f>
        <v>53498146</v>
      </c>
      <c r="E38" s="26">
        <f>D38-C38</f>
        <v>-218780</v>
      </c>
      <c r="F38" s="27">
        <f>IF(C38=0,0,E38/C38)</f>
        <v>-4.0728317178834843E-3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857425</v>
      </c>
      <c r="D40" s="22">
        <v>2219495</v>
      </c>
      <c r="E40" s="22">
        <f>D40-C40</f>
        <v>1362070</v>
      </c>
      <c r="F40" s="23">
        <f>IF(C40=0,0,E40/C40)</f>
        <v>1.5885587660728344</v>
      </c>
    </row>
    <row r="41" spans="1:8" ht="24" customHeight="1" x14ac:dyDescent="0.25">
      <c r="A41" s="24"/>
      <c r="B41" s="25" t="s">
        <v>42</v>
      </c>
      <c r="C41" s="26">
        <f>+C38+C40</f>
        <v>54574351</v>
      </c>
      <c r="D41" s="26">
        <f>+D38+D40</f>
        <v>55717641</v>
      </c>
      <c r="E41" s="26">
        <f>D41-C41</f>
        <v>1143290</v>
      </c>
      <c r="F41" s="27">
        <f>IF(C41=0,0,E41/C41)</f>
        <v>2.094921843413218E-2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174154774</v>
      </c>
      <c r="D43" s="26">
        <f>D22+D29+D31+D32+D33+D41</f>
        <v>161754391</v>
      </c>
      <c r="E43" s="26">
        <f>D43-C43</f>
        <v>-12400383</v>
      </c>
      <c r="F43" s="27">
        <f>IF(C43=0,0,E43/C43)</f>
        <v>-7.1203233280300426E-2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18611290</v>
      </c>
      <c r="D49" s="22">
        <v>18926708</v>
      </c>
      <c r="E49" s="22">
        <f t="shared" ref="E49:E56" si="2">D49-C49</f>
        <v>315418</v>
      </c>
      <c r="F49" s="23">
        <f t="shared" ref="F49:F56" si="3">IF(C49=0,0,E49/C49)</f>
        <v>1.6947669935829274E-2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2780288</v>
      </c>
      <c r="D50" s="22">
        <v>2916129</v>
      </c>
      <c r="E50" s="22">
        <f t="shared" si="2"/>
        <v>135841</v>
      </c>
      <c r="F50" s="23">
        <f t="shared" si="3"/>
        <v>4.8858607453616316E-2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2943941</v>
      </c>
      <c r="D51" s="22">
        <v>4285117</v>
      </c>
      <c r="E51" s="22">
        <f t="shared" si="2"/>
        <v>1341176</v>
      </c>
      <c r="F51" s="23">
        <f t="shared" si="3"/>
        <v>0.45557163000209583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23158</v>
      </c>
      <c r="E52" s="22">
        <f t="shared" si="2"/>
        <v>23158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7733854</v>
      </c>
      <c r="D53" s="22">
        <v>6889131</v>
      </c>
      <c r="E53" s="22">
        <f t="shared" si="2"/>
        <v>-844723</v>
      </c>
      <c r="F53" s="23">
        <f t="shared" si="3"/>
        <v>-0.10922406862089716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2675764</v>
      </c>
      <c r="D54" s="22">
        <v>2802971</v>
      </c>
      <c r="E54" s="22">
        <f t="shared" si="2"/>
        <v>127207</v>
      </c>
      <c r="F54" s="23">
        <f t="shared" si="3"/>
        <v>4.754044078625768E-2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7166720</v>
      </c>
      <c r="D55" s="22">
        <v>3678922</v>
      </c>
      <c r="E55" s="22">
        <f t="shared" si="2"/>
        <v>-3487798</v>
      </c>
      <c r="F55" s="23">
        <f t="shared" si="3"/>
        <v>-0.48666586667262013</v>
      </c>
    </row>
    <row r="56" spans="1:6" ht="24" customHeight="1" x14ac:dyDescent="0.25">
      <c r="A56" s="24"/>
      <c r="B56" s="25" t="s">
        <v>54</v>
      </c>
      <c r="C56" s="26">
        <f>SUM(C49:C55)</f>
        <v>41911857</v>
      </c>
      <c r="D56" s="26">
        <f>SUM(D49:D55)</f>
        <v>39522136</v>
      </c>
      <c r="E56" s="26">
        <f t="shared" si="2"/>
        <v>-2389721</v>
      </c>
      <c r="F56" s="27">
        <f t="shared" si="3"/>
        <v>-5.7017779002252272E-2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40780273</v>
      </c>
      <c r="D59" s="22">
        <v>39479470</v>
      </c>
      <c r="E59" s="22">
        <f>D59-C59</f>
        <v>-1300803</v>
      </c>
      <c r="F59" s="23">
        <f>IF(C59=0,0,E59/C59)</f>
        <v>-3.189784923705636E-2</v>
      </c>
    </row>
    <row r="60" spans="1:6" ht="24" customHeight="1" x14ac:dyDescent="0.2">
      <c r="A60" s="20">
        <v>2</v>
      </c>
      <c r="B60" s="21" t="s">
        <v>57</v>
      </c>
      <c r="C60" s="22">
        <v>10013540</v>
      </c>
      <c r="D60" s="22">
        <v>10941557</v>
      </c>
      <c r="E60" s="22">
        <f>D60-C60</f>
        <v>928017</v>
      </c>
      <c r="F60" s="23">
        <f>IF(C60=0,0,E60/C60)</f>
        <v>9.2676216402990355E-2</v>
      </c>
    </row>
    <row r="61" spans="1:6" ht="24" customHeight="1" x14ac:dyDescent="0.25">
      <c r="A61" s="24"/>
      <c r="B61" s="25" t="s">
        <v>58</v>
      </c>
      <c r="C61" s="26">
        <f>SUM(C59:C60)</f>
        <v>50793813</v>
      </c>
      <c r="D61" s="26">
        <f>SUM(D59:D60)</f>
        <v>50421027</v>
      </c>
      <c r="E61" s="26">
        <f>D61-C61</f>
        <v>-372786</v>
      </c>
      <c r="F61" s="27">
        <f>IF(C61=0,0,E61/C61)</f>
        <v>-7.3392009377205051E-3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29256268</v>
      </c>
      <c r="D63" s="22">
        <v>34595139</v>
      </c>
      <c r="E63" s="22">
        <f>D63-C63</f>
        <v>5338871</v>
      </c>
      <c r="F63" s="23">
        <f>IF(C63=0,0,E63/C63)</f>
        <v>0.1824863991538497</v>
      </c>
    </row>
    <row r="64" spans="1:6" ht="24" customHeight="1" x14ac:dyDescent="0.2">
      <c r="A64" s="20">
        <v>4</v>
      </c>
      <c r="B64" s="21" t="s">
        <v>60</v>
      </c>
      <c r="C64" s="22">
        <v>14461096</v>
      </c>
      <c r="D64" s="22">
        <v>12417672</v>
      </c>
      <c r="E64" s="22">
        <f>D64-C64</f>
        <v>-2043424</v>
      </c>
      <c r="F64" s="23">
        <f>IF(C64=0,0,E64/C64)</f>
        <v>-0.14130491907390699</v>
      </c>
    </row>
    <row r="65" spans="1:6" ht="24" customHeight="1" x14ac:dyDescent="0.25">
      <c r="A65" s="24"/>
      <c r="B65" s="25" t="s">
        <v>61</v>
      </c>
      <c r="C65" s="26">
        <f>SUM(C61:C64)</f>
        <v>94511177</v>
      </c>
      <c r="D65" s="26">
        <f>SUM(D61:D64)</f>
        <v>97433838</v>
      </c>
      <c r="E65" s="26">
        <f>D65-C65</f>
        <v>2922661</v>
      </c>
      <c r="F65" s="27">
        <f>IF(C65=0,0,E65/C65)</f>
        <v>3.092397209273989E-2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27759929</v>
      </c>
      <c r="D70" s="22">
        <v>11344473</v>
      </c>
      <c r="E70" s="22">
        <f>D70-C70</f>
        <v>-16415456</v>
      </c>
      <c r="F70" s="23">
        <f>IF(C70=0,0,E70/C70)</f>
        <v>-0.5913363827407484</v>
      </c>
    </row>
    <row r="71" spans="1:6" ht="24" customHeight="1" x14ac:dyDescent="0.2">
      <c r="A71" s="20">
        <v>2</v>
      </c>
      <c r="B71" s="21" t="s">
        <v>65</v>
      </c>
      <c r="C71" s="22">
        <v>1392902</v>
      </c>
      <c r="D71" s="22">
        <v>974762</v>
      </c>
      <c r="E71" s="22">
        <f>D71-C71</f>
        <v>-418140</v>
      </c>
      <c r="F71" s="23">
        <f>IF(C71=0,0,E71/C71)</f>
        <v>-0.30019340915584874</v>
      </c>
    </row>
    <row r="72" spans="1:6" ht="24" customHeight="1" x14ac:dyDescent="0.2">
      <c r="A72" s="20">
        <v>3</v>
      </c>
      <c r="B72" s="21" t="s">
        <v>66</v>
      </c>
      <c r="C72" s="22">
        <v>8578909</v>
      </c>
      <c r="D72" s="22">
        <v>12479182</v>
      </c>
      <c r="E72" s="22">
        <f>D72-C72</f>
        <v>3900273</v>
      </c>
      <c r="F72" s="23">
        <f>IF(C72=0,0,E72/C72)</f>
        <v>0.45463508238635009</v>
      </c>
    </row>
    <row r="73" spans="1:6" ht="24" customHeight="1" x14ac:dyDescent="0.25">
      <c r="A73" s="20"/>
      <c r="B73" s="25" t="s">
        <v>67</v>
      </c>
      <c r="C73" s="26">
        <f>SUM(C70:C72)</f>
        <v>37731740</v>
      </c>
      <c r="D73" s="26">
        <f>SUM(D70:D72)</f>
        <v>24798417</v>
      </c>
      <c r="E73" s="26">
        <f>D73-C73</f>
        <v>-12933323</v>
      </c>
      <c r="F73" s="27">
        <f>IF(C73=0,0,E73/C73)</f>
        <v>-0.3427703837670884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174154774</v>
      </c>
      <c r="D75" s="26">
        <f>D56+D65+D67+D73</f>
        <v>161754391</v>
      </c>
      <c r="E75" s="26">
        <f>D75-C75</f>
        <v>-12400383</v>
      </c>
      <c r="F75" s="27">
        <f>IF(C75=0,0,E75/C75)</f>
        <v>-7.1203233280300426E-2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FILING&amp;RMANCHESTER MEMORIAL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277042997</v>
      </c>
      <c r="D11" s="76">
        <v>298979957</v>
      </c>
      <c r="E11" s="76">
        <v>299755216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28839184</v>
      </c>
      <c r="D12" s="185">
        <v>28987736</v>
      </c>
      <c r="E12" s="185">
        <v>29000109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305882181</v>
      </c>
      <c r="D13" s="76">
        <f>+D11+D12</f>
        <v>327967693</v>
      </c>
      <c r="E13" s="76">
        <f>+E11+E12</f>
        <v>328755325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300954489</v>
      </c>
      <c r="D14" s="185">
        <v>327855198</v>
      </c>
      <c r="E14" s="185">
        <v>326582604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4927692</v>
      </c>
      <c r="D15" s="76">
        <f>+D13-D14</f>
        <v>112495</v>
      </c>
      <c r="E15" s="76">
        <f>+E13-E14</f>
        <v>2172721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-1200536</v>
      </c>
      <c r="D16" s="185">
        <v>-2138589</v>
      </c>
      <c r="E16" s="185">
        <v>-2125751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3727156</v>
      </c>
      <c r="D17" s="76">
        <f>D15+D16</f>
        <v>-2026094</v>
      </c>
      <c r="E17" s="76">
        <f>E15+E16</f>
        <v>46970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1.6173248637934852E-2</v>
      </c>
      <c r="D20" s="189">
        <f>IF(+D27=0,0,+D24/+D27)</f>
        <v>3.4525767839327208E-4</v>
      </c>
      <c r="E20" s="189">
        <f>IF(+E27=0,0,+E24/+E27)</f>
        <v>6.6519420559266323E-3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-3.9402964363015698E-3</v>
      </c>
      <c r="D21" s="189">
        <f>IF(+D27=0,0,+D26/+D27)</f>
        <v>-6.5635296962299602E-3</v>
      </c>
      <c r="E21" s="189">
        <f>IF(+E27=0,0,+E26/+E27)</f>
        <v>-6.5081400130656874E-3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1.2232952201633281E-2</v>
      </c>
      <c r="D22" s="189">
        <f>IF(+D27=0,0,+D28/+D27)</f>
        <v>-6.2182720178366874E-3</v>
      </c>
      <c r="E22" s="189">
        <f>IF(+E27=0,0,+E28/+E27)</f>
        <v>1.4380204286094437E-4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4927692</v>
      </c>
      <c r="D24" s="76">
        <f>+D15</f>
        <v>112495</v>
      </c>
      <c r="E24" s="76">
        <f>+E15</f>
        <v>2172721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305882181</v>
      </c>
      <c r="D25" s="76">
        <f>+D13</f>
        <v>327967693</v>
      </c>
      <c r="E25" s="76">
        <f>+E13</f>
        <v>328755325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-1200536</v>
      </c>
      <c r="D26" s="76">
        <f>+D16</f>
        <v>-2138589</v>
      </c>
      <c r="E26" s="76">
        <f>+E16</f>
        <v>-2125751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304681645</v>
      </c>
      <c r="D27" s="76">
        <f>SUM(D25:D26)</f>
        <v>325829104</v>
      </c>
      <c r="E27" s="76">
        <f>SUM(E25:E26)</f>
        <v>326629574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3727156</v>
      </c>
      <c r="D28" s="76">
        <f>+D17</f>
        <v>-2026094</v>
      </c>
      <c r="E28" s="76">
        <f>+E17</f>
        <v>46970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36549384</v>
      </c>
      <c r="D31" s="76">
        <v>70965928</v>
      </c>
      <c r="E31" s="76">
        <v>59544873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51601261</v>
      </c>
      <c r="D32" s="76">
        <v>85849149</v>
      </c>
      <c r="E32" s="76">
        <v>77693789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-3560396</v>
      </c>
      <c r="D33" s="76">
        <f>+D32-C32</f>
        <v>34247888</v>
      </c>
      <c r="E33" s="76">
        <f>+E32-D32</f>
        <v>-8155360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0.93540000000000001</v>
      </c>
      <c r="D34" s="193">
        <f>IF(C32=0,0,+D33/C32)</f>
        <v>0.6637025401375366</v>
      </c>
      <c r="E34" s="193">
        <f>IF(D32=0,0,+E33/D32)</f>
        <v>-9.4996398857721931E-2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1.456033453204683</v>
      </c>
      <c r="D38" s="338">
        <f>IF(+D40=0,0,+D39/+D40)</f>
        <v>1.311508725619533</v>
      </c>
      <c r="E38" s="338">
        <f>IF(+E40=0,0,+E39/+E40)</f>
        <v>1.3327302292232019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85875895</v>
      </c>
      <c r="D39" s="341">
        <v>84389707</v>
      </c>
      <c r="E39" s="341">
        <v>81233895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58979342</v>
      </c>
      <c r="D40" s="341">
        <v>64345517</v>
      </c>
      <c r="E40" s="341">
        <v>60952992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25.31276254323226</v>
      </c>
      <c r="D42" s="343">
        <f>IF((D48/365)=0,0,+D45/(D48/365))</f>
        <v>25.954656364633504</v>
      </c>
      <c r="E42" s="343">
        <f>IF((E48/365)=0,0,+E45/(E48/365))</f>
        <v>24.071590136151443</v>
      </c>
    </row>
    <row r="43" spans="1:14" ht="24" customHeight="1" x14ac:dyDescent="0.2">
      <c r="A43" s="339">
        <v>5</v>
      </c>
      <c r="B43" s="344" t="s">
        <v>16</v>
      </c>
      <c r="C43" s="345">
        <v>20052067</v>
      </c>
      <c r="D43" s="345">
        <v>22439356</v>
      </c>
      <c r="E43" s="345">
        <v>20733601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20052067</v>
      </c>
      <c r="D45" s="341">
        <f>+D43+D44</f>
        <v>22439356</v>
      </c>
      <c r="E45" s="341">
        <f>+E43+E44</f>
        <v>20733601</v>
      </c>
    </row>
    <row r="46" spans="1:14" ht="24" customHeight="1" x14ac:dyDescent="0.2">
      <c r="A46" s="339">
        <v>8</v>
      </c>
      <c r="B46" s="340" t="s">
        <v>334</v>
      </c>
      <c r="C46" s="341">
        <f>+C14</f>
        <v>300954489</v>
      </c>
      <c r="D46" s="341">
        <f>+D14</f>
        <v>327855198</v>
      </c>
      <c r="E46" s="341">
        <f>+E14</f>
        <v>326582604</v>
      </c>
    </row>
    <row r="47" spans="1:14" ht="24" customHeight="1" x14ac:dyDescent="0.2">
      <c r="A47" s="339">
        <v>9</v>
      </c>
      <c r="B47" s="340" t="s">
        <v>356</v>
      </c>
      <c r="C47" s="341">
        <v>11811633</v>
      </c>
      <c r="D47" s="341">
        <v>12290822</v>
      </c>
      <c r="E47" s="341">
        <v>12196877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289142856</v>
      </c>
      <c r="D48" s="341">
        <f>+D46-D47</f>
        <v>315564376</v>
      </c>
      <c r="E48" s="341">
        <f>+E46-E47</f>
        <v>314385727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63.661404749386243</v>
      </c>
      <c r="D50" s="350">
        <f>IF((D55/365)=0,0,+D54/(D55/365))</f>
        <v>55.516532400865927</v>
      </c>
      <c r="E50" s="350">
        <f>IF((E55/365)=0,0,+E54/(E55/365))</f>
        <v>51.713660272053446</v>
      </c>
    </row>
    <row r="51" spans="1:5" ht="24" customHeight="1" x14ac:dyDescent="0.2">
      <c r="A51" s="339">
        <v>12</v>
      </c>
      <c r="B51" s="344" t="s">
        <v>359</v>
      </c>
      <c r="C51" s="351">
        <v>46711256</v>
      </c>
      <c r="D51" s="351">
        <v>46524143</v>
      </c>
      <c r="E51" s="351">
        <v>44610272</v>
      </c>
    </row>
    <row r="52" spans="1:5" ht="24" customHeight="1" x14ac:dyDescent="0.2">
      <c r="A52" s="339">
        <v>13</v>
      </c>
      <c r="B52" s="344" t="s">
        <v>21</v>
      </c>
      <c r="C52" s="341">
        <v>4402920</v>
      </c>
      <c r="D52" s="341">
        <v>3463096</v>
      </c>
      <c r="E52" s="341">
        <v>3602585</v>
      </c>
    </row>
    <row r="53" spans="1:5" ht="24" customHeight="1" x14ac:dyDescent="0.2">
      <c r="A53" s="339">
        <v>14</v>
      </c>
      <c r="B53" s="344" t="s">
        <v>49</v>
      </c>
      <c r="C53" s="341">
        <v>2793775</v>
      </c>
      <c r="D53" s="341">
        <v>4512361</v>
      </c>
      <c r="E53" s="341">
        <v>5743160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48320401</v>
      </c>
      <c r="D54" s="352">
        <f>+D51+D52-D53</f>
        <v>45474878</v>
      </c>
      <c r="E54" s="352">
        <f>+E51+E52-E53</f>
        <v>42469697</v>
      </c>
    </row>
    <row r="55" spans="1:5" ht="24" customHeight="1" x14ac:dyDescent="0.2">
      <c r="A55" s="339">
        <v>16</v>
      </c>
      <c r="B55" s="340" t="s">
        <v>75</v>
      </c>
      <c r="C55" s="341">
        <f>+C11</f>
        <v>277042997</v>
      </c>
      <c r="D55" s="341">
        <f>+D11</f>
        <v>298979957</v>
      </c>
      <c r="E55" s="341">
        <f>+E11</f>
        <v>299755216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74.452677571947333</v>
      </c>
      <c r="D57" s="355">
        <f>IF((D61/365)=0,0,+D58/(D61/365))</f>
        <v>74.425744764675215</v>
      </c>
      <c r="E57" s="355">
        <f>IF((E61/365)=0,0,+E58/(E61/365))</f>
        <v>70.766069097023603</v>
      </c>
    </row>
    <row r="58" spans="1:5" ht="24" customHeight="1" x14ac:dyDescent="0.2">
      <c r="A58" s="339">
        <v>18</v>
      </c>
      <c r="B58" s="340" t="s">
        <v>54</v>
      </c>
      <c r="C58" s="353">
        <f>+C40</f>
        <v>58979342</v>
      </c>
      <c r="D58" s="353">
        <f>+D40</f>
        <v>64345517</v>
      </c>
      <c r="E58" s="353">
        <f>+E40</f>
        <v>60952992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300954489</v>
      </c>
      <c r="D59" s="353">
        <f t="shared" si="0"/>
        <v>327855198</v>
      </c>
      <c r="E59" s="353">
        <f t="shared" si="0"/>
        <v>326582604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11811633</v>
      </c>
      <c r="D60" s="356">
        <f t="shared" si="0"/>
        <v>12290822</v>
      </c>
      <c r="E60" s="356">
        <f t="shared" si="0"/>
        <v>12196877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289142856</v>
      </c>
      <c r="D61" s="353">
        <f>+D59-D60</f>
        <v>315564376</v>
      </c>
      <c r="E61" s="353">
        <f>+E59-E60</f>
        <v>314385727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18.214987550307306</v>
      </c>
      <c r="D65" s="357">
        <f>IF(D67=0,0,(D66/D67)*100)</f>
        <v>30.392657987169152</v>
      </c>
      <c r="E65" s="357">
        <f>IF(E67=0,0,(E66/E67)*100)</f>
        <v>28.141033736990963</v>
      </c>
    </row>
    <row r="66" spans="1:5" ht="24" customHeight="1" x14ac:dyDescent="0.2">
      <c r="A66" s="339">
        <v>2</v>
      </c>
      <c r="B66" s="340" t="s">
        <v>67</v>
      </c>
      <c r="C66" s="353">
        <f>+C32</f>
        <v>51601261</v>
      </c>
      <c r="D66" s="353">
        <f>+D32</f>
        <v>85849149</v>
      </c>
      <c r="E66" s="353">
        <f>+E32</f>
        <v>77693789</v>
      </c>
    </row>
    <row r="67" spans="1:5" ht="24" customHeight="1" x14ac:dyDescent="0.2">
      <c r="A67" s="339">
        <v>3</v>
      </c>
      <c r="B67" s="340" t="s">
        <v>43</v>
      </c>
      <c r="C67" s="353">
        <v>283290125</v>
      </c>
      <c r="D67" s="353">
        <v>282466736</v>
      </c>
      <c r="E67" s="353">
        <v>276087189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10.605155130874639</v>
      </c>
      <c r="D69" s="357">
        <f>IF(D75=0,0,(D72/D75)*100)</f>
        <v>6.900122957197742</v>
      </c>
      <c r="E69" s="357">
        <f>IF(E75=0,0,(E72/E75)*100)</f>
        <v>8.5294203824179</v>
      </c>
    </row>
    <row r="70" spans="1:5" ht="24" customHeight="1" x14ac:dyDescent="0.2">
      <c r="A70" s="339">
        <v>5</v>
      </c>
      <c r="B70" s="340" t="s">
        <v>366</v>
      </c>
      <c r="C70" s="353">
        <f>+C28</f>
        <v>3727156</v>
      </c>
      <c r="D70" s="353">
        <f>+D28</f>
        <v>-2026094</v>
      </c>
      <c r="E70" s="353">
        <f>+E28</f>
        <v>46970</v>
      </c>
    </row>
    <row r="71" spans="1:5" ht="24" customHeight="1" x14ac:dyDescent="0.2">
      <c r="A71" s="339">
        <v>6</v>
      </c>
      <c r="B71" s="340" t="s">
        <v>356</v>
      </c>
      <c r="C71" s="356">
        <f>+C47</f>
        <v>11811633</v>
      </c>
      <c r="D71" s="356">
        <f>+D47</f>
        <v>12290822</v>
      </c>
      <c r="E71" s="356">
        <f>+E47</f>
        <v>12196877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15538789</v>
      </c>
      <c r="D72" s="353">
        <f>+D70+D71</f>
        <v>10264728</v>
      </c>
      <c r="E72" s="353">
        <f>+E70+E71</f>
        <v>12243847</v>
      </c>
    </row>
    <row r="73" spans="1:5" ht="24" customHeight="1" x14ac:dyDescent="0.2">
      <c r="A73" s="339">
        <v>8</v>
      </c>
      <c r="B73" s="340" t="s">
        <v>54</v>
      </c>
      <c r="C73" s="341">
        <f>+C40</f>
        <v>58979342</v>
      </c>
      <c r="D73" s="341">
        <f>+D40</f>
        <v>64345517</v>
      </c>
      <c r="E73" s="341">
        <f>+E40</f>
        <v>60952992</v>
      </c>
    </row>
    <row r="74" spans="1:5" ht="24" customHeight="1" x14ac:dyDescent="0.2">
      <c r="A74" s="339">
        <v>9</v>
      </c>
      <c r="B74" s="340" t="s">
        <v>58</v>
      </c>
      <c r="C74" s="353">
        <v>87541749</v>
      </c>
      <c r="D74" s="353">
        <v>84416006</v>
      </c>
      <c r="E74" s="353">
        <v>82595414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146521091</v>
      </c>
      <c r="D75" s="341">
        <f>+D73+D74</f>
        <v>148761523</v>
      </c>
      <c r="E75" s="341">
        <f>+E73+E74</f>
        <v>143548406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62.914945565716884</v>
      </c>
      <c r="D77" s="359">
        <f>IF(D80=0,0,(D78/D80)*100)</f>
        <v>49.579143777245555</v>
      </c>
      <c r="E77" s="359">
        <f>IF(E80=0,0,(E78/E80)*100)</f>
        <v>51.528994126946905</v>
      </c>
    </row>
    <row r="78" spans="1:5" ht="24" customHeight="1" x14ac:dyDescent="0.2">
      <c r="A78" s="339">
        <v>12</v>
      </c>
      <c r="B78" s="340" t="s">
        <v>58</v>
      </c>
      <c r="C78" s="341">
        <f>+C74</f>
        <v>87541749</v>
      </c>
      <c r="D78" s="341">
        <f>+D74</f>
        <v>84416006</v>
      </c>
      <c r="E78" s="341">
        <f>+E74</f>
        <v>82595414</v>
      </c>
    </row>
    <row r="79" spans="1:5" ht="24" customHeight="1" x14ac:dyDescent="0.2">
      <c r="A79" s="339">
        <v>13</v>
      </c>
      <c r="B79" s="340" t="s">
        <v>67</v>
      </c>
      <c r="C79" s="341">
        <f>+C32</f>
        <v>51601261</v>
      </c>
      <c r="D79" s="341">
        <f>+D32</f>
        <v>85849149</v>
      </c>
      <c r="E79" s="341">
        <f>+E32</f>
        <v>77693789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139143010</v>
      </c>
      <c r="D80" s="341">
        <f>+D78+D79</f>
        <v>170265155</v>
      </c>
      <c r="E80" s="341">
        <f>+E78+E79</f>
        <v>160289203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FILING&amp;R&amp;8EASTERN CONNECTICUT HEALTH NETWORK,INC.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20331</v>
      </c>
      <c r="D11" s="376">
        <v>5221</v>
      </c>
      <c r="E11" s="376">
        <v>5141</v>
      </c>
      <c r="F11" s="377">
        <v>82</v>
      </c>
      <c r="G11" s="377">
        <v>158</v>
      </c>
      <c r="H11" s="378">
        <f>IF(F11=0,0,$C11/(F11*365))</f>
        <v>0.67928499832943534</v>
      </c>
      <c r="I11" s="378">
        <f>IF(G11=0,0,$C11/(G11*365))</f>
        <v>0.35254031558869431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5827</v>
      </c>
      <c r="D13" s="376">
        <v>628</v>
      </c>
      <c r="E13" s="376">
        <v>0</v>
      </c>
      <c r="F13" s="377">
        <v>22</v>
      </c>
      <c r="G13" s="377">
        <v>25</v>
      </c>
      <c r="H13" s="378">
        <f>IF(F13=0,0,$C13/(F13*365))</f>
        <v>0.72565379825653797</v>
      </c>
      <c r="I13" s="378">
        <f>IF(G13=0,0,$C13/(G13*365))</f>
        <v>0.63857534246575343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1718</v>
      </c>
      <c r="D15" s="376">
        <v>230</v>
      </c>
      <c r="E15" s="376">
        <v>230</v>
      </c>
      <c r="F15" s="377">
        <v>5</v>
      </c>
      <c r="G15" s="377">
        <v>10</v>
      </c>
      <c r="H15" s="378">
        <f t="shared" ref="H15:I17" si="0">IF(F15=0,0,$C15/(F15*365))</f>
        <v>0.94136986301369863</v>
      </c>
      <c r="I15" s="378">
        <f t="shared" si="0"/>
        <v>0.47068493150684931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9170</v>
      </c>
      <c r="D16" s="376">
        <v>1143</v>
      </c>
      <c r="E16" s="376">
        <v>1133</v>
      </c>
      <c r="F16" s="377">
        <v>26</v>
      </c>
      <c r="G16" s="377">
        <v>26</v>
      </c>
      <c r="H16" s="378">
        <f t="shared" si="0"/>
        <v>0.9662802950474183</v>
      </c>
      <c r="I16" s="378">
        <f t="shared" si="0"/>
        <v>0.9662802950474183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10888</v>
      </c>
      <c r="D17" s="381">
        <f>SUM(D15:D16)</f>
        <v>1373</v>
      </c>
      <c r="E17" s="381">
        <f>SUM(E15:E16)</f>
        <v>1363</v>
      </c>
      <c r="F17" s="381">
        <f>SUM(F15:F16)</f>
        <v>31</v>
      </c>
      <c r="G17" s="381">
        <f>SUM(G15:G16)</f>
        <v>36</v>
      </c>
      <c r="H17" s="382">
        <f t="shared" si="0"/>
        <v>0.9622624834290765</v>
      </c>
      <c r="I17" s="382">
        <f t="shared" si="0"/>
        <v>0.82861491628614914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3412</v>
      </c>
      <c r="D21" s="376">
        <v>1259</v>
      </c>
      <c r="E21" s="376">
        <v>1240</v>
      </c>
      <c r="F21" s="377">
        <v>15</v>
      </c>
      <c r="G21" s="377">
        <v>30</v>
      </c>
      <c r="H21" s="378">
        <f>IF(F21=0,0,$C21/(F21*365))</f>
        <v>0.62319634703196347</v>
      </c>
      <c r="I21" s="378">
        <f>IF(G21=0,0,$C21/(G21*365))</f>
        <v>0.31159817351598174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3648</v>
      </c>
      <c r="D23" s="376">
        <v>1257</v>
      </c>
      <c r="E23" s="376">
        <v>1250</v>
      </c>
      <c r="F23" s="377">
        <v>21</v>
      </c>
      <c r="G23" s="377">
        <v>34</v>
      </c>
      <c r="H23" s="378">
        <f>IF(F23=0,0,$C23/(F23*365))</f>
        <v>0.47592954990215264</v>
      </c>
      <c r="I23" s="378">
        <f>IF(G23=0,0,$C23/(G23*365))</f>
        <v>0.29395648670427077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40458</v>
      </c>
      <c r="D31" s="384">
        <f>SUM(D10:D29)-D13-D17-D23</f>
        <v>7853</v>
      </c>
      <c r="E31" s="384">
        <f>SUM(E10:E29)-E17-E23</f>
        <v>7744</v>
      </c>
      <c r="F31" s="384">
        <f>SUM(F10:F29)-F17-F23</f>
        <v>150</v>
      </c>
      <c r="G31" s="384">
        <f>SUM(G10:G29)-G17-G23</f>
        <v>249</v>
      </c>
      <c r="H31" s="385">
        <f>IF(F31=0,0,$C31/(F31*365))</f>
        <v>0.73895890410958909</v>
      </c>
      <c r="I31" s="385">
        <f>IF(G31=0,0,$C31/(G31*365))</f>
        <v>0.44515596633107773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44106</v>
      </c>
      <c r="D33" s="384">
        <f>SUM(D10:D29)-D13-D17</f>
        <v>9110</v>
      </c>
      <c r="E33" s="384">
        <f>SUM(E10:E29)-E17</f>
        <v>8994</v>
      </c>
      <c r="F33" s="384">
        <f>SUM(F10:F29)-F17</f>
        <v>171</v>
      </c>
      <c r="G33" s="384">
        <f>SUM(G10:G29)-G17</f>
        <v>283</v>
      </c>
      <c r="H33" s="385">
        <f>IF(F33=0,0,$C33/(F33*365))</f>
        <v>0.70665705359288633</v>
      </c>
      <c r="I33" s="385">
        <f>IF(G33=0,0,$C33/(G33*365))</f>
        <v>0.42699065782467688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44106</v>
      </c>
      <c r="D36" s="384">
        <f t="shared" si="1"/>
        <v>9110</v>
      </c>
      <c r="E36" s="384">
        <f t="shared" si="1"/>
        <v>8994</v>
      </c>
      <c r="F36" s="384">
        <f t="shared" si="1"/>
        <v>171</v>
      </c>
      <c r="G36" s="384">
        <f t="shared" si="1"/>
        <v>283</v>
      </c>
      <c r="H36" s="387">
        <f t="shared" si="1"/>
        <v>0.70665705359288633</v>
      </c>
      <c r="I36" s="387">
        <f t="shared" si="1"/>
        <v>0.42699065782467688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46662</v>
      </c>
      <c r="D37" s="384">
        <v>9342</v>
      </c>
      <c r="E37" s="384">
        <v>9231</v>
      </c>
      <c r="F37" s="386">
        <v>171</v>
      </c>
      <c r="G37" s="386">
        <v>283</v>
      </c>
      <c r="H37" s="385">
        <f>IF(F37=0,0,$C37/(F37*365))</f>
        <v>0.74760874789714016</v>
      </c>
      <c r="I37" s="385">
        <f>IF(G37=0,0,$C37/(G37*365))</f>
        <v>0.4517353211675299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-2556</v>
      </c>
      <c r="D38" s="384">
        <f t="shared" si="2"/>
        <v>-232</v>
      </c>
      <c r="E38" s="384">
        <f t="shared" si="2"/>
        <v>-237</v>
      </c>
      <c r="F38" s="384">
        <f t="shared" si="2"/>
        <v>0</v>
      </c>
      <c r="G38" s="384">
        <f t="shared" si="2"/>
        <v>0</v>
      </c>
      <c r="H38" s="387">
        <f t="shared" si="2"/>
        <v>-4.0951694304253827E-2</v>
      </c>
      <c r="I38" s="387">
        <f t="shared" si="2"/>
        <v>-2.4744663342853024E-2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-5.4776906262054774E-2</v>
      </c>
      <c r="D40" s="389">
        <f t="shared" si="3"/>
        <v>-2.4834082637550846E-2</v>
      </c>
      <c r="E40" s="389">
        <f t="shared" si="3"/>
        <v>-2.5674358141046474E-2</v>
      </c>
      <c r="F40" s="389">
        <f t="shared" si="3"/>
        <v>0</v>
      </c>
      <c r="G40" s="389">
        <f t="shared" si="3"/>
        <v>0</v>
      </c>
      <c r="H40" s="389">
        <f t="shared" si="3"/>
        <v>-5.4776906262054829E-2</v>
      </c>
      <c r="I40" s="389">
        <f t="shared" si="3"/>
        <v>-5.4776906262054843E-2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283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FILING&amp;RMANCHESTER MEMORIAL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4555</v>
      </c>
      <c r="D12" s="409">
        <v>4002</v>
      </c>
      <c r="E12" s="409">
        <f>+D12-C12</f>
        <v>-553</v>
      </c>
      <c r="F12" s="410">
        <f>IF(C12=0,0,+E12/C12)</f>
        <v>-0.12140504939626784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9119</v>
      </c>
      <c r="D13" s="409">
        <v>8804</v>
      </c>
      <c r="E13" s="409">
        <f>+D13-C13</f>
        <v>-315</v>
      </c>
      <c r="F13" s="410">
        <f>IF(C13=0,0,+E13/C13)</f>
        <v>-3.4543261322513431E-2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3373</v>
      </c>
      <c r="D14" s="409">
        <v>3256</v>
      </c>
      <c r="E14" s="409">
        <f>+D14-C14</f>
        <v>-117</v>
      </c>
      <c r="F14" s="410">
        <f>IF(C14=0,0,+E14/C14)</f>
        <v>-3.4687222057515565E-2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17047</v>
      </c>
      <c r="D16" s="401">
        <f>SUM(D12:D15)</f>
        <v>16062</v>
      </c>
      <c r="E16" s="401">
        <f>+D16-C16</f>
        <v>-985</v>
      </c>
      <c r="F16" s="402">
        <f>IF(C16=0,0,+E16/C16)</f>
        <v>-5.7781427817211239E-2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674</v>
      </c>
      <c r="D19" s="409">
        <v>602</v>
      </c>
      <c r="E19" s="409">
        <f>+D19-C19</f>
        <v>-72</v>
      </c>
      <c r="F19" s="410">
        <f>IF(C19=0,0,+E19/C19)</f>
        <v>-0.10682492581602374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2458</v>
      </c>
      <c r="D20" s="409">
        <v>2124</v>
      </c>
      <c r="E20" s="409">
        <f>+D20-C20</f>
        <v>-334</v>
      </c>
      <c r="F20" s="410">
        <f>IF(C20=0,0,+E20/C20)</f>
        <v>-0.13588283157038242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50</v>
      </c>
      <c r="D21" s="409">
        <v>43</v>
      </c>
      <c r="E21" s="409">
        <f>+D21-C21</f>
        <v>-7</v>
      </c>
      <c r="F21" s="410">
        <f>IF(C21=0,0,+E21/C21)</f>
        <v>-0.14000000000000001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3182</v>
      </c>
      <c r="D23" s="401">
        <f>SUM(D19:D22)</f>
        <v>2769</v>
      </c>
      <c r="E23" s="401">
        <f>+D23-C23</f>
        <v>-413</v>
      </c>
      <c r="F23" s="402">
        <f>IF(C23=0,0,+E23/C23)</f>
        <v>-0.12979258328095539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3</v>
      </c>
      <c r="D33" s="409">
        <v>6</v>
      </c>
      <c r="E33" s="409">
        <f>+D33-C33</f>
        <v>3</v>
      </c>
      <c r="F33" s="410">
        <f>IF(C33=0,0,+E33/C33)</f>
        <v>1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539</v>
      </c>
      <c r="D34" s="409">
        <v>392</v>
      </c>
      <c r="E34" s="409">
        <f>+D34-C34</f>
        <v>-147</v>
      </c>
      <c r="F34" s="410">
        <f>IF(C34=0,0,+E34/C34)</f>
        <v>-0.27272727272727271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542</v>
      </c>
      <c r="D37" s="401">
        <f>SUM(D33:D36)</f>
        <v>398</v>
      </c>
      <c r="E37" s="401">
        <f>+D37-C37</f>
        <v>-144</v>
      </c>
      <c r="F37" s="402">
        <f>IF(C37=0,0,+E37/C37)</f>
        <v>-0.26568265682656828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2</v>
      </c>
      <c r="D58" s="409">
        <v>0</v>
      </c>
      <c r="E58" s="409">
        <f>+D58-C58</f>
        <v>-2</v>
      </c>
      <c r="F58" s="410">
        <f>IF(C58=0,0,+E58/C58)</f>
        <v>-1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79</v>
      </c>
      <c r="D59" s="409">
        <v>80</v>
      </c>
      <c r="E59" s="409">
        <f>+D59-C59</f>
        <v>1</v>
      </c>
      <c r="F59" s="410">
        <f>IF(C59=0,0,+E59/C59)</f>
        <v>1.2658227848101266E-2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81</v>
      </c>
      <c r="D60" s="401">
        <f>SUM(D58:D59)</f>
        <v>80</v>
      </c>
      <c r="E60" s="401">
        <f>SUM(E58:E59)</f>
        <v>-1</v>
      </c>
      <c r="F60" s="402">
        <f>IF(C60=0,0,+E60/C60)</f>
        <v>-1.2345679012345678E-2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1417</v>
      </c>
      <c r="D63" s="409">
        <v>1257</v>
      </c>
      <c r="E63" s="409">
        <f>+D63-C63</f>
        <v>-160</v>
      </c>
      <c r="F63" s="410">
        <f>IF(C63=0,0,+E63/C63)</f>
        <v>-0.11291460832745237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5566</v>
      </c>
      <c r="D64" s="409">
        <v>5101</v>
      </c>
      <c r="E64" s="409">
        <f>+D64-C64</f>
        <v>-465</v>
      </c>
      <c r="F64" s="410">
        <f>IF(C64=0,0,+E64/C64)</f>
        <v>-8.3542939274164577E-2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6983</v>
      </c>
      <c r="D65" s="401">
        <f>SUM(D63:D64)</f>
        <v>6358</v>
      </c>
      <c r="E65" s="401">
        <f>+D65-C65</f>
        <v>-625</v>
      </c>
      <c r="F65" s="402">
        <f>IF(C65=0,0,+E65/C65)</f>
        <v>-8.9503078905914357E-2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576</v>
      </c>
      <c r="D68" s="409">
        <v>519</v>
      </c>
      <c r="E68" s="409">
        <f>+D68-C68</f>
        <v>-57</v>
      </c>
      <c r="F68" s="410">
        <f>IF(C68=0,0,+E68/C68)</f>
        <v>-9.8958333333333329E-2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5960</v>
      </c>
      <c r="D69" s="409">
        <v>6069</v>
      </c>
      <c r="E69" s="409">
        <f>+D69-C69</f>
        <v>109</v>
      </c>
      <c r="F69" s="412">
        <f>IF(C69=0,0,+E69/C69)</f>
        <v>1.8288590604026846E-2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6536</v>
      </c>
      <c r="D70" s="401">
        <f>SUM(D68:D69)</f>
        <v>6588</v>
      </c>
      <c r="E70" s="401">
        <f>+D70-C70</f>
        <v>52</v>
      </c>
      <c r="F70" s="402">
        <f>IF(C70=0,0,+E70/C70)</f>
        <v>7.9559363525091801E-3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6189</v>
      </c>
      <c r="D73" s="376">
        <v>5484</v>
      </c>
      <c r="E73" s="409">
        <f>+D73-C73</f>
        <v>-705</v>
      </c>
      <c r="F73" s="410">
        <f>IF(C73=0,0,+E73/C73)</f>
        <v>-0.11391177896267571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40876</v>
      </c>
      <c r="D74" s="376">
        <v>35557</v>
      </c>
      <c r="E74" s="409">
        <f>+D74-C74</f>
        <v>-5319</v>
      </c>
      <c r="F74" s="410">
        <f>IF(C74=0,0,+E74/C74)</f>
        <v>-0.13012525687444956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47065</v>
      </c>
      <c r="D75" s="401">
        <f>SUM(D73:D74)</f>
        <v>41041</v>
      </c>
      <c r="E75" s="401">
        <f>SUM(E73:E74)</f>
        <v>-6024</v>
      </c>
      <c r="F75" s="402">
        <f>IF(C75=0,0,+E75/C75)</f>
        <v>-0.12799320089238286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79816</v>
      </c>
      <c r="D81" s="376">
        <v>69242</v>
      </c>
      <c r="E81" s="409">
        <f t="shared" si="0"/>
        <v>-10574</v>
      </c>
      <c r="F81" s="410">
        <f t="shared" si="1"/>
        <v>-0.13247970331763054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79816</v>
      </c>
      <c r="D92" s="381">
        <f>SUM(D79:D91)</f>
        <v>69242</v>
      </c>
      <c r="E92" s="401">
        <f t="shared" si="0"/>
        <v>-10574</v>
      </c>
      <c r="F92" s="402">
        <f t="shared" si="1"/>
        <v>-0.13247970331763054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92239</v>
      </c>
      <c r="D95" s="414">
        <v>83714</v>
      </c>
      <c r="E95" s="415">
        <f t="shared" ref="E95:E100" si="2">+D95-C95</f>
        <v>-8525</v>
      </c>
      <c r="F95" s="412">
        <f t="shared" ref="F95:F100" si="3">IF(C95=0,0,+E95/C95)</f>
        <v>-9.2422944741378382E-2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7291</v>
      </c>
      <c r="D96" s="414">
        <v>7308</v>
      </c>
      <c r="E96" s="409">
        <f t="shared" si="2"/>
        <v>17</v>
      </c>
      <c r="F96" s="410">
        <f t="shared" si="3"/>
        <v>2.3316417501028667E-3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1032</v>
      </c>
      <c r="D97" s="414">
        <v>722</v>
      </c>
      <c r="E97" s="409">
        <f t="shared" si="2"/>
        <v>-310</v>
      </c>
      <c r="F97" s="410">
        <f t="shared" si="3"/>
        <v>-0.30038759689922478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5960</v>
      </c>
      <c r="D98" s="414">
        <v>6069</v>
      </c>
      <c r="E98" s="409">
        <f t="shared" si="2"/>
        <v>109</v>
      </c>
      <c r="F98" s="410">
        <f t="shared" si="3"/>
        <v>1.8288590604026846E-2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37155</v>
      </c>
      <c r="D99" s="414">
        <v>37641</v>
      </c>
      <c r="E99" s="409">
        <f t="shared" si="2"/>
        <v>486</v>
      </c>
      <c r="F99" s="410">
        <f t="shared" si="3"/>
        <v>1.3080339119903108E-2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143677</v>
      </c>
      <c r="D100" s="381">
        <f>SUM(D95:D99)</f>
        <v>135454</v>
      </c>
      <c r="E100" s="401">
        <f t="shared" si="2"/>
        <v>-8223</v>
      </c>
      <c r="F100" s="402">
        <f t="shared" si="3"/>
        <v>-5.7232542438942907E-2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326.2</v>
      </c>
      <c r="D104" s="416">
        <v>354.1</v>
      </c>
      <c r="E104" s="417">
        <f>+D104-C104</f>
        <v>27.900000000000034</v>
      </c>
      <c r="F104" s="410">
        <f>IF(C104=0,0,+E104/C104)</f>
        <v>8.5530349478847439E-2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27.8</v>
      </c>
      <c r="D105" s="416">
        <v>42.6</v>
      </c>
      <c r="E105" s="417">
        <f>+D105-C105</f>
        <v>14.8</v>
      </c>
      <c r="F105" s="410">
        <f>IF(C105=0,0,+E105/C105)</f>
        <v>0.53237410071942448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754.7</v>
      </c>
      <c r="D106" s="416">
        <v>756</v>
      </c>
      <c r="E106" s="417">
        <f>+D106-C106</f>
        <v>1.2999999999999545</v>
      </c>
      <c r="F106" s="410">
        <f>IF(C106=0,0,+E106/C106)</f>
        <v>1.7225387571219749E-3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1108.7</v>
      </c>
      <c r="D107" s="418">
        <f>SUM(D104:D106)</f>
        <v>1152.7</v>
      </c>
      <c r="E107" s="418">
        <f>+D107-C107</f>
        <v>44</v>
      </c>
      <c r="F107" s="402">
        <f>IF(C107=0,0,+E107/C107)</f>
        <v>3.9686118877965186E-2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FILING&amp;RMANCHESTER MEMORIAL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5566</v>
      </c>
      <c r="D12" s="409">
        <v>5101</v>
      </c>
      <c r="E12" s="409">
        <f>+D12-C12</f>
        <v>-465</v>
      </c>
      <c r="F12" s="410">
        <f>IF(C12=0,0,+E12/C12)</f>
        <v>-8.3542939274164577E-2</v>
      </c>
    </row>
    <row r="13" spans="1:6" ht="15.75" customHeight="1" x14ac:dyDescent="0.25">
      <c r="A13" s="374"/>
      <c r="B13" s="399" t="s">
        <v>622</v>
      </c>
      <c r="C13" s="401">
        <f>SUM(C11:C12)</f>
        <v>5566</v>
      </c>
      <c r="D13" s="401">
        <f>SUM(D11:D12)</f>
        <v>5101</v>
      </c>
      <c r="E13" s="401">
        <f>+D13-C13</f>
        <v>-465</v>
      </c>
      <c r="F13" s="402">
        <f>IF(C13=0,0,+E13/C13)</f>
        <v>-8.3542939274164577E-2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5960</v>
      </c>
      <c r="D16" s="409">
        <v>6069</v>
      </c>
      <c r="E16" s="409">
        <f>+D16-C16</f>
        <v>109</v>
      </c>
      <c r="F16" s="410">
        <f>IF(C16=0,0,+E16/C16)</f>
        <v>1.8288590604026846E-2</v>
      </c>
    </row>
    <row r="17" spans="1:6" ht="15.75" customHeight="1" x14ac:dyDescent="0.25">
      <c r="A17" s="374"/>
      <c r="B17" s="399" t="s">
        <v>623</v>
      </c>
      <c r="C17" s="401">
        <f>SUM(C15:C16)</f>
        <v>5960</v>
      </c>
      <c r="D17" s="401">
        <f>SUM(D15:D16)</f>
        <v>6069</v>
      </c>
      <c r="E17" s="401">
        <f>+D17-C17</f>
        <v>109</v>
      </c>
      <c r="F17" s="402">
        <f>IF(C17=0,0,+E17/C17)</f>
        <v>1.8288590604026846E-2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625</v>
      </c>
      <c r="C20" s="409">
        <v>40876</v>
      </c>
      <c r="D20" s="409">
        <v>35557</v>
      </c>
      <c r="E20" s="409">
        <f>+D20-C20</f>
        <v>-5319</v>
      </c>
      <c r="F20" s="410">
        <f>IF(C20=0,0,+E20/C20)</f>
        <v>-0.13012525687444956</v>
      </c>
    </row>
    <row r="21" spans="1:6" ht="15.75" customHeight="1" x14ac:dyDescent="0.25">
      <c r="A21" s="374"/>
      <c r="B21" s="399" t="s">
        <v>626</v>
      </c>
      <c r="C21" s="401">
        <f>SUM(C19:C20)</f>
        <v>40876</v>
      </c>
      <c r="D21" s="401">
        <f>SUM(D19:D20)</f>
        <v>35557</v>
      </c>
      <c r="E21" s="401">
        <f>+D21-C21</f>
        <v>-5319</v>
      </c>
      <c r="F21" s="402">
        <f>IF(C21=0,0,+E21/C21)</f>
        <v>-0.13012525687444956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627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628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629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FILING&amp;RMANCHESTER MEMORIAL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127499659</v>
      </c>
      <c r="D15" s="448">
        <v>125637142</v>
      </c>
      <c r="E15" s="448">
        <f t="shared" ref="E15:E24" si="0">D15-C15</f>
        <v>-1862517</v>
      </c>
      <c r="F15" s="449">
        <f t="shared" ref="F15:F24" si="1">IF(C15=0,0,E15/C15)</f>
        <v>-1.4608015539869013E-2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37826304</v>
      </c>
      <c r="D16" s="448">
        <v>37000671</v>
      </c>
      <c r="E16" s="448">
        <f t="shared" si="0"/>
        <v>-825633</v>
      </c>
      <c r="F16" s="449">
        <f t="shared" si="1"/>
        <v>-2.1826954068787686E-2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0.2966776875850311</v>
      </c>
      <c r="D17" s="453">
        <f>IF(LN_IA1=0,0,LN_IA2/LN_IA1)</f>
        <v>0.29450423983697432</v>
      </c>
      <c r="E17" s="454">
        <f t="shared" si="0"/>
        <v>-2.1734477480567782E-3</v>
      </c>
      <c r="F17" s="449">
        <f t="shared" si="1"/>
        <v>-7.3259562110947222E-3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3821</v>
      </c>
      <c r="D18" s="456">
        <v>3676</v>
      </c>
      <c r="E18" s="456">
        <f t="shared" si="0"/>
        <v>-145</v>
      </c>
      <c r="F18" s="449">
        <f t="shared" si="1"/>
        <v>-3.7948181104422926E-2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1.5048900000000001</v>
      </c>
      <c r="D19" s="459">
        <v>1.46454</v>
      </c>
      <c r="E19" s="460">
        <f t="shared" si="0"/>
        <v>-4.0350000000000108E-2</v>
      </c>
      <c r="F19" s="449">
        <f t="shared" si="1"/>
        <v>-2.6812590953491689E-2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5750.18469</v>
      </c>
      <c r="D20" s="463">
        <f>LN_IA4*LN_IA5</f>
        <v>5383.6490400000002</v>
      </c>
      <c r="E20" s="463">
        <f t="shared" si="0"/>
        <v>-366.53564999999981</v>
      </c>
      <c r="F20" s="449">
        <f t="shared" si="1"/>
        <v>-6.37432830005326E-2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6578.2763579372959</v>
      </c>
      <c r="D21" s="465">
        <f>IF(LN_IA6=0,0,LN_IA2/LN_IA6)</f>
        <v>6872.7866034892941</v>
      </c>
      <c r="E21" s="465">
        <f t="shared" si="0"/>
        <v>294.5102455519982</v>
      </c>
      <c r="F21" s="449">
        <f t="shared" si="1"/>
        <v>4.4770123589691464E-2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23189</v>
      </c>
      <c r="D22" s="456">
        <v>21107</v>
      </c>
      <c r="E22" s="456">
        <f t="shared" si="0"/>
        <v>-2082</v>
      </c>
      <c r="F22" s="449">
        <f t="shared" si="1"/>
        <v>-8.9783949286299541E-2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1631.2175600500236</v>
      </c>
      <c r="D23" s="465">
        <f>IF(LN_IA8=0,0,LN_IA2/LN_IA8)</f>
        <v>1753.0047377647227</v>
      </c>
      <c r="E23" s="465">
        <f t="shared" si="0"/>
        <v>121.78717771469906</v>
      </c>
      <c r="F23" s="449">
        <f t="shared" si="1"/>
        <v>7.4660290998194184E-2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6.0688301491756089</v>
      </c>
      <c r="D24" s="466">
        <f>IF(LN_IA4=0,0,LN_IA8/LN_IA4)</f>
        <v>5.7418389553862896</v>
      </c>
      <c r="E24" s="466">
        <f t="shared" si="0"/>
        <v>-0.32699119378931929</v>
      </c>
      <c r="F24" s="449">
        <f t="shared" si="1"/>
        <v>-5.3880432596014875E-2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118665503</v>
      </c>
      <c r="D27" s="448">
        <v>130988495</v>
      </c>
      <c r="E27" s="448">
        <f t="shared" ref="E27:E32" si="2">D27-C27</f>
        <v>12322992</v>
      </c>
      <c r="F27" s="449">
        <f t="shared" ref="F27:F32" si="3">IF(C27=0,0,E27/C27)</f>
        <v>0.10384645653926904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22680812</v>
      </c>
      <c r="D28" s="448">
        <v>25691861</v>
      </c>
      <c r="E28" s="448">
        <f t="shared" si="2"/>
        <v>3011049</v>
      </c>
      <c r="F28" s="449">
        <f t="shared" si="3"/>
        <v>0.13275754853926747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0.19113231248006424</v>
      </c>
      <c r="D29" s="453">
        <f>IF(LN_IA11=0,0,LN_IA12/LN_IA11)</f>
        <v>0.19613830206996424</v>
      </c>
      <c r="E29" s="454">
        <f t="shared" si="2"/>
        <v>5.0059895899000062E-3</v>
      </c>
      <c r="F29" s="449">
        <f t="shared" si="3"/>
        <v>2.6191225988657193E-2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0.93071231665019594</v>
      </c>
      <c r="D30" s="453">
        <f>IF(LN_IA1=0,0,LN_IA11/LN_IA1)</f>
        <v>1.0425937180264735</v>
      </c>
      <c r="E30" s="454">
        <f t="shared" si="2"/>
        <v>0.11188140137627756</v>
      </c>
      <c r="F30" s="449">
        <f t="shared" si="3"/>
        <v>0.12021050906359465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3556.2517619203986</v>
      </c>
      <c r="D31" s="463">
        <f>LN_IA14*LN_IA4</f>
        <v>3832.5745074653164</v>
      </c>
      <c r="E31" s="463">
        <f t="shared" si="2"/>
        <v>276.32274554491778</v>
      </c>
      <c r="F31" s="449">
        <f t="shared" si="3"/>
        <v>7.7700557790571542E-2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6377.7295642736544</v>
      </c>
      <c r="D32" s="465">
        <f>IF(LN_IA15=0,0,LN_IA12/LN_IA15)</f>
        <v>6703.5516074001607</v>
      </c>
      <c r="E32" s="465">
        <f t="shared" si="2"/>
        <v>325.82204312650629</v>
      </c>
      <c r="F32" s="449">
        <f t="shared" si="3"/>
        <v>5.1087466133978895E-2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246165162</v>
      </c>
      <c r="D35" s="448">
        <f>LN_IA1+LN_IA11</f>
        <v>256625637</v>
      </c>
      <c r="E35" s="448">
        <f>D35-C35</f>
        <v>10460475</v>
      </c>
      <c r="F35" s="449">
        <f>IF(C35=0,0,E35/C35)</f>
        <v>4.2493726224346891E-2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60507116</v>
      </c>
      <c r="D36" s="448">
        <f>LN_IA2+LN_IA12</f>
        <v>62692532</v>
      </c>
      <c r="E36" s="448">
        <f>D36-C36</f>
        <v>2185416</v>
      </c>
      <c r="F36" s="449">
        <f>IF(C36=0,0,E36/C36)</f>
        <v>3.6118330280359087E-2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185658046</v>
      </c>
      <c r="D37" s="448">
        <f>LN_IA17-LN_IA18</f>
        <v>193933105</v>
      </c>
      <c r="E37" s="448">
        <f>D37-C37</f>
        <v>8275059</v>
      </c>
      <c r="F37" s="449">
        <f>IF(C37=0,0,E37/C37)</f>
        <v>4.4571507555347209E-2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57637109</v>
      </c>
      <c r="D42" s="448">
        <v>58063977</v>
      </c>
      <c r="E42" s="448">
        <f t="shared" ref="E42:E53" si="4">D42-C42</f>
        <v>426868</v>
      </c>
      <c r="F42" s="449">
        <f t="shared" ref="F42:F53" si="5">IF(C42=0,0,E42/C42)</f>
        <v>7.4061313519385571E-3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26813896</v>
      </c>
      <c r="D43" s="448">
        <v>25754284</v>
      </c>
      <c r="E43" s="448">
        <f t="shared" si="4"/>
        <v>-1059612</v>
      </c>
      <c r="F43" s="449">
        <f t="shared" si="5"/>
        <v>-3.9517271194010745E-2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0.46521930862285266</v>
      </c>
      <c r="D44" s="453">
        <f>IF(LN_IB1=0,0,LN_IB2/LN_IB1)</f>
        <v>0.44355012058509186</v>
      </c>
      <c r="E44" s="454">
        <f t="shared" si="4"/>
        <v>-2.16691880377608E-2</v>
      </c>
      <c r="F44" s="449">
        <f t="shared" si="5"/>
        <v>-4.6578436526863366E-2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3395</v>
      </c>
      <c r="D45" s="456">
        <v>3214</v>
      </c>
      <c r="E45" s="456">
        <f t="shared" si="4"/>
        <v>-181</v>
      </c>
      <c r="F45" s="449">
        <f t="shared" si="5"/>
        <v>-5.3313696612665683E-2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0.98411999999999999</v>
      </c>
      <c r="D46" s="459">
        <v>1.0006200000000001</v>
      </c>
      <c r="E46" s="460">
        <f t="shared" si="4"/>
        <v>1.650000000000007E-2</v>
      </c>
      <c r="F46" s="449">
        <f t="shared" si="5"/>
        <v>1.6766248018534397E-2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3341.0873999999999</v>
      </c>
      <c r="D47" s="463">
        <f>LN_IB4*LN_IB5</f>
        <v>3215.9926800000003</v>
      </c>
      <c r="E47" s="463">
        <f t="shared" si="4"/>
        <v>-125.0947199999996</v>
      </c>
      <c r="F47" s="449">
        <f t="shared" si="5"/>
        <v>-3.7441319254324083E-2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8025.499722036604</v>
      </c>
      <c r="D48" s="465">
        <f>IF(LN_IB6=0,0,LN_IB2/LN_IB6)</f>
        <v>8008.1911131713141</v>
      </c>
      <c r="E48" s="465">
        <f t="shared" si="4"/>
        <v>-17.308608865289898</v>
      </c>
      <c r="F48" s="449">
        <f t="shared" si="5"/>
        <v>-2.1567016964393528E-3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-1447.2233640993081</v>
      </c>
      <c r="D49" s="465">
        <f>LN_IA7-LN_IB7</f>
        <v>-1135.40450968202</v>
      </c>
      <c r="E49" s="465">
        <f t="shared" si="4"/>
        <v>311.81885441728809</v>
      </c>
      <c r="F49" s="449">
        <f t="shared" si="5"/>
        <v>-0.21546007489407223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-4835299.7467778102</v>
      </c>
      <c r="D50" s="479">
        <f>LN_IB8*LN_IB6</f>
        <v>-3651452.591976366</v>
      </c>
      <c r="E50" s="479">
        <f t="shared" si="4"/>
        <v>1183847.1548014442</v>
      </c>
      <c r="F50" s="449">
        <f t="shared" si="5"/>
        <v>-0.2448342846977267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13150</v>
      </c>
      <c r="D51" s="456">
        <v>11754</v>
      </c>
      <c r="E51" s="456">
        <f t="shared" si="4"/>
        <v>-1396</v>
      </c>
      <c r="F51" s="449">
        <f t="shared" si="5"/>
        <v>-0.10615969581749049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2039.0795437262357</v>
      </c>
      <c r="D52" s="465">
        <f>IF(LN_IB10=0,0,LN_IB2/LN_IB10)</f>
        <v>2191.1080483239748</v>
      </c>
      <c r="E52" s="465">
        <f t="shared" si="4"/>
        <v>152.02850459773913</v>
      </c>
      <c r="F52" s="449">
        <f t="shared" si="5"/>
        <v>7.4557417372703674E-2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3.8733431516936672</v>
      </c>
      <c r="D53" s="466">
        <f>IF(LN_IB4=0,0,LN_IB10/LN_IB4)</f>
        <v>3.6571250777846918</v>
      </c>
      <c r="E53" s="466">
        <f t="shared" si="4"/>
        <v>-0.21621807390897541</v>
      </c>
      <c r="F53" s="449">
        <f t="shared" si="5"/>
        <v>-5.5822080678400873E-2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153497062</v>
      </c>
      <c r="D56" s="448">
        <v>158248779</v>
      </c>
      <c r="E56" s="448">
        <f t="shared" ref="E56:E63" si="6">D56-C56</f>
        <v>4751717</v>
      </c>
      <c r="F56" s="449">
        <f t="shared" ref="F56:F63" si="7">IF(C56=0,0,E56/C56)</f>
        <v>3.095640358249984E-2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61599256</v>
      </c>
      <c r="D57" s="448">
        <v>59710061</v>
      </c>
      <c r="E57" s="448">
        <f t="shared" si="6"/>
        <v>-1889195</v>
      </c>
      <c r="F57" s="449">
        <f t="shared" si="7"/>
        <v>-3.0669120419246621E-2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0.40130576570905313</v>
      </c>
      <c r="D58" s="453">
        <f>IF(LN_IB13=0,0,LN_IB14/LN_IB13)</f>
        <v>0.37731767270065319</v>
      </c>
      <c r="E58" s="454">
        <f t="shared" si="6"/>
        <v>-2.3988093008399936E-2</v>
      </c>
      <c r="F58" s="449">
        <f t="shared" si="7"/>
        <v>-5.9775101825452752E-2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2.6631637960883845</v>
      </c>
      <c r="D59" s="453">
        <f>IF(LN_IB1=0,0,LN_IB13/LN_IB1)</f>
        <v>2.7254209438667973</v>
      </c>
      <c r="E59" s="454">
        <f t="shared" si="6"/>
        <v>6.2257147778412847E-2</v>
      </c>
      <c r="F59" s="449">
        <f t="shared" si="7"/>
        <v>2.3377138075343026E-2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9041.4410877200662</v>
      </c>
      <c r="D60" s="463">
        <f>LN_IB16*LN_IB4</f>
        <v>8759.5029135878867</v>
      </c>
      <c r="E60" s="463">
        <f t="shared" si="6"/>
        <v>-281.93817413217948</v>
      </c>
      <c r="F60" s="449">
        <f t="shared" si="7"/>
        <v>-3.1182880184343974E-2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6812.9909162006352</v>
      </c>
      <c r="D61" s="465">
        <f>IF(LN_IB17=0,0,LN_IB14/LN_IB17)</f>
        <v>6816.6038174810992</v>
      </c>
      <c r="E61" s="465">
        <f t="shared" si="6"/>
        <v>3.6129012804640297</v>
      </c>
      <c r="F61" s="449">
        <f t="shared" si="7"/>
        <v>5.3029591920824366E-4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-435.26135192698075</v>
      </c>
      <c r="D62" s="465">
        <f>LN_IA16-LN_IB18</f>
        <v>-113.05221008093849</v>
      </c>
      <c r="E62" s="465">
        <f t="shared" si="6"/>
        <v>322.20914184604226</v>
      </c>
      <c r="F62" s="449">
        <f t="shared" si="7"/>
        <v>-0.74026591246744999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-3935389.8712091874</v>
      </c>
      <c r="D63" s="448">
        <f>LN_IB19*LN_IB17</f>
        <v>-990281.16359153064</v>
      </c>
      <c r="E63" s="448">
        <f t="shared" si="6"/>
        <v>2945108.7076176568</v>
      </c>
      <c r="F63" s="449">
        <f t="shared" si="7"/>
        <v>-0.7483651693987674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211134171</v>
      </c>
      <c r="D66" s="448">
        <f>LN_IB1+LN_IB13</f>
        <v>216312756</v>
      </c>
      <c r="E66" s="448">
        <f>D66-C66</f>
        <v>5178585</v>
      </c>
      <c r="F66" s="449">
        <f>IF(C66=0,0,E66/C66)</f>
        <v>2.4527460313375802E-2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88413152</v>
      </c>
      <c r="D67" s="448">
        <f>LN_IB2+LN_IB14</f>
        <v>85464345</v>
      </c>
      <c r="E67" s="448">
        <f>D67-C67</f>
        <v>-2948807</v>
      </c>
      <c r="F67" s="449">
        <f>IF(C67=0,0,E67/C67)</f>
        <v>-3.335258310890217E-2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122721019</v>
      </c>
      <c r="D68" s="448">
        <f>LN_IB21-LN_IB22</f>
        <v>130848411</v>
      </c>
      <c r="E68" s="448">
        <f>D68-C68</f>
        <v>8127392</v>
      </c>
      <c r="F68" s="449">
        <f>IF(C68=0,0,E68/C68)</f>
        <v>6.6226568734733204E-2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-8770689.6179869976</v>
      </c>
      <c r="D70" s="441">
        <f>LN_IB9+LN_IB20</f>
        <v>-4641733.7555678971</v>
      </c>
      <c r="E70" s="448">
        <f>D70-C70</f>
        <v>4128955.8624191005</v>
      </c>
      <c r="F70" s="449">
        <f>IF(C70=0,0,E70/C70)</f>
        <v>-0.47076752709973979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211134171</v>
      </c>
      <c r="D73" s="488">
        <v>216312755</v>
      </c>
      <c r="E73" s="488">
        <f>D73-C73</f>
        <v>5178584</v>
      </c>
      <c r="F73" s="489">
        <f>IF(C73=0,0,E73/C73)</f>
        <v>2.4527455577051049E-2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88413152</v>
      </c>
      <c r="D74" s="488">
        <v>85464346</v>
      </c>
      <c r="E74" s="488">
        <f>D74-C74</f>
        <v>-2948806</v>
      </c>
      <c r="F74" s="489">
        <f>IF(C74=0,0,E74/C74)</f>
        <v>-3.3352571798367737E-2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122721019</v>
      </c>
      <c r="D76" s="441">
        <f>LN_IB32-LN_IB33</f>
        <v>130848409</v>
      </c>
      <c r="E76" s="488">
        <f>D76-C76</f>
        <v>8127390</v>
      </c>
      <c r="F76" s="489">
        <f>IF(E76=0,0,E76/C76)</f>
        <v>6.6226552437606473E-2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0.58124659982206295</v>
      </c>
      <c r="D77" s="453">
        <f>IF(LN_IB32=0,0,LN_IB34/LN_IB32)</f>
        <v>0.60490380699002244</v>
      </c>
      <c r="E77" s="493">
        <f>D77-C77</f>
        <v>2.3657207167959493E-2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2371759</v>
      </c>
      <c r="D83" s="448">
        <v>1659376</v>
      </c>
      <c r="E83" s="448">
        <f t="shared" ref="E83:E95" si="8">D83-C83</f>
        <v>-712383</v>
      </c>
      <c r="F83" s="449">
        <f t="shared" ref="F83:F95" si="9">IF(C83=0,0,E83/C83)</f>
        <v>-0.300360618427083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78971</v>
      </c>
      <c r="D84" s="448">
        <v>71650</v>
      </c>
      <c r="E84" s="448">
        <f t="shared" si="8"/>
        <v>-7321</v>
      </c>
      <c r="F84" s="449">
        <f t="shared" si="9"/>
        <v>-9.2704916994846204E-2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3.3296384666401606E-2</v>
      </c>
      <c r="D85" s="453">
        <f>IF(LN_IC1=0,0,LN_IC2/LN_IC1)</f>
        <v>4.3178881700108959E-2</v>
      </c>
      <c r="E85" s="454">
        <f t="shared" si="8"/>
        <v>9.8824970337073534E-3</v>
      </c>
      <c r="F85" s="449">
        <f t="shared" si="9"/>
        <v>0.29680390627152647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218</v>
      </c>
      <c r="D86" s="456">
        <v>101</v>
      </c>
      <c r="E86" s="456">
        <f t="shared" si="8"/>
        <v>-117</v>
      </c>
      <c r="F86" s="449">
        <f t="shared" si="9"/>
        <v>-0.53669724770642202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1.0421400000000001</v>
      </c>
      <c r="D87" s="459">
        <v>1.0187999999999999</v>
      </c>
      <c r="E87" s="460">
        <f t="shared" si="8"/>
        <v>-2.3340000000000138E-2</v>
      </c>
      <c r="F87" s="449">
        <f t="shared" si="9"/>
        <v>-2.2396223156197954E-2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227.18652</v>
      </c>
      <c r="D88" s="463">
        <f>LN_IC4*LN_IC5</f>
        <v>102.89879999999999</v>
      </c>
      <c r="E88" s="463">
        <f t="shared" si="8"/>
        <v>-124.28772000000001</v>
      </c>
      <c r="F88" s="449">
        <f t="shared" si="9"/>
        <v>-0.54707347953566965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347.60425046345176</v>
      </c>
      <c r="D89" s="465">
        <f>IF(LN_IC6=0,0,LN_IC2/LN_IC6)</f>
        <v>696.31521456032533</v>
      </c>
      <c r="E89" s="465">
        <f t="shared" si="8"/>
        <v>348.71096409687357</v>
      </c>
      <c r="F89" s="449">
        <f t="shared" si="9"/>
        <v>1.003183832280377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7677.8954715731525</v>
      </c>
      <c r="D90" s="465">
        <f>LN_IB7-LN_IC7</f>
        <v>7311.8758986109888</v>
      </c>
      <c r="E90" s="465">
        <f t="shared" si="8"/>
        <v>-366.01957296216369</v>
      </c>
      <c r="F90" s="449">
        <f t="shared" si="9"/>
        <v>-4.7671861946717617E-2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6230.6721074738443</v>
      </c>
      <c r="D91" s="465">
        <f>LN_IA7-LN_IC7</f>
        <v>6176.4713889289687</v>
      </c>
      <c r="E91" s="465">
        <f t="shared" si="8"/>
        <v>-54.200718544875599</v>
      </c>
      <c r="F91" s="449">
        <f t="shared" si="9"/>
        <v>-8.6990163516806641E-3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1415524.7133580486</v>
      </c>
      <c r="D92" s="441">
        <f>LN_IC9*LN_IC6</f>
        <v>635551.49415512418</v>
      </c>
      <c r="E92" s="441">
        <f t="shared" si="8"/>
        <v>-779973.2192029244</v>
      </c>
      <c r="F92" s="449">
        <f t="shared" si="9"/>
        <v>-0.55101349474329864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1077</v>
      </c>
      <c r="D93" s="456">
        <v>432</v>
      </c>
      <c r="E93" s="456">
        <f t="shared" si="8"/>
        <v>-645</v>
      </c>
      <c r="F93" s="449">
        <f t="shared" si="9"/>
        <v>-0.59888579387186625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73.324976787372336</v>
      </c>
      <c r="D94" s="499">
        <f>IF(LN_IC11=0,0,LN_IC2/LN_IC11)</f>
        <v>165.8564814814815</v>
      </c>
      <c r="E94" s="499">
        <f t="shared" si="8"/>
        <v>92.531504694109159</v>
      </c>
      <c r="F94" s="449">
        <f t="shared" si="9"/>
        <v>1.2619370472142375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4.9403669724770642</v>
      </c>
      <c r="D95" s="466">
        <f>IF(LN_IC4=0,0,LN_IC11/LN_IC4)</f>
        <v>4.2772277227722775</v>
      </c>
      <c r="E95" s="466">
        <f t="shared" si="8"/>
        <v>-0.66313924970478677</v>
      </c>
      <c r="F95" s="449">
        <f t="shared" si="9"/>
        <v>-0.13422874320858266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7444649</v>
      </c>
      <c r="D98" s="448">
        <v>6888511</v>
      </c>
      <c r="E98" s="448">
        <f t="shared" ref="E98:E106" si="10">D98-C98</f>
        <v>-556138</v>
      </c>
      <c r="F98" s="449">
        <f t="shared" ref="F98:F106" si="11">IF(C98=0,0,E98/C98)</f>
        <v>-7.4703051816143382E-2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397739</v>
      </c>
      <c r="D99" s="448">
        <v>337348</v>
      </c>
      <c r="E99" s="448">
        <f t="shared" si="10"/>
        <v>-60391</v>
      </c>
      <c r="F99" s="449">
        <f t="shared" si="11"/>
        <v>-0.15183575158583895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5.342615884241151E-2</v>
      </c>
      <c r="D100" s="453">
        <f>IF(LN_IC14=0,0,LN_IC15/LN_IC14)</f>
        <v>4.8972557349476545E-2</v>
      </c>
      <c r="E100" s="454">
        <f t="shared" si="10"/>
        <v>-4.4536014929349652E-3</v>
      </c>
      <c r="F100" s="449">
        <f t="shared" si="11"/>
        <v>-8.3359941823097042E-2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3.138872457108838</v>
      </c>
      <c r="D101" s="453">
        <f>IF(LN_IC1=0,0,LN_IC14/LN_IC1)</f>
        <v>4.151265897542209</v>
      </c>
      <c r="E101" s="454">
        <f t="shared" si="10"/>
        <v>1.012393440433371</v>
      </c>
      <c r="F101" s="449">
        <f t="shared" si="11"/>
        <v>0.32253411193580939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684.27419564972672</v>
      </c>
      <c r="D102" s="463">
        <f>LN_IC17*LN_IC4</f>
        <v>419.2778556517631</v>
      </c>
      <c r="E102" s="463">
        <f t="shared" si="10"/>
        <v>-264.99633999796362</v>
      </c>
      <c r="F102" s="449">
        <f t="shared" si="11"/>
        <v>-0.3872663059379966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581.25675720146364</v>
      </c>
      <c r="D103" s="465">
        <f>IF(LN_IC18=0,0,LN_IC15/LN_IC18)</f>
        <v>804.59293390440575</v>
      </c>
      <c r="E103" s="465">
        <f t="shared" si="10"/>
        <v>223.33617670294211</v>
      </c>
      <c r="F103" s="449">
        <f t="shared" si="11"/>
        <v>0.38422981571555953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6231.734158999172</v>
      </c>
      <c r="D104" s="465">
        <f>LN_IB18-LN_IC19</f>
        <v>6012.0108835766932</v>
      </c>
      <c r="E104" s="465">
        <f t="shared" si="10"/>
        <v>-219.72327542247876</v>
      </c>
      <c r="F104" s="449">
        <f t="shared" si="11"/>
        <v>-3.5258769038659814E-2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5796.4728070721903</v>
      </c>
      <c r="D105" s="465">
        <f>LN_IA16-LN_IC19</f>
        <v>5898.9586734957547</v>
      </c>
      <c r="E105" s="465">
        <f t="shared" si="10"/>
        <v>102.4858664235644</v>
      </c>
      <c r="F105" s="449">
        <f t="shared" si="11"/>
        <v>1.7680729270138716E-2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3966376.7676648367</v>
      </c>
      <c r="D106" s="448">
        <f>LN_IC21*LN_IC18</f>
        <v>2473302.7432016688</v>
      </c>
      <c r="E106" s="448">
        <f t="shared" si="10"/>
        <v>-1493074.0244631679</v>
      </c>
      <c r="F106" s="449">
        <f t="shared" si="11"/>
        <v>-0.3764327273785944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9816408</v>
      </c>
      <c r="D109" s="448">
        <f>LN_IC1+LN_IC14</f>
        <v>8547887</v>
      </c>
      <c r="E109" s="448">
        <f>D109-C109</f>
        <v>-1268521</v>
      </c>
      <c r="F109" s="449">
        <f>IF(C109=0,0,E109/C109)</f>
        <v>-0.12922455953338532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476710</v>
      </c>
      <c r="D110" s="448">
        <f>LN_IC2+LN_IC15</f>
        <v>408998</v>
      </c>
      <c r="E110" s="448">
        <f>D110-C110</f>
        <v>-67712</v>
      </c>
      <c r="F110" s="449">
        <f>IF(C110=0,0,E110/C110)</f>
        <v>-0.14204023410459188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9339698</v>
      </c>
      <c r="D111" s="448">
        <f>LN_IC23-LN_IC24</f>
        <v>8138889</v>
      </c>
      <c r="E111" s="448">
        <f>D111-C111</f>
        <v>-1200809</v>
      </c>
      <c r="F111" s="449">
        <f>IF(C111=0,0,E111/C111)</f>
        <v>-0.12857043129231802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5381901.4810228851</v>
      </c>
      <c r="D113" s="448">
        <f>LN_IC10+LN_IC22</f>
        <v>3108854.2373567931</v>
      </c>
      <c r="E113" s="448">
        <f>D113-C113</f>
        <v>-2273047.2436660919</v>
      </c>
      <c r="F113" s="449">
        <f>IF(C113=0,0,E113/C113)</f>
        <v>-0.4223502142655492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39765242</v>
      </c>
      <c r="D118" s="448">
        <v>47690262</v>
      </c>
      <c r="E118" s="448">
        <f t="shared" ref="E118:E130" si="12">D118-C118</f>
        <v>7925020</v>
      </c>
      <c r="F118" s="449">
        <f t="shared" ref="F118:F130" si="13">IF(C118=0,0,E118/C118)</f>
        <v>0.19929515328990077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11500711</v>
      </c>
      <c r="D119" s="448">
        <v>12454005</v>
      </c>
      <c r="E119" s="448">
        <f t="shared" si="12"/>
        <v>953294</v>
      </c>
      <c r="F119" s="449">
        <f t="shared" si="13"/>
        <v>8.2890005670084227E-2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0.28921516433874589</v>
      </c>
      <c r="D120" s="453">
        <f>IF(LN_ID1=0,0,LN_1D2/LN_ID1)</f>
        <v>0.26114356427733609</v>
      </c>
      <c r="E120" s="454">
        <f t="shared" si="12"/>
        <v>-2.8071600061409796E-2</v>
      </c>
      <c r="F120" s="449">
        <f t="shared" si="13"/>
        <v>-9.7061300798635439E-2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2085</v>
      </c>
      <c r="D121" s="456">
        <v>2180</v>
      </c>
      <c r="E121" s="456">
        <f t="shared" si="12"/>
        <v>95</v>
      </c>
      <c r="F121" s="449">
        <f t="shared" si="13"/>
        <v>4.5563549160671464E-2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0.96306000000000003</v>
      </c>
      <c r="D122" s="459">
        <v>1.0111699999999999</v>
      </c>
      <c r="E122" s="460">
        <f t="shared" si="12"/>
        <v>4.8109999999999875E-2</v>
      </c>
      <c r="F122" s="449">
        <f t="shared" si="13"/>
        <v>4.9955350653126361E-2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2007.9801</v>
      </c>
      <c r="D123" s="463">
        <f>LN_ID4*LN_ID5</f>
        <v>2204.3505999999998</v>
      </c>
      <c r="E123" s="463">
        <f t="shared" si="12"/>
        <v>196.37049999999977</v>
      </c>
      <c r="F123" s="449">
        <f t="shared" si="13"/>
        <v>9.7795042889120151E-2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5727.5024787347247</v>
      </c>
      <c r="D124" s="465">
        <f>IF(LN_ID6=0,0,LN_1D2/LN_ID6)</f>
        <v>5649.7387484549881</v>
      </c>
      <c r="E124" s="465">
        <f t="shared" si="12"/>
        <v>-77.763730279736592</v>
      </c>
      <c r="F124" s="449">
        <f t="shared" si="13"/>
        <v>-1.3577249519919116E-2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2297.9972433018793</v>
      </c>
      <c r="D125" s="465">
        <f>LN_IB7-LN_ID7</f>
        <v>2358.452364716326</v>
      </c>
      <c r="E125" s="465">
        <f t="shared" si="12"/>
        <v>60.455121414446694</v>
      </c>
      <c r="F125" s="449">
        <f t="shared" si="13"/>
        <v>2.630774322756876E-2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850.77387920257115</v>
      </c>
      <c r="D126" s="465">
        <f>LN_IA7-LN_ID7</f>
        <v>1223.0478550343059</v>
      </c>
      <c r="E126" s="465">
        <f t="shared" si="12"/>
        <v>372.27397583173479</v>
      </c>
      <c r="F126" s="449">
        <f t="shared" si="13"/>
        <v>0.43757099851333769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1708337.0190385666</v>
      </c>
      <c r="D127" s="479">
        <f>LN_ID9*LN_ID6</f>
        <v>2696026.2730735852</v>
      </c>
      <c r="E127" s="479">
        <f t="shared" si="12"/>
        <v>987689.25403501862</v>
      </c>
      <c r="F127" s="449">
        <f t="shared" si="13"/>
        <v>0.57815831596910505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10174</v>
      </c>
      <c r="D128" s="456">
        <v>11034</v>
      </c>
      <c r="E128" s="456">
        <f t="shared" si="12"/>
        <v>860</v>
      </c>
      <c r="F128" s="449">
        <f t="shared" si="13"/>
        <v>8.4529192058187541E-2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1130.4021034008256</v>
      </c>
      <c r="D129" s="465">
        <f>IF(LN_ID11=0,0,LN_1D2/LN_ID11)</f>
        <v>1128.6935834692767</v>
      </c>
      <c r="E129" s="465">
        <f t="shared" si="12"/>
        <v>-1.7085199315488353</v>
      </c>
      <c r="F129" s="449">
        <f t="shared" si="13"/>
        <v>-1.5114267094945566E-3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4.8796163069544365</v>
      </c>
      <c r="D130" s="466">
        <f>IF(LN_ID4=0,0,LN_ID11/LN_ID4)</f>
        <v>5.0614678899082568</v>
      </c>
      <c r="E130" s="466">
        <f t="shared" si="12"/>
        <v>0.18185158295382031</v>
      </c>
      <c r="F130" s="449">
        <f t="shared" si="13"/>
        <v>3.7267598826294018E-2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64243785</v>
      </c>
      <c r="D133" s="448">
        <v>78735429</v>
      </c>
      <c r="E133" s="448">
        <f t="shared" ref="E133:E141" si="14">D133-C133</f>
        <v>14491644</v>
      </c>
      <c r="F133" s="449">
        <f t="shared" ref="F133:F141" si="15">IF(C133=0,0,E133/C133)</f>
        <v>0.22557269936695043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11751049</v>
      </c>
      <c r="D134" s="448">
        <v>14833196</v>
      </c>
      <c r="E134" s="448">
        <f t="shared" si="14"/>
        <v>3082147</v>
      </c>
      <c r="F134" s="449">
        <f t="shared" si="15"/>
        <v>0.26228696689121117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0.18291339777069487</v>
      </c>
      <c r="D135" s="453">
        <f>IF(LN_ID14=0,0,LN_ID15/LN_ID14)</f>
        <v>0.1883929025140639</v>
      </c>
      <c r="E135" s="454">
        <f t="shared" si="14"/>
        <v>5.4795047433690292E-3</v>
      </c>
      <c r="F135" s="449">
        <f t="shared" si="15"/>
        <v>2.9956825525915182E-2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1.615576361889109</v>
      </c>
      <c r="D136" s="453">
        <f>IF(LN_ID1=0,0,LN_ID14/LN_ID1)</f>
        <v>1.6509749726264871</v>
      </c>
      <c r="E136" s="454">
        <f t="shared" si="14"/>
        <v>3.5398610737378045E-2</v>
      </c>
      <c r="F136" s="449">
        <f t="shared" si="15"/>
        <v>2.1910824874898583E-2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3368.4767145387923</v>
      </c>
      <c r="D137" s="463">
        <f>LN_ID17*LN_ID4</f>
        <v>3599.1254403257417</v>
      </c>
      <c r="E137" s="463">
        <f t="shared" si="14"/>
        <v>230.6487257869494</v>
      </c>
      <c r="F137" s="449">
        <f t="shared" si="15"/>
        <v>6.8472708981908326E-2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3488.5350251289888</v>
      </c>
      <c r="D138" s="465">
        <f>IF(LN_ID18=0,0,LN_ID15/LN_ID18)</f>
        <v>4121.3334311175076</v>
      </c>
      <c r="E138" s="465">
        <f t="shared" si="14"/>
        <v>632.79840598851888</v>
      </c>
      <c r="F138" s="449">
        <f t="shared" si="15"/>
        <v>0.18139373732247999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3324.4558910716464</v>
      </c>
      <c r="D139" s="465">
        <f>LN_IB18-LN_ID19</f>
        <v>2695.2703863635916</v>
      </c>
      <c r="E139" s="465">
        <f t="shared" si="14"/>
        <v>-629.18550470805485</v>
      </c>
      <c r="F139" s="449">
        <f t="shared" si="15"/>
        <v>-0.18925969401423923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2889.1945391446657</v>
      </c>
      <c r="D140" s="465">
        <f>LN_IA16-LN_ID19</f>
        <v>2582.2181762826531</v>
      </c>
      <c r="E140" s="465">
        <f t="shared" si="14"/>
        <v>-306.97636286201259</v>
      </c>
      <c r="F140" s="449">
        <f t="shared" si="15"/>
        <v>-0.10624980723966469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9732184.5288814437</v>
      </c>
      <c r="D141" s="441">
        <f>LN_ID21*LN_ID18</f>
        <v>9293727.1307304371</v>
      </c>
      <c r="E141" s="441">
        <f t="shared" si="14"/>
        <v>-438457.39815100655</v>
      </c>
      <c r="F141" s="449">
        <f t="shared" si="15"/>
        <v>-4.5052310388261831E-2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104009027</v>
      </c>
      <c r="D144" s="448">
        <f>LN_ID1+LN_ID14</f>
        <v>126425691</v>
      </c>
      <c r="E144" s="448">
        <f>D144-C144</f>
        <v>22416664</v>
      </c>
      <c r="F144" s="449">
        <f>IF(C144=0,0,E144/C144)</f>
        <v>0.21552613889946304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23251760</v>
      </c>
      <c r="D145" s="448">
        <f>LN_1D2+LN_ID15</f>
        <v>27287201</v>
      </c>
      <c r="E145" s="448">
        <f>D145-C145</f>
        <v>4035441</v>
      </c>
      <c r="F145" s="449">
        <f>IF(C145=0,0,E145/C145)</f>
        <v>0.1735542169711024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80757267</v>
      </c>
      <c r="D146" s="448">
        <f>LN_ID23-LN_ID24</f>
        <v>99138490</v>
      </c>
      <c r="E146" s="448">
        <f>D146-C146</f>
        <v>18381223</v>
      </c>
      <c r="F146" s="449">
        <f>IF(C146=0,0,E146/C146)</f>
        <v>0.22761076102290584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11440521.547920011</v>
      </c>
      <c r="D148" s="448">
        <f>LN_ID10+LN_ID22</f>
        <v>11989753.403804023</v>
      </c>
      <c r="E148" s="448">
        <f>D148-C148</f>
        <v>549231.85588401183</v>
      </c>
      <c r="F148" s="503">
        <f>IF(C148=0,0,E148/C148)</f>
        <v>4.8007588953308436E-2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8025.499722036604</v>
      </c>
      <c r="D160" s="465">
        <f>LN_IB7-LN_IE7</f>
        <v>8008.1911131713141</v>
      </c>
      <c r="E160" s="465">
        <f t="shared" si="16"/>
        <v>-17.308608865289898</v>
      </c>
      <c r="F160" s="449">
        <f t="shared" si="17"/>
        <v>-2.1567016964393528E-3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6578.2763579372959</v>
      </c>
      <c r="D161" s="465">
        <f>LN_IA7-LN_IE7</f>
        <v>6872.7866034892941</v>
      </c>
      <c r="E161" s="465">
        <f t="shared" si="16"/>
        <v>294.5102455519982</v>
      </c>
      <c r="F161" s="449">
        <f t="shared" si="17"/>
        <v>4.4770123589691464E-2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6812.9909162006352</v>
      </c>
      <c r="D174" s="465">
        <f>LN_IB18-LN_IE19</f>
        <v>6816.6038174810992</v>
      </c>
      <c r="E174" s="465">
        <f t="shared" si="18"/>
        <v>3.6129012804640297</v>
      </c>
      <c r="F174" s="449">
        <f t="shared" si="19"/>
        <v>5.3029591920824366E-4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6377.7295642736544</v>
      </c>
      <c r="D175" s="465">
        <f>LN_IA16-LN_IE19</f>
        <v>6703.5516074001607</v>
      </c>
      <c r="E175" s="465">
        <f t="shared" si="18"/>
        <v>325.82204312650629</v>
      </c>
      <c r="F175" s="449">
        <f t="shared" si="19"/>
        <v>5.1087466133978895E-2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39765242</v>
      </c>
      <c r="D188" s="448">
        <f>LN_ID1+LN_IE1</f>
        <v>47690262</v>
      </c>
      <c r="E188" s="448">
        <f t="shared" ref="E188:E200" si="20">D188-C188</f>
        <v>7925020</v>
      </c>
      <c r="F188" s="449">
        <f t="shared" ref="F188:F200" si="21">IF(C188=0,0,E188/C188)</f>
        <v>0.19929515328990077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11500711</v>
      </c>
      <c r="D189" s="448">
        <f>LN_1D2+LN_IE2</f>
        <v>12454005</v>
      </c>
      <c r="E189" s="448">
        <f t="shared" si="20"/>
        <v>953294</v>
      </c>
      <c r="F189" s="449">
        <f t="shared" si="21"/>
        <v>8.2890005670084227E-2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0.28921516433874589</v>
      </c>
      <c r="D190" s="453">
        <f>IF(LN_IF1=0,0,LN_IF2/LN_IF1)</f>
        <v>0.26114356427733609</v>
      </c>
      <c r="E190" s="454">
        <f t="shared" si="20"/>
        <v>-2.8071600061409796E-2</v>
      </c>
      <c r="F190" s="449">
        <f t="shared" si="21"/>
        <v>-9.7061300798635439E-2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2085</v>
      </c>
      <c r="D191" s="456">
        <f>LN_ID4+LN_IE4</f>
        <v>2180</v>
      </c>
      <c r="E191" s="456">
        <f t="shared" si="20"/>
        <v>95</v>
      </c>
      <c r="F191" s="449">
        <f t="shared" si="21"/>
        <v>4.5563549160671464E-2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0.96306000000000003</v>
      </c>
      <c r="D192" s="459">
        <f>IF((LN_ID4+LN_IE4)=0,0,(LN_ID6+LN_IE6)/(LN_ID4+LN_IE4))</f>
        <v>1.0111699999999999</v>
      </c>
      <c r="E192" s="460">
        <f t="shared" si="20"/>
        <v>4.8109999999999875E-2</v>
      </c>
      <c r="F192" s="449">
        <f t="shared" si="21"/>
        <v>4.9955350653126361E-2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2007.9801</v>
      </c>
      <c r="D193" s="463">
        <f>LN_IF4*LN_IF5</f>
        <v>2204.3505999999998</v>
      </c>
      <c r="E193" s="463">
        <f t="shared" si="20"/>
        <v>196.37049999999977</v>
      </c>
      <c r="F193" s="449">
        <f t="shared" si="21"/>
        <v>9.7795042889120151E-2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5727.5024787347247</v>
      </c>
      <c r="D194" s="465">
        <f>IF(LN_IF6=0,0,LN_IF2/LN_IF6)</f>
        <v>5649.7387484549881</v>
      </c>
      <c r="E194" s="465">
        <f t="shared" si="20"/>
        <v>-77.763730279736592</v>
      </c>
      <c r="F194" s="449">
        <f t="shared" si="21"/>
        <v>-1.3577249519919116E-2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2297.9972433018793</v>
      </c>
      <c r="D195" s="465">
        <f>LN_IB7-LN_IF7</f>
        <v>2358.452364716326</v>
      </c>
      <c r="E195" s="465">
        <f t="shared" si="20"/>
        <v>60.455121414446694</v>
      </c>
      <c r="F195" s="449">
        <f t="shared" si="21"/>
        <v>2.630774322756876E-2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850.77387920257115</v>
      </c>
      <c r="D196" s="465">
        <f>LN_IA7-LN_IF7</f>
        <v>1223.0478550343059</v>
      </c>
      <c r="E196" s="465">
        <f t="shared" si="20"/>
        <v>372.27397583173479</v>
      </c>
      <c r="F196" s="449">
        <f t="shared" si="21"/>
        <v>0.43757099851333769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1708337.0190385666</v>
      </c>
      <c r="D197" s="479">
        <f>LN_IF9*LN_IF6</f>
        <v>2696026.2730735852</v>
      </c>
      <c r="E197" s="479">
        <f t="shared" si="20"/>
        <v>987689.25403501862</v>
      </c>
      <c r="F197" s="449">
        <f t="shared" si="21"/>
        <v>0.57815831596910505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10174</v>
      </c>
      <c r="D198" s="456">
        <f>LN_ID11+LN_IE11</f>
        <v>11034</v>
      </c>
      <c r="E198" s="456">
        <f t="shared" si="20"/>
        <v>860</v>
      </c>
      <c r="F198" s="449">
        <f t="shared" si="21"/>
        <v>8.4529192058187541E-2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1130.4021034008256</v>
      </c>
      <c r="D199" s="519">
        <f>IF(LN_IF11=0,0,LN_IF2/LN_IF11)</f>
        <v>1128.6935834692767</v>
      </c>
      <c r="E199" s="519">
        <f t="shared" si="20"/>
        <v>-1.7085199315488353</v>
      </c>
      <c r="F199" s="449">
        <f t="shared" si="21"/>
        <v>-1.5114267094945566E-3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4.8796163069544365</v>
      </c>
      <c r="D200" s="466">
        <f>IF(LN_IF4=0,0,LN_IF11/LN_IF4)</f>
        <v>5.0614678899082568</v>
      </c>
      <c r="E200" s="466">
        <f t="shared" si="20"/>
        <v>0.18185158295382031</v>
      </c>
      <c r="F200" s="449">
        <f t="shared" si="21"/>
        <v>3.7267598826294018E-2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64243785</v>
      </c>
      <c r="D203" s="448">
        <f>LN_ID14+LN_IE14</f>
        <v>78735429</v>
      </c>
      <c r="E203" s="448">
        <f t="shared" ref="E203:E211" si="22">D203-C203</f>
        <v>14491644</v>
      </c>
      <c r="F203" s="449">
        <f t="shared" ref="F203:F211" si="23">IF(C203=0,0,E203/C203)</f>
        <v>0.22557269936695043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11751049</v>
      </c>
      <c r="D204" s="448">
        <f>LN_ID15+LN_IE15</f>
        <v>14833196</v>
      </c>
      <c r="E204" s="448">
        <f t="shared" si="22"/>
        <v>3082147</v>
      </c>
      <c r="F204" s="449">
        <f t="shared" si="23"/>
        <v>0.26228696689121117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0.18291339777069487</v>
      </c>
      <c r="D205" s="453">
        <f>IF(LN_IF14=0,0,LN_IF15/LN_IF14)</f>
        <v>0.1883929025140639</v>
      </c>
      <c r="E205" s="454">
        <f t="shared" si="22"/>
        <v>5.4795047433690292E-3</v>
      </c>
      <c r="F205" s="449">
        <f t="shared" si="23"/>
        <v>2.9956825525915182E-2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1.615576361889109</v>
      </c>
      <c r="D206" s="453">
        <f>IF(LN_IF1=0,0,LN_IF14/LN_IF1)</f>
        <v>1.6509749726264871</v>
      </c>
      <c r="E206" s="454">
        <f t="shared" si="22"/>
        <v>3.5398610737378045E-2</v>
      </c>
      <c r="F206" s="449">
        <f t="shared" si="23"/>
        <v>2.1910824874898583E-2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3368.4767145387923</v>
      </c>
      <c r="D207" s="463">
        <f>LN_ID18+LN_IE18</f>
        <v>3599.1254403257417</v>
      </c>
      <c r="E207" s="463">
        <f t="shared" si="22"/>
        <v>230.6487257869494</v>
      </c>
      <c r="F207" s="449">
        <f t="shared" si="23"/>
        <v>6.8472708981908326E-2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3488.5350251289888</v>
      </c>
      <c r="D208" s="465">
        <f>IF(LN_IF18=0,0,LN_IF15/LN_IF18)</f>
        <v>4121.3334311175076</v>
      </c>
      <c r="E208" s="465">
        <f t="shared" si="22"/>
        <v>632.79840598851888</v>
      </c>
      <c r="F208" s="449">
        <f t="shared" si="23"/>
        <v>0.18139373732247999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3324.4558910716464</v>
      </c>
      <c r="D209" s="465">
        <f>LN_IB18-LN_IF19</f>
        <v>2695.2703863635916</v>
      </c>
      <c r="E209" s="465">
        <f t="shared" si="22"/>
        <v>-629.18550470805485</v>
      </c>
      <c r="F209" s="449">
        <f t="shared" si="23"/>
        <v>-0.18925969401423923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2889.1945391446657</v>
      </c>
      <c r="D210" s="465">
        <f>LN_IA16-LN_IF19</f>
        <v>2582.2181762826531</v>
      </c>
      <c r="E210" s="465">
        <f t="shared" si="22"/>
        <v>-306.97636286201259</v>
      </c>
      <c r="F210" s="449">
        <f t="shared" si="23"/>
        <v>-0.10624980723966469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9732184.5288814437</v>
      </c>
      <c r="D211" s="441">
        <f>LN_IF21*LN_IF18</f>
        <v>9293727.1307304371</v>
      </c>
      <c r="E211" s="441">
        <f t="shared" si="22"/>
        <v>-438457.39815100655</v>
      </c>
      <c r="F211" s="449">
        <f t="shared" si="23"/>
        <v>-4.5052310388261831E-2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104009027</v>
      </c>
      <c r="D214" s="448">
        <f>LN_IF1+LN_IF14</f>
        <v>126425691</v>
      </c>
      <c r="E214" s="448">
        <f>D214-C214</f>
        <v>22416664</v>
      </c>
      <c r="F214" s="449">
        <f>IF(C214=0,0,E214/C214)</f>
        <v>0.21552613889946304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23251760</v>
      </c>
      <c r="D215" s="448">
        <f>LN_IF2+LN_IF15</f>
        <v>27287201</v>
      </c>
      <c r="E215" s="448">
        <f>D215-C215</f>
        <v>4035441</v>
      </c>
      <c r="F215" s="449">
        <f>IF(C215=0,0,E215/C215)</f>
        <v>0.1735542169711024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80757267</v>
      </c>
      <c r="D216" s="448">
        <f>LN_IF23-LN_IF24</f>
        <v>99138490</v>
      </c>
      <c r="E216" s="448">
        <f>D216-C216</f>
        <v>18381223</v>
      </c>
      <c r="F216" s="449">
        <f>IF(C216=0,0,E216/C216)</f>
        <v>0.22761076102290584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611078</v>
      </c>
      <c r="D221" s="448">
        <v>992558</v>
      </c>
      <c r="E221" s="448">
        <f t="shared" ref="E221:E230" si="24">D221-C221</f>
        <v>381480</v>
      </c>
      <c r="F221" s="449">
        <f t="shared" ref="F221:F230" si="25">IF(C221=0,0,E221/C221)</f>
        <v>0.62427382429084344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355811</v>
      </c>
      <c r="D222" s="448">
        <v>327784</v>
      </c>
      <c r="E222" s="448">
        <f t="shared" si="24"/>
        <v>-28027</v>
      </c>
      <c r="F222" s="449">
        <f t="shared" si="25"/>
        <v>-7.8769346647517918E-2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0.58226773014246958</v>
      </c>
      <c r="D223" s="453">
        <f>IF(LN_IG1=0,0,LN_IG2/LN_IG1)</f>
        <v>0.33024165842197634</v>
      </c>
      <c r="E223" s="454">
        <f t="shared" si="24"/>
        <v>-0.25202607172049324</v>
      </c>
      <c r="F223" s="449">
        <f t="shared" si="25"/>
        <v>-0.43283537567645619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41</v>
      </c>
      <c r="D224" s="456">
        <v>40</v>
      </c>
      <c r="E224" s="456">
        <f t="shared" si="24"/>
        <v>-1</v>
      </c>
      <c r="F224" s="449">
        <f t="shared" si="25"/>
        <v>-2.4390243902439025E-2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1.0127900000000001</v>
      </c>
      <c r="D225" s="459">
        <v>1.1261000000000001</v>
      </c>
      <c r="E225" s="460">
        <f t="shared" si="24"/>
        <v>0.11331000000000002</v>
      </c>
      <c r="F225" s="449">
        <f t="shared" si="25"/>
        <v>0.11187906673644094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41.524390000000004</v>
      </c>
      <c r="D226" s="463">
        <f>LN_IG3*LN_IG4</f>
        <v>45.044000000000004</v>
      </c>
      <c r="E226" s="463">
        <f t="shared" si="24"/>
        <v>3.5196100000000001</v>
      </c>
      <c r="F226" s="449">
        <f t="shared" si="25"/>
        <v>8.4760065108722846E-2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8568.7231046621018</v>
      </c>
      <c r="D227" s="465">
        <f>IF(LN_IG5=0,0,LN_IG2/LN_IG5)</f>
        <v>7276.9736257881177</v>
      </c>
      <c r="E227" s="465">
        <f t="shared" si="24"/>
        <v>-1291.7494788739841</v>
      </c>
      <c r="F227" s="449">
        <f t="shared" si="25"/>
        <v>-0.15075168879843537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149</v>
      </c>
      <c r="D228" s="456">
        <v>211</v>
      </c>
      <c r="E228" s="456">
        <f t="shared" si="24"/>
        <v>62</v>
      </c>
      <c r="F228" s="449">
        <f t="shared" si="25"/>
        <v>0.41610738255033558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2387.9932885906042</v>
      </c>
      <c r="D229" s="465">
        <f>IF(LN_IG6=0,0,LN_IG2/LN_IG6)</f>
        <v>1553.4786729857819</v>
      </c>
      <c r="E229" s="465">
        <f t="shared" si="24"/>
        <v>-834.51461560482221</v>
      </c>
      <c r="F229" s="449">
        <f t="shared" si="25"/>
        <v>-0.34946271398331841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3.6341463414634148</v>
      </c>
      <c r="D230" s="466">
        <f>IF(LN_IG3=0,0,LN_IG6/LN_IG3)</f>
        <v>5.2750000000000004</v>
      </c>
      <c r="E230" s="466">
        <f t="shared" si="24"/>
        <v>1.6408536585365856</v>
      </c>
      <c r="F230" s="449">
        <f t="shared" si="25"/>
        <v>0.45151006711409403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1104979</v>
      </c>
      <c r="D233" s="448">
        <v>1603026</v>
      </c>
      <c r="E233" s="448">
        <f>D233-C233</f>
        <v>498047</v>
      </c>
      <c r="F233" s="449">
        <f>IF(C233=0,0,E233/C233)</f>
        <v>0.4507298328746519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292998</v>
      </c>
      <c r="D234" s="448">
        <v>329314</v>
      </c>
      <c r="E234" s="448">
        <f>D234-C234</f>
        <v>36316</v>
      </c>
      <c r="F234" s="449">
        <f>IF(C234=0,0,E234/C234)</f>
        <v>0.12394623854087741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1716057</v>
      </c>
      <c r="D237" s="448">
        <f>LN_IG1+LN_IG9</f>
        <v>2595584</v>
      </c>
      <c r="E237" s="448">
        <f>D237-C237</f>
        <v>879527</v>
      </c>
      <c r="F237" s="449">
        <f>IF(C237=0,0,E237/C237)</f>
        <v>0.51252784726847656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648809</v>
      </c>
      <c r="D238" s="448">
        <f>LN_IG2+LN_IG10</f>
        <v>657098</v>
      </c>
      <c r="E238" s="448">
        <f>D238-C238</f>
        <v>8289</v>
      </c>
      <c r="F238" s="449">
        <f>IF(C238=0,0,E238/C238)</f>
        <v>1.2775716736358467E-2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1067248</v>
      </c>
      <c r="D239" s="448">
        <f>LN_IG13-LN_IG14</f>
        <v>1938486</v>
      </c>
      <c r="E239" s="448">
        <f>D239-C239</f>
        <v>871238</v>
      </c>
      <c r="F239" s="449">
        <f>IF(C239=0,0,E239/C239)</f>
        <v>0.81634071930797714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19289474</v>
      </c>
      <c r="D243" s="448">
        <v>17340796</v>
      </c>
      <c r="E243" s="441">
        <f>D243-C243</f>
        <v>-1948678</v>
      </c>
      <c r="F243" s="503">
        <f>IF(C243=0,0,E243/C243)</f>
        <v>-0.10102286874178114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188335086</v>
      </c>
      <c r="D244" s="448">
        <v>185309559</v>
      </c>
      <c r="E244" s="441">
        <f>D244-C244</f>
        <v>-3025527</v>
      </c>
      <c r="F244" s="503">
        <f>IF(C244=0,0,E244/C244)</f>
        <v>-1.6064595632488788E-2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3908882</v>
      </c>
      <c r="D248" s="441">
        <v>2411263</v>
      </c>
      <c r="E248" s="441">
        <f>D248-C248</f>
        <v>-1497619</v>
      </c>
      <c r="F248" s="449">
        <f>IF(C248=0,0,E248/C248)</f>
        <v>-0.38313231251288732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5518461</v>
      </c>
      <c r="D249" s="441">
        <v>5822470</v>
      </c>
      <c r="E249" s="441">
        <f>D249-C249</f>
        <v>304009</v>
      </c>
      <c r="F249" s="449">
        <f>IF(C249=0,0,E249/C249)</f>
        <v>5.5089453382020821E-2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9427343</v>
      </c>
      <c r="D250" s="441">
        <f>LN_IH4+LN_IH5</f>
        <v>8233733</v>
      </c>
      <c r="E250" s="441">
        <f>D250-C250</f>
        <v>-1193610</v>
      </c>
      <c r="F250" s="449">
        <f>IF(C250=0,0,E250/C250)</f>
        <v>-0.12661149594323662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2735878.7032968802</v>
      </c>
      <c r="D251" s="441">
        <f>LN_IH6*LN_III10</f>
        <v>2296126.7922059274</v>
      </c>
      <c r="E251" s="441">
        <f>D251-C251</f>
        <v>-439751.91109095281</v>
      </c>
      <c r="F251" s="449">
        <f>IF(C251=0,0,E251/C251)</f>
        <v>-0.16073516364633719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104009027</v>
      </c>
      <c r="D254" s="441">
        <f>LN_IF23</f>
        <v>126425691</v>
      </c>
      <c r="E254" s="441">
        <f>D254-C254</f>
        <v>22416664</v>
      </c>
      <c r="F254" s="449">
        <f>IF(C254=0,0,E254/C254)</f>
        <v>0.21552613889946304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23251760</v>
      </c>
      <c r="D255" s="441">
        <f>LN_IF24</f>
        <v>27287201</v>
      </c>
      <c r="E255" s="441">
        <f>D255-C255</f>
        <v>4035441</v>
      </c>
      <c r="F255" s="449">
        <f>IF(C255=0,0,E255/C255)</f>
        <v>0.1735542169711024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30184123.132035211</v>
      </c>
      <c r="D256" s="441">
        <f>LN_IH8*LN_III10</f>
        <v>35256112.425341919</v>
      </c>
      <c r="E256" s="441">
        <f>D256-C256</f>
        <v>5071989.2933067083</v>
      </c>
      <c r="F256" s="449">
        <f>IF(C256=0,0,E256/C256)</f>
        <v>0.16803500539406666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6932363.1320352107</v>
      </c>
      <c r="D257" s="441">
        <f>LN_IH10-LN_IH9</f>
        <v>7968911.4253419191</v>
      </c>
      <c r="E257" s="441">
        <f>D257-C257</f>
        <v>1036548.2933067083</v>
      </c>
      <c r="F257" s="449">
        <f>IF(C257=0,0,E257/C257)</f>
        <v>0.14952308088373284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225513088</v>
      </c>
      <c r="D261" s="448">
        <f>LN_IA1+LN_IB1+LN_IF1+LN_IG1</f>
        <v>232383939</v>
      </c>
      <c r="E261" s="448">
        <f t="shared" ref="E261:E274" si="26">D261-C261</f>
        <v>6870851</v>
      </c>
      <c r="F261" s="503">
        <f t="shared" ref="F261:F274" si="27">IF(C261=0,0,E261/C261)</f>
        <v>3.0467637425992764E-2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76496722</v>
      </c>
      <c r="D262" s="448">
        <f>+LN_IA2+LN_IB2+LN_IF2+LN_IG2</f>
        <v>75536744</v>
      </c>
      <c r="E262" s="448">
        <f t="shared" si="26"/>
        <v>-959978</v>
      </c>
      <c r="F262" s="503">
        <f t="shared" si="27"/>
        <v>-1.2549269758251864E-2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0.33921189532023971</v>
      </c>
      <c r="D263" s="453">
        <f>IF(LN_IIA1=0,0,LN_IIA2/LN_IIA1)</f>
        <v>0.32505148301148301</v>
      </c>
      <c r="E263" s="454">
        <f t="shared" si="26"/>
        <v>-1.4160412308756698E-2</v>
      </c>
      <c r="F263" s="458">
        <f t="shared" si="27"/>
        <v>-4.1745034605547307E-2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9342</v>
      </c>
      <c r="D264" s="456">
        <f>LN_IA4+LN_IB4+LN_IF4+LN_IG3</f>
        <v>9110</v>
      </c>
      <c r="E264" s="456">
        <f t="shared" si="26"/>
        <v>-232</v>
      </c>
      <c r="F264" s="503">
        <f t="shared" si="27"/>
        <v>-2.4834082637550846E-2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1.19254726825091</v>
      </c>
      <c r="D265" s="525">
        <f>IF(LN_IIA4=0,0,LN_IIA6/LN_IIA4)</f>
        <v>1.1908931196487376</v>
      </c>
      <c r="E265" s="525">
        <f t="shared" si="26"/>
        <v>-1.6541486021723895E-3</v>
      </c>
      <c r="F265" s="503">
        <f t="shared" si="27"/>
        <v>-1.3870717297424218E-3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11140.776580000002</v>
      </c>
      <c r="D266" s="463">
        <f>LN_IA6+LN_IB6+LN_IF6+LN_IG5</f>
        <v>10849.036319999999</v>
      </c>
      <c r="E266" s="463">
        <f t="shared" si="26"/>
        <v>-291.74026000000231</v>
      </c>
      <c r="F266" s="503">
        <f t="shared" si="27"/>
        <v>-2.6186707713332699E-2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337511329</v>
      </c>
      <c r="D267" s="448">
        <f>LN_IA11+LN_IB13+LN_IF14+LN_IG9</f>
        <v>369575729</v>
      </c>
      <c r="E267" s="448">
        <f t="shared" si="26"/>
        <v>32064400</v>
      </c>
      <c r="F267" s="503">
        <f t="shared" si="27"/>
        <v>9.5002440643999833E-2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1.4966374324136789</v>
      </c>
      <c r="D268" s="453">
        <f>IF(LN_IIA1=0,0,LN_IIA7/LN_IIA1)</f>
        <v>1.5903669186018918</v>
      </c>
      <c r="E268" s="454">
        <f t="shared" si="26"/>
        <v>9.3729486188212974E-2</v>
      </c>
      <c r="F268" s="458">
        <f t="shared" si="27"/>
        <v>6.2626715167114447E-2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96324115</v>
      </c>
      <c r="D269" s="448">
        <f>LN_IA12+LN_IB14+LN_IF15+LN_IG10</f>
        <v>100564432</v>
      </c>
      <c r="E269" s="448">
        <f t="shared" si="26"/>
        <v>4240317</v>
      </c>
      <c r="F269" s="503">
        <f t="shared" si="27"/>
        <v>4.4021343980165301E-2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0.28539520520805983</v>
      </c>
      <c r="D270" s="453">
        <f>IF(LN_IIA7=0,0,LN_IIA9/LN_IIA7)</f>
        <v>0.27210778227268273</v>
      </c>
      <c r="E270" s="454">
        <f t="shared" si="26"/>
        <v>-1.3287422935377102E-2</v>
      </c>
      <c r="F270" s="458">
        <f t="shared" si="27"/>
        <v>-4.6557975372046832E-2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563024417</v>
      </c>
      <c r="D271" s="441">
        <f>LN_IIA1+LN_IIA7</f>
        <v>601959668</v>
      </c>
      <c r="E271" s="441">
        <f t="shared" si="26"/>
        <v>38935251</v>
      </c>
      <c r="F271" s="503">
        <f t="shared" si="27"/>
        <v>6.9153752171995056E-2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172820837</v>
      </c>
      <c r="D272" s="441">
        <f>LN_IIA2+LN_IIA9</f>
        <v>176101176</v>
      </c>
      <c r="E272" s="441">
        <f t="shared" si="26"/>
        <v>3280339</v>
      </c>
      <c r="F272" s="503">
        <f t="shared" si="27"/>
        <v>1.8981154454193506E-2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0.30695087421048739</v>
      </c>
      <c r="D273" s="453">
        <f>IF(LN_IIA11=0,0,LN_IIA12/LN_IIA11)</f>
        <v>0.29254647007347345</v>
      </c>
      <c r="E273" s="454">
        <f t="shared" si="26"/>
        <v>-1.4404404137013938E-2</v>
      </c>
      <c r="F273" s="458">
        <f t="shared" si="27"/>
        <v>-4.6927392450220921E-2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46662</v>
      </c>
      <c r="D274" s="508">
        <f>LN_IA8+LN_IB10+LN_IF11+LN_IG6</f>
        <v>44106</v>
      </c>
      <c r="E274" s="528">
        <f t="shared" si="26"/>
        <v>-2556</v>
      </c>
      <c r="F274" s="458">
        <f t="shared" si="27"/>
        <v>-5.4776906262054774E-2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167875979</v>
      </c>
      <c r="D277" s="448">
        <f>LN_IA1+LN_IF1+LN_IG1</f>
        <v>174319962</v>
      </c>
      <c r="E277" s="448">
        <f t="shared" ref="E277:E291" si="28">D277-C277</f>
        <v>6443983</v>
      </c>
      <c r="F277" s="503">
        <f t="shared" ref="F277:F291" si="29">IF(C277=0,0,E277/C277)</f>
        <v>3.8385378529944419E-2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49682826</v>
      </c>
      <c r="D278" s="448">
        <f>LN_IA2+LN_IF2+LN_IG2</f>
        <v>49782460</v>
      </c>
      <c r="E278" s="448">
        <f t="shared" si="28"/>
        <v>99634</v>
      </c>
      <c r="F278" s="503">
        <f t="shared" si="29"/>
        <v>2.0054012225472037E-3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0.29594958311456815</v>
      </c>
      <c r="D279" s="453">
        <f>IF(D277=0,0,LN_IIB2/D277)</f>
        <v>0.28558094798116124</v>
      </c>
      <c r="E279" s="454">
        <f t="shared" si="28"/>
        <v>-1.0368635133406912E-2</v>
      </c>
      <c r="F279" s="458">
        <f t="shared" si="29"/>
        <v>-3.5035140189378138E-2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5947</v>
      </c>
      <c r="D280" s="456">
        <f>LN_IA4+LN_IF4+LN_IG3</f>
        <v>5896</v>
      </c>
      <c r="E280" s="456">
        <f t="shared" si="28"/>
        <v>-51</v>
      </c>
      <c r="F280" s="503">
        <f t="shared" si="29"/>
        <v>-8.5757524802421384E-3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1.3115334084412307</v>
      </c>
      <c r="D281" s="525">
        <f>IF(LN_IIB4=0,0,LN_IIB6/LN_IIB4)</f>
        <v>1.2946139145183175</v>
      </c>
      <c r="E281" s="525">
        <f t="shared" si="28"/>
        <v>-1.6919493922913142E-2</v>
      </c>
      <c r="F281" s="503">
        <f t="shared" si="29"/>
        <v>-1.2900543603400934E-2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7799.6891799999994</v>
      </c>
      <c r="D282" s="463">
        <f>LN_IA6+LN_IF6+LN_IG5</f>
        <v>7633.0436399999999</v>
      </c>
      <c r="E282" s="463">
        <f t="shared" si="28"/>
        <v>-166.64553999999953</v>
      </c>
      <c r="F282" s="503">
        <f t="shared" si="29"/>
        <v>-2.1365664214839847E-2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184014267</v>
      </c>
      <c r="D283" s="448">
        <f>LN_IA11+LN_IF14+LN_IG9</f>
        <v>211326950</v>
      </c>
      <c r="E283" s="448">
        <f t="shared" si="28"/>
        <v>27312683</v>
      </c>
      <c r="F283" s="503">
        <f t="shared" si="29"/>
        <v>0.14842698582713698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1.0961322048343796</v>
      </c>
      <c r="D284" s="453">
        <f>IF(D277=0,0,LN_IIB7/D277)</f>
        <v>1.2122934606881111</v>
      </c>
      <c r="E284" s="454">
        <f t="shared" si="28"/>
        <v>0.11616125585373149</v>
      </c>
      <c r="F284" s="458">
        <f t="shared" si="29"/>
        <v>0.10597376424250113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34724859</v>
      </c>
      <c r="D285" s="448">
        <f>LN_IA12+LN_IF15+LN_IG10</f>
        <v>40854371</v>
      </c>
      <c r="E285" s="448">
        <f t="shared" si="28"/>
        <v>6129512</v>
      </c>
      <c r="F285" s="503">
        <f t="shared" si="29"/>
        <v>0.17651654107508399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0.18870742777786897</v>
      </c>
      <c r="D286" s="453">
        <f>IF(LN_IIB7=0,0,LN_IIB9/LN_IIB7)</f>
        <v>0.19332305226569541</v>
      </c>
      <c r="E286" s="454">
        <f t="shared" si="28"/>
        <v>4.6156244878264308E-3</v>
      </c>
      <c r="F286" s="458">
        <f t="shared" si="29"/>
        <v>2.4459156389220506E-2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351890246</v>
      </c>
      <c r="D287" s="441">
        <f>D277+LN_IIB7</f>
        <v>385646912</v>
      </c>
      <c r="E287" s="441">
        <f t="shared" si="28"/>
        <v>33756666</v>
      </c>
      <c r="F287" s="503">
        <f t="shared" si="29"/>
        <v>9.5929530254726073E-2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84407685</v>
      </c>
      <c r="D288" s="441">
        <f>LN_IIB2+LN_IIB9</f>
        <v>90636831</v>
      </c>
      <c r="E288" s="441">
        <f t="shared" si="28"/>
        <v>6229146</v>
      </c>
      <c r="F288" s="503">
        <f t="shared" si="29"/>
        <v>7.379832772335837E-2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0.23986935119537242</v>
      </c>
      <c r="D289" s="453">
        <f>IF(LN_IIB11=0,0,LN_IIB12/LN_IIB11)</f>
        <v>0.23502542916770458</v>
      </c>
      <c r="E289" s="454">
        <f t="shared" si="28"/>
        <v>-4.8439220276678407E-3</v>
      </c>
      <c r="F289" s="458">
        <f t="shared" si="29"/>
        <v>-2.0194001457578839E-2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33512</v>
      </c>
      <c r="D290" s="508">
        <f>LN_IA8+LN_IF11+LN_IG6</f>
        <v>32352</v>
      </c>
      <c r="E290" s="528">
        <f t="shared" si="28"/>
        <v>-1160</v>
      </c>
      <c r="F290" s="458">
        <f t="shared" si="29"/>
        <v>-3.4614466459775603E-2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267482561</v>
      </c>
      <c r="D291" s="516">
        <f>LN_IIB11-LN_IIB12</f>
        <v>295010081</v>
      </c>
      <c r="E291" s="441">
        <f t="shared" si="28"/>
        <v>27527520</v>
      </c>
      <c r="F291" s="503">
        <f t="shared" si="29"/>
        <v>0.10291332600183979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6.0688301491756089</v>
      </c>
      <c r="D294" s="466">
        <f>IF(LN_IA4=0,0,LN_IA8/LN_IA4)</f>
        <v>5.7418389553862896</v>
      </c>
      <c r="E294" s="466">
        <f t="shared" ref="E294:E300" si="30">D294-C294</f>
        <v>-0.32699119378931929</v>
      </c>
      <c r="F294" s="503">
        <f t="shared" ref="F294:F300" si="31">IF(C294=0,0,E294/C294)</f>
        <v>-5.3880432596014875E-2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3.8733431516936672</v>
      </c>
      <c r="D295" s="466">
        <f>IF(LN_IB4=0,0,(LN_IB10)/(LN_IB4))</f>
        <v>3.6571250777846918</v>
      </c>
      <c r="E295" s="466">
        <f t="shared" si="30"/>
        <v>-0.21621807390897541</v>
      </c>
      <c r="F295" s="503">
        <f t="shared" si="31"/>
        <v>-5.5822080678400873E-2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4.9403669724770642</v>
      </c>
      <c r="D296" s="466">
        <f>IF(LN_IC4=0,0,LN_IC11/LN_IC4)</f>
        <v>4.2772277227722775</v>
      </c>
      <c r="E296" s="466">
        <f t="shared" si="30"/>
        <v>-0.66313924970478677</v>
      </c>
      <c r="F296" s="503">
        <f t="shared" si="31"/>
        <v>-0.13422874320858266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4.8796163069544365</v>
      </c>
      <c r="D297" s="466">
        <f>IF(LN_ID4=0,0,LN_ID11/LN_ID4)</f>
        <v>5.0614678899082568</v>
      </c>
      <c r="E297" s="466">
        <f t="shared" si="30"/>
        <v>0.18185158295382031</v>
      </c>
      <c r="F297" s="503">
        <f t="shared" si="31"/>
        <v>3.7267598826294018E-2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3.6341463414634148</v>
      </c>
      <c r="D299" s="466">
        <f>IF(LN_IG3=0,0,LN_IG6/LN_IG3)</f>
        <v>5.2750000000000004</v>
      </c>
      <c r="E299" s="466">
        <f t="shared" si="30"/>
        <v>1.6408536585365856</v>
      </c>
      <c r="F299" s="503">
        <f t="shared" si="31"/>
        <v>0.45151006711409403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4.9948619139370587</v>
      </c>
      <c r="D300" s="466">
        <f>IF(LN_IIA4=0,0,LN_IIA14/LN_IIA4)</f>
        <v>4.8414928649835343</v>
      </c>
      <c r="E300" s="466">
        <f t="shared" si="30"/>
        <v>-0.15336904895352443</v>
      </c>
      <c r="F300" s="503">
        <f t="shared" si="31"/>
        <v>-3.0705363150397007E-2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563024417</v>
      </c>
      <c r="D304" s="441">
        <f>LN_IIA11</f>
        <v>601959668</v>
      </c>
      <c r="E304" s="441">
        <f t="shared" ref="E304:E316" si="32">D304-C304</f>
        <v>38935251</v>
      </c>
      <c r="F304" s="449">
        <f>IF(C304=0,0,E304/C304)</f>
        <v>6.9153752171995056E-2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267482561</v>
      </c>
      <c r="D305" s="441">
        <f>LN_IIB14</f>
        <v>295010081</v>
      </c>
      <c r="E305" s="441">
        <f t="shared" si="32"/>
        <v>27527520</v>
      </c>
      <c r="F305" s="449">
        <f>IF(C305=0,0,E305/C305)</f>
        <v>0.10291332600183979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9427343</v>
      </c>
      <c r="D306" s="441">
        <f>LN_IH6</f>
        <v>8233733</v>
      </c>
      <c r="E306" s="441">
        <f t="shared" si="32"/>
        <v>-1193610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122721019</v>
      </c>
      <c r="D307" s="441">
        <f>LN_IB32-LN_IB33</f>
        <v>130848409</v>
      </c>
      <c r="E307" s="441">
        <f t="shared" si="32"/>
        <v>8127390</v>
      </c>
      <c r="F307" s="449">
        <f t="shared" ref="F307:F316" si="33">IF(C307=0,0,E307/C307)</f>
        <v>6.6226552437606473E-2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399630923</v>
      </c>
      <c r="D309" s="441">
        <f>LN_III2+LN_III3+LN_III4+LN_III5</f>
        <v>434092223</v>
      </c>
      <c r="E309" s="441">
        <f t="shared" si="32"/>
        <v>34461300</v>
      </c>
      <c r="F309" s="449">
        <f t="shared" si="33"/>
        <v>8.623281637292117E-2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163393494</v>
      </c>
      <c r="D310" s="441">
        <f>LN_III1-LN_III6</f>
        <v>167867445</v>
      </c>
      <c r="E310" s="441">
        <f t="shared" si="32"/>
        <v>4473951</v>
      </c>
      <c r="F310" s="449">
        <f t="shared" si="33"/>
        <v>2.738145130796946E-2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163393494</v>
      </c>
      <c r="D312" s="441">
        <f>LN_III7+LN_III8</f>
        <v>167867445</v>
      </c>
      <c r="E312" s="441">
        <f t="shared" si="32"/>
        <v>4473951</v>
      </c>
      <c r="F312" s="449">
        <f t="shared" si="33"/>
        <v>2.738145130796946E-2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0.29020676380363802</v>
      </c>
      <c r="D313" s="532">
        <f>IF(LN_III1=0,0,LN_III9/LN_III1)</f>
        <v>0.27886825965888468</v>
      </c>
      <c r="E313" s="532">
        <f t="shared" si="32"/>
        <v>-1.1338504144753347E-2</v>
      </c>
      <c r="F313" s="449">
        <f t="shared" si="33"/>
        <v>-3.9070433769852773E-2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2735878.7032968802</v>
      </c>
      <c r="D314" s="441">
        <f>D313*LN_III5</f>
        <v>2296126.7922059274</v>
      </c>
      <c r="E314" s="441">
        <f t="shared" si="32"/>
        <v>-439751.91109095281</v>
      </c>
      <c r="F314" s="449">
        <f t="shared" si="33"/>
        <v>-0.16073516364633719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6932363.1320352107</v>
      </c>
      <c r="D315" s="441">
        <f>D313*LN_IH8-LN_IH9</f>
        <v>7968911.4253419191</v>
      </c>
      <c r="E315" s="441">
        <f t="shared" si="32"/>
        <v>1036548.2933067083</v>
      </c>
      <c r="F315" s="449">
        <f t="shared" si="33"/>
        <v>0.14952308088373284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9668241.8353320919</v>
      </c>
      <c r="D318" s="441">
        <f>D314+D315+D316</f>
        <v>10265038.217547847</v>
      </c>
      <c r="E318" s="441">
        <f>D318-C318</f>
        <v>596796.38221575506</v>
      </c>
      <c r="F318" s="449">
        <f>IF(C318=0,0,E318/C318)</f>
        <v>6.1727498378742807E-2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9732184.5288814437</v>
      </c>
      <c r="D322" s="441">
        <f>LN_ID22</f>
        <v>9293727.1307304371</v>
      </c>
      <c r="E322" s="441">
        <f>LN_IV2-C322</f>
        <v>-438457.39815100655</v>
      </c>
      <c r="F322" s="449">
        <f>IF(C322=0,0,E322/C322)</f>
        <v>-4.5052310388261831E-2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5381901.4810228851</v>
      </c>
      <c r="D324" s="441">
        <f>LN_IC10+LN_IC22</f>
        <v>3108854.2373567931</v>
      </c>
      <c r="E324" s="441">
        <f>LN_IV1-C324</f>
        <v>-2273047.2436660919</v>
      </c>
      <c r="F324" s="449">
        <f>IF(C324=0,0,E324/C324)</f>
        <v>-0.4223502142655492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15114086.009904329</v>
      </c>
      <c r="D325" s="516">
        <f>LN_IV1+LN_IV2+LN_IV3</f>
        <v>12402581.36808723</v>
      </c>
      <c r="E325" s="441">
        <f>LN_IV4-C325</f>
        <v>-2711504.6418170985</v>
      </c>
      <c r="F325" s="449">
        <f>IF(C325=0,0,E325/C325)</f>
        <v>-0.17940248851569571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-2521217</v>
      </c>
      <c r="D330" s="516">
        <v>-3896909</v>
      </c>
      <c r="E330" s="518">
        <f t="shared" si="34"/>
        <v>-1375692</v>
      </c>
      <c r="F330" s="543">
        <f t="shared" si="35"/>
        <v>0.5456460114301942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170299621</v>
      </c>
      <c r="D331" s="516">
        <v>172204267</v>
      </c>
      <c r="E331" s="518">
        <f t="shared" si="34"/>
        <v>1904646</v>
      </c>
      <c r="F331" s="542">
        <f t="shared" si="35"/>
        <v>1.1184088307513027E-2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563024416</v>
      </c>
      <c r="D333" s="516">
        <v>601959668</v>
      </c>
      <c r="E333" s="518">
        <f t="shared" si="34"/>
        <v>38935252</v>
      </c>
      <c r="F333" s="542">
        <f t="shared" si="35"/>
        <v>6.9153754070942458E-2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9427343</v>
      </c>
      <c r="D335" s="516">
        <v>8233733</v>
      </c>
      <c r="E335" s="516">
        <f t="shared" si="34"/>
        <v>-1193610</v>
      </c>
      <c r="F335" s="542">
        <f t="shared" si="35"/>
        <v>-0.12661149594323662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FILING&amp;RMANCHESTER MEMORIAL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57637109</v>
      </c>
      <c r="D14" s="589">
        <v>58063977</v>
      </c>
      <c r="E14" s="590">
        <f t="shared" ref="E14:E22" si="0">D14-C14</f>
        <v>426868</v>
      </c>
    </row>
    <row r="15" spans="1:5" s="421" customFormat="1" x14ac:dyDescent="0.2">
      <c r="A15" s="588">
        <v>2</v>
      </c>
      <c r="B15" s="587" t="s">
        <v>636</v>
      </c>
      <c r="C15" s="589">
        <v>127499659</v>
      </c>
      <c r="D15" s="591">
        <v>125637142</v>
      </c>
      <c r="E15" s="590">
        <f t="shared" si="0"/>
        <v>-1862517</v>
      </c>
    </row>
    <row r="16" spans="1:5" s="421" customFormat="1" x14ac:dyDescent="0.2">
      <c r="A16" s="588">
        <v>3</v>
      </c>
      <c r="B16" s="587" t="s">
        <v>778</v>
      </c>
      <c r="C16" s="589">
        <v>39765242</v>
      </c>
      <c r="D16" s="591">
        <v>47690262</v>
      </c>
      <c r="E16" s="590">
        <f t="shared" si="0"/>
        <v>7925020</v>
      </c>
    </row>
    <row r="17" spans="1:5" s="421" customFormat="1" x14ac:dyDescent="0.2">
      <c r="A17" s="588">
        <v>4</v>
      </c>
      <c r="B17" s="587" t="s">
        <v>115</v>
      </c>
      <c r="C17" s="589">
        <v>39765242</v>
      </c>
      <c r="D17" s="591">
        <v>47690262</v>
      </c>
      <c r="E17" s="590">
        <f t="shared" si="0"/>
        <v>7925020</v>
      </c>
    </row>
    <row r="18" spans="1:5" s="421" customFormat="1" x14ac:dyDescent="0.2">
      <c r="A18" s="588">
        <v>5</v>
      </c>
      <c r="B18" s="587" t="s">
        <v>744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611078</v>
      </c>
      <c r="D19" s="591">
        <v>992558</v>
      </c>
      <c r="E19" s="590">
        <f t="shared" si="0"/>
        <v>381480</v>
      </c>
    </row>
    <row r="20" spans="1:5" s="421" customFormat="1" x14ac:dyDescent="0.2">
      <c r="A20" s="588">
        <v>7</v>
      </c>
      <c r="B20" s="587" t="s">
        <v>759</v>
      </c>
      <c r="C20" s="589">
        <v>2371759</v>
      </c>
      <c r="D20" s="591">
        <v>1659376</v>
      </c>
      <c r="E20" s="590">
        <f t="shared" si="0"/>
        <v>-712383</v>
      </c>
    </row>
    <row r="21" spans="1:5" s="421" customFormat="1" x14ac:dyDescent="0.2">
      <c r="A21" s="588"/>
      <c r="B21" s="592" t="s">
        <v>779</v>
      </c>
      <c r="C21" s="593">
        <f>SUM(C15+C16+C19)</f>
        <v>167875979</v>
      </c>
      <c r="D21" s="593">
        <f>SUM(D15+D16+D19)</f>
        <v>174319962</v>
      </c>
      <c r="E21" s="593">
        <f t="shared" si="0"/>
        <v>6443983</v>
      </c>
    </row>
    <row r="22" spans="1:5" s="421" customFormat="1" x14ac:dyDescent="0.2">
      <c r="A22" s="588"/>
      <c r="B22" s="592" t="s">
        <v>465</v>
      </c>
      <c r="C22" s="593">
        <f>SUM(C14+C21)</f>
        <v>225513088</v>
      </c>
      <c r="D22" s="593">
        <f>SUM(D14+D21)</f>
        <v>232383939</v>
      </c>
      <c r="E22" s="593">
        <f t="shared" si="0"/>
        <v>6870851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153497062</v>
      </c>
      <c r="D25" s="589">
        <v>158248779</v>
      </c>
      <c r="E25" s="590">
        <f t="shared" ref="E25:E33" si="1">D25-C25</f>
        <v>4751717</v>
      </c>
    </row>
    <row r="26" spans="1:5" s="421" customFormat="1" x14ac:dyDescent="0.2">
      <c r="A26" s="588">
        <v>2</v>
      </c>
      <c r="B26" s="587" t="s">
        <v>636</v>
      </c>
      <c r="C26" s="589">
        <v>118665503</v>
      </c>
      <c r="D26" s="591">
        <v>130988495</v>
      </c>
      <c r="E26" s="590">
        <f t="shared" si="1"/>
        <v>12322992</v>
      </c>
    </row>
    <row r="27" spans="1:5" s="421" customFormat="1" x14ac:dyDescent="0.2">
      <c r="A27" s="588">
        <v>3</v>
      </c>
      <c r="B27" s="587" t="s">
        <v>778</v>
      </c>
      <c r="C27" s="589">
        <v>64243785</v>
      </c>
      <c r="D27" s="591">
        <v>78735429</v>
      </c>
      <c r="E27" s="590">
        <f t="shared" si="1"/>
        <v>14491644</v>
      </c>
    </row>
    <row r="28" spans="1:5" s="421" customFormat="1" x14ac:dyDescent="0.2">
      <c r="A28" s="588">
        <v>4</v>
      </c>
      <c r="B28" s="587" t="s">
        <v>115</v>
      </c>
      <c r="C28" s="589">
        <v>64243785</v>
      </c>
      <c r="D28" s="591">
        <v>78735429</v>
      </c>
      <c r="E28" s="590">
        <f t="shared" si="1"/>
        <v>14491644</v>
      </c>
    </row>
    <row r="29" spans="1:5" s="421" customFormat="1" x14ac:dyDescent="0.2">
      <c r="A29" s="588">
        <v>5</v>
      </c>
      <c r="B29" s="587" t="s">
        <v>744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1104979</v>
      </c>
      <c r="D30" s="591">
        <v>1603026</v>
      </c>
      <c r="E30" s="590">
        <f t="shared" si="1"/>
        <v>498047</v>
      </c>
    </row>
    <row r="31" spans="1:5" s="421" customFormat="1" x14ac:dyDescent="0.2">
      <c r="A31" s="588">
        <v>7</v>
      </c>
      <c r="B31" s="587" t="s">
        <v>759</v>
      </c>
      <c r="C31" s="590">
        <v>7444649</v>
      </c>
      <c r="D31" s="594">
        <v>6888511</v>
      </c>
      <c r="E31" s="590">
        <f t="shared" si="1"/>
        <v>-556138</v>
      </c>
    </row>
    <row r="32" spans="1:5" s="421" customFormat="1" x14ac:dyDescent="0.2">
      <c r="A32" s="588"/>
      <c r="B32" s="592" t="s">
        <v>781</v>
      </c>
      <c r="C32" s="593">
        <f>SUM(C26+C27+C30)</f>
        <v>184014267</v>
      </c>
      <c r="D32" s="593">
        <f>SUM(D26+D27+D30)</f>
        <v>211326950</v>
      </c>
      <c r="E32" s="593">
        <f t="shared" si="1"/>
        <v>27312683</v>
      </c>
    </row>
    <row r="33" spans="1:5" s="421" customFormat="1" x14ac:dyDescent="0.2">
      <c r="A33" s="588"/>
      <c r="B33" s="592" t="s">
        <v>467</v>
      </c>
      <c r="C33" s="593">
        <f>SUM(C25+C32)</f>
        <v>337511329</v>
      </c>
      <c r="D33" s="593">
        <f>SUM(D25+D32)</f>
        <v>369575729</v>
      </c>
      <c r="E33" s="593">
        <f t="shared" si="1"/>
        <v>32064400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211134171</v>
      </c>
      <c r="D36" s="590">
        <f t="shared" si="2"/>
        <v>216312756</v>
      </c>
      <c r="E36" s="590">
        <f t="shared" ref="E36:E44" si="3">D36-C36</f>
        <v>5178585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246165162</v>
      </c>
      <c r="D37" s="590">
        <f t="shared" si="2"/>
        <v>256625637</v>
      </c>
      <c r="E37" s="590">
        <f t="shared" si="3"/>
        <v>10460475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104009027</v>
      </c>
      <c r="D38" s="590">
        <f t="shared" si="2"/>
        <v>126425691</v>
      </c>
      <c r="E38" s="590">
        <f t="shared" si="3"/>
        <v>22416664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104009027</v>
      </c>
      <c r="D39" s="590">
        <f t="shared" si="2"/>
        <v>126425691</v>
      </c>
      <c r="E39" s="590">
        <f t="shared" si="3"/>
        <v>22416664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1716057</v>
      </c>
      <c r="D41" s="590">
        <f t="shared" si="2"/>
        <v>2595584</v>
      </c>
      <c r="E41" s="590">
        <f t="shared" si="3"/>
        <v>879527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9816408</v>
      </c>
      <c r="D42" s="590">
        <f t="shared" si="2"/>
        <v>8547887</v>
      </c>
      <c r="E42" s="590">
        <f t="shared" si="3"/>
        <v>-1268521</v>
      </c>
    </row>
    <row r="43" spans="1:5" s="421" customFormat="1" x14ac:dyDescent="0.2">
      <c r="A43" s="588"/>
      <c r="B43" s="592" t="s">
        <v>789</v>
      </c>
      <c r="C43" s="593">
        <f>SUM(C37+C38+C41)</f>
        <v>351890246</v>
      </c>
      <c r="D43" s="593">
        <f>SUM(D37+D38+D41)</f>
        <v>385646912</v>
      </c>
      <c r="E43" s="593">
        <f t="shared" si="3"/>
        <v>33756666</v>
      </c>
    </row>
    <row r="44" spans="1:5" s="421" customFormat="1" x14ac:dyDescent="0.2">
      <c r="A44" s="588"/>
      <c r="B44" s="592" t="s">
        <v>726</v>
      </c>
      <c r="C44" s="593">
        <f>SUM(C36+C43)</f>
        <v>563024417</v>
      </c>
      <c r="D44" s="593">
        <f>SUM(D36+D43)</f>
        <v>601959668</v>
      </c>
      <c r="E44" s="593">
        <f t="shared" si="3"/>
        <v>38935251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26813896</v>
      </c>
      <c r="D47" s="589">
        <v>25754284</v>
      </c>
      <c r="E47" s="590">
        <f t="shared" ref="E47:E55" si="4">D47-C47</f>
        <v>-1059612</v>
      </c>
    </row>
    <row r="48" spans="1:5" s="421" customFormat="1" x14ac:dyDescent="0.2">
      <c r="A48" s="588">
        <v>2</v>
      </c>
      <c r="B48" s="587" t="s">
        <v>636</v>
      </c>
      <c r="C48" s="589">
        <v>37826304</v>
      </c>
      <c r="D48" s="591">
        <v>37000671</v>
      </c>
      <c r="E48" s="590">
        <f t="shared" si="4"/>
        <v>-825633</v>
      </c>
    </row>
    <row r="49" spans="1:5" s="421" customFormat="1" x14ac:dyDescent="0.2">
      <c r="A49" s="588">
        <v>3</v>
      </c>
      <c r="B49" s="587" t="s">
        <v>778</v>
      </c>
      <c r="C49" s="589">
        <v>11500711</v>
      </c>
      <c r="D49" s="591">
        <v>12454005</v>
      </c>
      <c r="E49" s="590">
        <f t="shared" si="4"/>
        <v>953294</v>
      </c>
    </row>
    <row r="50" spans="1:5" s="421" customFormat="1" x14ac:dyDescent="0.2">
      <c r="A50" s="588">
        <v>4</v>
      </c>
      <c r="B50" s="587" t="s">
        <v>115</v>
      </c>
      <c r="C50" s="589">
        <v>11500711</v>
      </c>
      <c r="D50" s="591">
        <v>12454005</v>
      </c>
      <c r="E50" s="590">
        <f t="shared" si="4"/>
        <v>953294</v>
      </c>
    </row>
    <row r="51" spans="1:5" s="421" customFormat="1" x14ac:dyDescent="0.2">
      <c r="A51" s="588">
        <v>5</v>
      </c>
      <c r="B51" s="587" t="s">
        <v>744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355811</v>
      </c>
      <c r="D52" s="591">
        <v>327784</v>
      </c>
      <c r="E52" s="590">
        <f t="shared" si="4"/>
        <v>-28027</v>
      </c>
    </row>
    <row r="53" spans="1:5" s="421" customFormat="1" x14ac:dyDescent="0.2">
      <c r="A53" s="588">
        <v>7</v>
      </c>
      <c r="B53" s="587" t="s">
        <v>759</v>
      </c>
      <c r="C53" s="589">
        <v>78971</v>
      </c>
      <c r="D53" s="591">
        <v>71650</v>
      </c>
      <c r="E53" s="590">
        <f t="shared" si="4"/>
        <v>-7321</v>
      </c>
    </row>
    <row r="54" spans="1:5" s="421" customFormat="1" x14ac:dyDescent="0.2">
      <c r="A54" s="588"/>
      <c r="B54" s="592" t="s">
        <v>791</v>
      </c>
      <c r="C54" s="593">
        <f>SUM(C48+C49+C52)</f>
        <v>49682826</v>
      </c>
      <c r="D54" s="593">
        <f>SUM(D48+D49+D52)</f>
        <v>49782460</v>
      </c>
      <c r="E54" s="593">
        <f t="shared" si="4"/>
        <v>99634</v>
      </c>
    </row>
    <row r="55" spans="1:5" s="421" customFormat="1" x14ac:dyDescent="0.2">
      <c r="A55" s="588"/>
      <c r="B55" s="592" t="s">
        <v>466</v>
      </c>
      <c r="C55" s="593">
        <f>SUM(C47+C54)</f>
        <v>76496722</v>
      </c>
      <c r="D55" s="593">
        <f>SUM(D47+D54)</f>
        <v>75536744</v>
      </c>
      <c r="E55" s="593">
        <f t="shared" si="4"/>
        <v>-959978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61599256</v>
      </c>
      <c r="D58" s="589">
        <v>59710061</v>
      </c>
      <c r="E58" s="590">
        <f t="shared" ref="E58:E66" si="5">D58-C58</f>
        <v>-1889195</v>
      </c>
    </row>
    <row r="59" spans="1:5" s="421" customFormat="1" x14ac:dyDescent="0.2">
      <c r="A59" s="588">
        <v>2</v>
      </c>
      <c r="B59" s="587" t="s">
        <v>636</v>
      </c>
      <c r="C59" s="589">
        <v>22680812</v>
      </c>
      <c r="D59" s="591">
        <v>25691861</v>
      </c>
      <c r="E59" s="590">
        <f t="shared" si="5"/>
        <v>3011049</v>
      </c>
    </row>
    <row r="60" spans="1:5" s="421" customFormat="1" x14ac:dyDescent="0.2">
      <c r="A60" s="588">
        <v>3</v>
      </c>
      <c r="B60" s="587" t="s">
        <v>778</v>
      </c>
      <c r="C60" s="589">
        <f>C61+C62</f>
        <v>11751049</v>
      </c>
      <c r="D60" s="591">
        <f>D61+D62</f>
        <v>14833196</v>
      </c>
      <c r="E60" s="590">
        <f t="shared" si="5"/>
        <v>3082147</v>
      </c>
    </row>
    <row r="61" spans="1:5" s="421" customFormat="1" x14ac:dyDescent="0.2">
      <c r="A61" s="588">
        <v>4</v>
      </c>
      <c r="B61" s="587" t="s">
        <v>115</v>
      </c>
      <c r="C61" s="589">
        <v>11751049</v>
      </c>
      <c r="D61" s="591">
        <v>14833196</v>
      </c>
      <c r="E61" s="590">
        <f t="shared" si="5"/>
        <v>3082147</v>
      </c>
    </row>
    <row r="62" spans="1:5" s="421" customFormat="1" x14ac:dyDescent="0.2">
      <c r="A62" s="588">
        <v>5</v>
      </c>
      <c r="B62" s="587" t="s">
        <v>744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292998</v>
      </c>
      <c r="D63" s="591">
        <v>329314</v>
      </c>
      <c r="E63" s="590">
        <f t="shared" si="5"/>
        <v>36316</v>
      </c>
    </row>
    <row r="64" spans="1:5" s="421" customFormat="1" x14ac:dyDescent="0.2">
      <c r="A64" s="588">
        <v>7</v>
      </c>
      <c r="B64" s="587" t="s">
        <v>759</v>
      </c>
      <c r="C64" s="589">
        <v>397739</v>
      </c>
      <c r="D64" s="591">
        <v>337348</v>
      </c>
      <c r="E64" s="590">
        <f t="shared" si="5"/>
        <v>-60391</v>
      </c>
    </row>
    <row r="65" spans="1:5" s="421" customFormat="1" x14ac:dyDescent="0.2">
      <c r="A65" s="588"/>
      <c r="B65" s="592" t="s">
        <v>793</v>
      </c>
      <c r="C65" s="593">
        <f>SUM(C59+C60+C63)</f>
        <v>34724859</v>
      </c>
      <c r="D65" s="593">
        <f>SUM(D59+D60+D63)</f>
        <v>40854371</v>
      </c>
      <c r="E65" s="593">
        <f t="shared" si="5"/>
        <v>6129512</v>
      </c>
    </row>
    <row r="66" spans="1:5" s="421" customFormat="1" x14ac:dyDescent="0.2">
      <c r="A66" s="588"/>
      <c r="B66" s="592" t="s">
        <v>468</v>
      </c>
      <c r="C66" s="593">
        <f>SUM(C58+C65)</f>
        <v>96324115</v>
      </c>
      <c r="D66" s="593">
        <f>SUM(D58+D65)</f>
        <v>100564432</v>
      </c>
      <c r="E66" s="593">
        <f t="shared" si="5"/>
        <v>4240317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88413152</v>
      </c>
      <c r="D69" s="590">
        <f t="shared" si="6"/>
        <v>85464345</v>
      </c>
      <c r="E69" s="590">
        <f t="shared" ref="E69:E77" si="7">D69-C69</f>
        <v>-2948807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60507116</v>
      </c>
      <c r="D70" s="590">
        <f t="shared" si="6"/>
        <v>62692532</v>
      </c>
      <c r="E70" s="590">
        <f t="shared" si="7"/>
        <v>2185416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23251760</v>
      </c>
      <c r="D71" s="590">
        <f t="shared" si="6"/>
        <v>27287201</v>
      </c>
      <c r="E71" s="590">
        <f t="shared" si="7"/>
        <v>4035441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23251760</v>
      </c>
      <c r="D72" s="590">
        <f t="shared" si="6"/>
        <v>27287201</v>
      </c>
      <c r="E72" s="590">
        <f t="shared" si="7"/>
        <v>4035441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648809</v>
      </c>
      <c r="D74" s="590">
        <f t="shared" si="6"/>
        <v>657098</v>
      </c>
      <c r="E74" s="590">
        <f t="shared" si="7"/>
        <v>8289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476710</v>
      </c>
      <c r="D75" s="590">
        <f t="shared" si="6"/>
        <v>408998</v>
      </c>
      <c r="E75" s="590">
        <f t="shared" si="7"/>
        <v>-67712</v>
      </c>
    </row>
    <row r="76" spans="1:5" s="421" customFormat="1" x14ac:dyDescent="0.2">
      <c r="A76" s="588"/>
      <c r="B76" s="592" t="s">
        <v>794</v>
      </c>
      <c r="C76" s="593">
        <f>SUM(C70+C71+C74)</f>
        <v>84407685</v>
      </c>
      <c r="D76" s="593">
        <f>SUM(D70+D71+D74)</f>
        <v>90636831</v>
      </c>
      <c r="E76" s="593">
        <f t="shared" si="7"/>
        <v>6229146</v>
      </c>
    </row>
    <row r="77" spans="1:5" s="421" customFormat="1" x14ac:dyDescent="0.2">
      <c r="A77" s="588"/>
      <c r="B77" s="592" t="s">
        <v>727</v>
      </c>
      <c r="C77" s="593">
        <f>SUM(C69+C76)</f>
        <v>172820837</v>
      </c>
      <c r="D77" s="593">
        <f>SUM(D69+D76)</f>
        <v>176101176</v>
      </c>
      <c r="E77" s="593">
        <f t="shared" si="7"/>
        <v>3280339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0.10237053182721914</v>
      </c>
      <c r="D83" s="599">
        <f t="shared" si="8"/>
        <v>9.6458251418930607E-2</v>
      </c>
      <c r="E83" s="599">
        <f t="shared" ref="E83:E91" si="9">D83-C83</f>
        <v>-5.9122804082885339E-3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0.22645493721100909</v>
      </c>
      <c r="D84" s="599">
        <f t="shared" si="8"/>
        <v>0.20871355454332532</v>
      </c>
      <c r="E84" s="599">
        <f t="shared" si="9"/>
        <v>-1.7741382667683769E-2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7.0627917367924745E-2</v>
      </c>
      <c r="D85" s="599">
        <f t="shared" si="8"/>
        <v>7.9225012131543676E-2</v>
      </c>
      <c r="E85" s="599">
        <f t="shared" si="9"/>
        <v>8.5970947636189315E-3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7.0627917367924745E-2</v>
      </c>
      <c r="D86" s="599">
        <f t="shared" si="8"/>
        <v>7.9225012131543676E-2</v>
      </c>
      <c r="E86" s="599">
        <f t="shared" si="9"/>
        <v>8.5970947636189315E-3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1.0853490213729043E-3</v>
      </c>
      <c r="D88" s="599">
        <f t="shared" si="8"/>
        <v>1.648877911202516E-3</v>
      </c>
      <c r="E88" s="599">
        <f t="shared" si="9"/>
        <v>5.6352888982961168E-4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4.2125331129289198E-3</v>
      </c>
      <c r="D89" s="599">
        <f t="shared" si="8"/>
        <v>2.7566232228036914E-3</v>
      </c>
      <c r="E89" s="599">
        <f t="shared" si="9"/>
        <v>-1.4559098901252283E-3</v>
      </c>
    </row>
    <row r="90" spans="1:5" s="421" customFormat="1" x14ac:dyDescent="0.2">
      <c r="A90" s="588"/>
      <c r="B90" s="592" t="s">
        <v>797</v>
      </c>
      <c r="C90" s="600">
        <f>SUM(C84+C85+C88)</f>
        <v>0.29816820360030677</v>
      </c>
      <c r="D90" s="600">
        <f>SUM(D84+D85+D88)</f>
        <v>0.2895874445860715</v>
      </c>
      <c r="E90" s="601">
        <f t="shared" si="9"/>
        <v>-8.580759014235273E-3</v>
      </c>
    </row>
    <row r="91" spans="1:5" s="421" customFormat="1" x14ac:dyDescent="0.2">
      <c r="A91" s="588"/>
      <c r="B91" s="592" t="s">
        <v>798</v>
      </c>
      <c r="C91" s="600">
        <f>SUM(C83+C90)</f>
        <v>0.40053873542752594</v>
      </c>
      <c r="D91" s="600">
        <f>SUM(D83+D90)</f>
        <v>0.3860456960050021</v>
      </c>
      <c r="E91" s="601">
        <f t="shared" si="9"/>
        <v>-1.4493039422523835E-2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0.27262949414856374</v>
      </c>
      <c r="D95" s="599">
        <f t="shared" si="10"/>
        <v>0.26288933862592267</v>
      </c>
      <c r="E95" s="599">
        <f t="shared" ref="E95:E103" si="11">D95-C95</f>
        <v>-9.7401555226410697E-3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0.21076439922853293</v>
      </c>
      <c r="D96" s="599">
        <f t="shared" si="10"/>
        <v>0.2176034408338467</v>
      </c>
      <c r="E96" s="599">
        <f t="shared" si="11"/>
        <v>6.8390416053137615E-3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0.11410479378907647</v>
      </c>
      <c r="D97" s="599">
        <f t="shared" si="10"/>
        <v>0.13079851223520841</v>
      </c>
      <c r="E97" s="599">
        <f t="shared" si="11"/>
        <v>1.6693718446131947E-2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0.11410479378907647</v>
      </c>
      <c r="D98" s="599">
        <f t="shared" si="10"/>
        <v>0.13079851223520841</v>
      </c>
      <c r="E98" s="599">
        <f t="shared" si="11"/>
        <v>1.6693718446131947E-2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1.9625774063010129E-3</v>
      </c>
      <c r="D100" s="599">
        <f t="shared" si="10"/>
        <v>2.6630123000200736E-3</v>
      </c>
      <c r="E100" s="599">
        <f t="shared" si="11"/>
        <v>7.0043489371906078E-4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1.3222604162831539E-2</v>
      </c>
      <c r="D101" s="599">
        <f t="shared" si="10"/>
        <v>1.1443475977197861E-2</v>
      </c>
      <c r="E101" s="599">
        <f t="shared" si="11"/>
        <v>-1.7791281856336782E-3</v>
      </c>
    </row>
    <row r="102" spans="1:5" s="421" customFormat="1" x14ac:dyDescent="0.2">
      <c r="A102" s="588"/>
      <c r="B102" s="592" t="s">
        <v>800</v>
      </c>
      <c r="C102" s="600">
        <f>SUM(C96+C97+C100)</f>
        <v>0.32683177042391043</v>
      </c>
      <c r="D102" s="600">
        <f>SUM(D96+D97+D100)</f>
        <v>0.35106496536907517</v>
      </c>
      <c r="E102" s="601">
        <f t="shared" si="11"/>
        <v>2.4233194945164738E-2</v>
      </c>
    </row>
    <row r="103" spans="1:5" s="421" customFormat="1" x14ac:dyDescent="0.2">
      <c r="A103" s="588"/>
      <c r="B103" s="592" t="s">
        <v>801</v>
      </c>
      <c r="C103" s="600">
        <f>SUM(C95+C102)</f>
        <v>0.59946126457247417</v>
      </c>
      <c r="D103" s="600">
        <f>SUM(D95+D102)</f>
        <v>0.61395430399499784</v>
      </c>
      <c r="E103" s="601">
        <f t="shared" si="11"/>
        <v>1.4493039422523668E-2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0.15515430005700065</v>
      </c>
      <c r="D109" s="599">
        <f t="shared" si="12"/>
        <v>0.14624708695869243</v>
      </c>
      <c r="E109" s="599">
        <f t="shared" ref="E109:E117" si="13">D109-C109</f>
        <v>-8.9072130983082198E-3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0.21887582919182366</v>
      </c>
      <c r="D110" s="599">
        <f t="shared" si="12"/>
        <v>0.21011030045591519</v>
      </c>
      <c r="E110" s="599">
        <f t="shared" si="13"/>
        <v>-8.7655287359084677E-3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6.6547015971228057E-2</v>
      </c>
      <c r="D111" s="599">
        <f t="shared" si="12"/>
        <v>7.0720737265263914E-2</v>
      </c>
      <c r="E111" s="599">
        <f t="shared" si="13"/>
        <v>4.1737212940358565E-3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6.6547015971228057E-2</v>
      </c>
      <c r="D112" s="599">
        <f t="shared" si="12"/>
        <v>7.0720737265263914E-2</v>
      </c>
      <c r="E112" s="599">
        <f t="shared" si="13"/>
        <v>4.1737212940358565E-3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2.0588431706299397E-3</v>
      </c>
      <c r="D114" s="599">
        <f t="shared" si="12"/>
        <v>1.8613390747600686E-3</v>
      </c>
      <c r="E114" s="599">
        <f t="shared" si="13"/>
        <v>-1.9750409586987111E-4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4.5695300040700534E-4</v>
      </c>
      <c r="D115" s="599">
        <f t="shared" si="12"/>
        <v>4.0686837889146178E-4</v>
      </c>
      <c r="E115" s="599">
        <f t="shared" si="13"/>
        <v>-5.0084621515543556E-5</v>
      </c>
    </row>
    <row r="116" spans="1:5" s="421" customFormat="1" x14ac:dyDescent="0.2">
      <c r="A116" s="588"/>
      <c r="B116" s="592" t="s">
        <v>797</v>
      </c>
      <c r="C116" s="600">
        <f>SUM(C110+C111+C114)</f>
        <v>0.28748168833368165</v>
      </c>
      <c r="D116" s="600">
        <f>SUM(D110+D111+D114)</f>
        <v>0.28269237679593917</v>
      </c>
      <c r="E116" s="601">
        <f t="shared" si="13"/>
        <v>-4.78931153774248E-3</v>
      </c>
    </row>
    <row r="117" spans="1:5" s="421" customFormat="1" x14ac:dyDescent="0.2">
      <c r="A117" s="588"/>
      <c r="B117" s="592" t="s">
        <v>798</v>
      </c>
      <c r="C117" s="600">
        <f>SUM(C109+C116)</f>
        <v>0.4426359883906823</v>
      </c>
      <c r="D117" s="600">
        <f>SUM(D109+D116)</f>
        <v>0.4289394637546316</v>
      </c>
      <c r="E117" s="601">
        <f t="shared" si="13"/>
        <v>-1.36965246360507E-2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0.35643419548998018</v>
      </c>
      <c r="D121" s="599">
        <f t="shared" si="14"/>
        <v>0.33906679305764548</v>
      </c>
      <c r="E121" s="599">
        <f t="shared" ref="E121:E129" si="15">D121-C121</f>
        <v>-1.73674024323347E-2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0.13123887370132342</v>
      </c>
      <c r="D122" s="599">
        <f t="shared" si="14"/>
        <v>0.14589261459560043</v>
      </c>
      <c r="E122" s="599">
        <f t="shared" si="15"/>
        <v>1.4653740894277012E-2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6.7995556577474511E-2</v>
      </c>
      <c r="D123" s="599">
        <f t="shared" si="14"/>
        <v>8.4231101330067212E-2</v>
      </c>
      <c r="E123" s="599">
        <f t="shared" si="15"/>
        <v>1.6235544752592701E-2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6.7995556577474511E-2</v>
      </c>
      <c r="D124" s="599">
        <f t="shared" si="14"/>
        <v>8.4231101330067212E-2</v>
      </c>
      <c r="E124" s="599">
        <f t="shared" si="15"/>
        <v>1.6235544752592701E-2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1.6953858405395871E-3</v>
      </c>
      <c r="D126" s="599">
        <f t="shared" si="14"/>
        <v>1.8700272620553085E-3</v>
      </c>
      <c r="E126" s="599">
        <f t="shared" si="15"/>
        <v>1.7464142151572132E-4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2.3014528045596722E-3</v>
      </c>
      <c r="D127" s="599">
        <f t="shared" si="14"/>
        <v>1.9156487631859995E-3</v>
      </c>
      <c r="E127" s="599">
        <f t="shared" si="15"/>
        <v>-3.8580404137367273E-4</v>
      </c>
    </row>
    <row r="128" spans="1:5" s="421" customFormat="1" x14ac:dyDescent="0.2">
      <c r="A128" s="588"/>
      <c r="B128" s="592" t="s">
        <v>800</v>
      </c>
      <c r="C128" s="600">
        <f>SUM(C122+C123+C126)</f>
        <v>0.20092981611933752</v>
      </c>
      <c r="D128" s="600">
        <f>SUM(D122+D123+D126)</f>
        <v>0.23199374318772298</v>
      </c>
      <c r="E128" s="601">
        <f t="shared" si="15"/>
        <v>3.1063927068385455E-2</v>
      </c>
    </row>
    <row r="129" spans="1:5" s="421" customFormat="1" x14ac:dyDescent="0.2">
      <c r="A129" s="588"/>
      <c r="B129" s="592" t="s">
        <v>801</v>
      </c>
      <c r="C129" s="600">
        <f>SUM(C121+C128)</f>
        <v>0.5573640116093177</v>
      </c>
      <c r="D129" s="600">
        <f>SUM(D121+D128)</f>
        <v>0.57106053624536846</v>
      </c>
      <c r="E129" s="601">
        <f t="shared" si="15"/>
        <v>1.3696524636050755E-2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3395</v>
      </c>
      <c r="D137" s="606">
        <v>3214</v>
      </c>
      <c r="E137" s="607">
        <f t="shared" ref="E137:E145" si="16">D137-C137</f>
        <v>-181</v>
      </c>
    </row>
    <row r="138" spans="1:5" s="421" customFormat="1" x14ac:dyDescent="0.2">
      <c r="A138" s="588">
        <v>2</v>
      </c>
      <c r="B138" s="587" t="s">
        <v>636</v>
      </c>
      <c r="C138" s="606">
        <v>3821</v>
      </c>
      <c r="D138" s="606">
        <v>3676</v>
      </c>
      <c r="E138" s="607">
        <f t="shared" si="16"/>
        <v>-145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2085</v>
      </c>
      <c r="D139" s="606">
        <f>D140+D141</f>
        <v>2180</v>
      </c>
      <c r="E139" s="607">
        <f t="shared" si="16"/>
        <v>95</v>
      </c>
    </row>
    <row r="140" spans="1:5" s="421" customFormat="1" x14ac:dyDescent="0.2">
      <c r="A140" s="588">
        <v>4</v>
      </c>
      <c r="B140" s="587" t="s">
        <v>115</v>
      </c>
      <c r="C140" s="606">
        <v>2085</v>
      </c>
      <c r="D140" s="606">
        <v>2180</v>
      </c>
      <c r="E140" s="607">
        <f t="shared" si="16"/>
        <v>95</v>
      </c>
    </row>
    <row r="141" spans="1:5" s="421" customFormat="1" x14ac:dyDescent="0.2">
      <c r="A141" s="588">
        <v>5</v>
      </c>
      <c r="B141" s="587" t="s">
        <v>744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41</v>
      </c>
      <c r="D142" s="606">
        <v>40</v>
      </c>
      <c r="E142" s="607">
        <f t="shared" si="16"/>
        <v>-1</v>
      </c>
    </row>
    <row r="143" spans="1:5" s="421" customFormat="1" x14ac:dyDescent="0.2">
      <c r="A143" s="588">
        <v>7</v>
      </c>
      <c r="B143" s="587" t="s">
        <v>759</v>
      </c>
      <c r="C143" s="606">
        <v>218</v>
      </c>
      <c r="D143" s="606">
        <v>101</v>
      </c>
      <c r="E143" s="607">
        <f t="shared" si="16"/>
        <v>-117</v>
      </c>
    </row>
    <row r="144" spans="1:5" s="421" customFormat="1" x14ac:dyDescent="0.2">
      <c r="A144" s="588"/>
      <c r="B144" s="592" t="s">
        <v>808</v>
      </c>
      <c r="C144" s="608">
        <f>SUM(C138+C139+C142)</f>
        <v>5947</v>
      </c>
      <c r="D144" s="608">
        <f>SUM(D138+D139+D142)</f>
        <v>5896</v>
      </c>
      <c r="E144" s="609">
        <f t="shared" si="16"/>
        <v>-51</v>
      </c>
    </row>
    <row r="145" spans="1:5" s="421" customFormat="1" x14ac:dyDescent="0.2">
      <c r="A145" s="588"/>
      <c r="B145" s="592" t="s">
        <v>138</v>
      </c>
      <c r="C145" s="608">
        <f>SUM(C137+C144)</f>
        <v>9342</v>
      </c>
      <c r="D145" s="608">
        <f>SUM(D137+D144)</f>
        <v>9110</v>
      </c>
      <c r="E145" s="609">
        <f t="shared" si="16"/>
        <v>-232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13150</v>
      </c>
      <c r="D149" s="610">
        <v>11754</v>
      </c>
      <c r="E149" s="607">
        <f t="shared" ref="E149:E157" si="17">D149-C149</f>
        <v>-1396</v>
      </c>
    </row>
    <row r="150" spans="1:5" s="421" customFormat="1" x14ac:dyDescent="0.2">
      <c r="A150" s="588">
        <v>2</v>
      </c>
      <c r="B150" s="587" t="s">
        <v>636</v>
      </c>
      <c r="C150" s="610">
        <v>23189</v>
      </c>
      <c r="D150" s="610">
        <v>21107</v>
      </c>
      <c r="E150" s="607">
        <f t="shared" si="17"/>
        <v>-2082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10174</v>
      </c>
      <c r="D151" s="610">
        <f>D152+D153</f>
        <v>11034</v>
      </c>
      <c r="E151" s="607">
        <f t="shared" si="17"/>
        <v>860</v>
      </c>
    </row>
    <row r="152" spans="1:5" s="421" customFormat="1" x14ac:dyDescent="0.2">
      <c r="A152" s="588">
        <v>4</v>
      </c>
      <c r="B152" s="587" t="s">
        <v>115</v>
      </c>
      <c r="C152" s="610">
        <v>10174</v>
      </c>
      <c r="D152" s="610">
        <v>11034</v>
      </c>
      <c r="E152" s="607">
        <f t="shared" si="17"/>
        <v>860</v>
      </c>
    </row>
    <row r="153" spans="1:5" s="421" customFormat="1" x14ac:dyDescent="0.2">
      <c r="A153" s="588">
        <v>5</v>
      </c>
      <c r="B153" s="587" t="s">
        <v>744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149</v>
      </c>
      <c r="D154" s="610">
        <v>211</v>
      </c>
      <c r="E154" s="607">
        <f t="shared" si="17"/>
        <v>62</v>
      </c>
    </row>
    <row r="155" spans="1:5" s="421" customFormat="1" x14ac:dyDescent="0.2">
      <c r="A155" s="588">
        <v>7</v>
      </c>
      <c r="B155" s="587" t="s">
        <v>759</v>
      </c>
      <c r="C155" s="610">
        <v>1077</v>
      </c>
      <c r="D155" s="610">
        <v>432</v>
      </c>
      <c r="E155" s="607">
        <f t="shared" si="17"/>
        <v>-645</v>
      </c>
    </row>
    <row r="156" spans="1:5" s="421" customFormat="1" x14ac:dyDescent="0.2">
      <c r="A156" s="588"/>
      <c r="B156" s="592" t="s">
        <v>809</v>
      </c>
      <c r="C156" s="608">
        <f>SUM(C150+C151+C154)</f>
        <v>33512</v>
      </c>
      <c r="D156" s="608">
        <f>SUM(D150+D151+D154)</f>
        <v>32352</v>
      </c>
      <c r="E156" s="609">
        <f t="shared" si="17"/>
        <v>-1160</v>
      </c>
    </row>
    <row r="157" spans="1:5" s="421" customFormat="1" x14ac:dyDescent="0.2">
      <c r="A157" s="588"/>
      <c r="B157" s="592" t="s">
        <v>140</v>
      </c>
      <c r="C157" s="608">
        <f>SUM(C149+C156)</f>
        <v>46662</v>
      </c>
      <c r="D157" s="608">
        <f>SUM(D149+D156)</f>
        <v>44106</v>
      </c>
      <c r="E157" s="609">
        <f t="shared" si="17"/>
        <v>-2556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3.8733431516936672</v>
      </c>
      <c r="D161" s="612">
        <f t="shared" si="18"/>
        <v>3.6571250777846918</v>
      </c>
      <c r="E161" s="613">
        <f t="shared" ref="E161:E169" si="19">D161-C161</f>
        <v>-0.21621807390897541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6.0688301491756089</v>
      </c>
      <c r="D162" s="612">
        <f t="shared" si="18"/>
        <v>5.7418389553862896</v>
      </c>
      <c r="E162" s="613">
        <f t="shared" si="19"/>
        <v>-0.32699119378931929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4.8796163069544365</v>
      </c>
      <c r="D163" s="612">
        <f t="shared" si="18"/>
        <v>5.0614678899082568</v>
      </c>
      <c r="E163" s="613">
        <f t="shared" si="19"/>
        <v>0.18185158295382031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4.8796163069544365</v>
      </c>
      <c r="D164" s="612">
        <f t="shared" si="18"/>
        <v>5.0614678899082568</v>
      </c>
      <c r="E164" s="613">
        <f t="shared" si="19"/>
        <v>0.18185158295382031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3.6341463414634148</v>
      </c>
      <c r="D166" s="612">
        <f t="shared" si="18"/>
        <v>5.2750000000000004</v>
      </c>
      <c r="E166" s="613">
        <f t="shared" si="19"/>
        <v>1.6408536585365856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4.9403669724770642</v>
      </c>
      <c r="D167" s="612">
        <f t="shared" si="18"/>
        <v>4.2772277227722775</v>
      </c>
      <c r="E167" s="613">
        <f t="shared" si="19"/>
        <v>-0.66313924970478677</v>
      </c>
    </row>
    <row r="168" spans="1:5" s="421" customFormat="1" x14ac:dyDescent="0.2">
      <c r="A168" s="588"/>
      <c r="B168" s="592" t="s">
        <v>811</v>
      </c>
      <c r="C168" s="614">
        <f t="shared" si="18"/>
        <v>5.6351101395661676</v>
      </c>
      <c r="D168" s="614">
        <f t="shared" si="18"/>
        <v>5.4871099050203531</v>
      </c>
      <c r="E168" s="615">
        <f t="shared" si="19"/>
        <v>-0.14800023454581446</v>
      </c>
    </row>
    <row r="169" spans="1:5" s="421" customFormat="1" x14ac:dyDescent="0.2">
      <c r="A169" s="588"/>
      <c r="B169" s="592" t="s">
        <v>745</v>
      </c>
      <c r="C169" s="614">
        <f t="shared" si="18"/>
        <v>4.9948619139370587</v>
      </c>
      <c r="D169" s="614">
        <f t="shared" si="18"/>
        <v>4.8414928649835343</v>
      </c>
      <c r="E169" s="615">
        <f t="shared" si="19"/>
        <v>-0.15336904895352443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0.98411999999999999</v>
      </c>
      <c r="D173" s="617">
        <f t="shared" si="20"/>
        <v>1.0006200000000001</v>
      </c>
      <c r="E173" s="618">
        <f t="shared" ref="E173:E181" si="21">D173-C173</f>
        <v>1.650000000000007E-2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1.5048900000000001</v>
      </c>
      <c r="D174" s="617">
        <f t="shared" si="20"/>
        <v>1.4645400000000002</v>
      </c>
      <c r="E174" s="618">
        <f t="shared" si="21"/>
        <v>-4.0349999999999886E-2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0.96306000000000003</v>
      </c>
      <c r="D175" s="617">
        <f t="shared" si="20"/>
        <v>1.0111699999999999</v>
      </c>
      <c r="E175" s="618">
        <f t="shared" si="21"/>
        <v>4.8109999999999875E-2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0.96306000000000003</v>
      </c>
      <c r="D176" s="617">
        <f t="shared" si="20"/>
        <v>1.0111699999999999</v>
      </c>
      <c r="E176" s="618">
        <f t="shared" si="21"/>
        <v>4.8109999999999875E-2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1.0127900000000001</v>
      </c>
      <c r="D178" s="617">
        <f t="shared" si="20"/>
        <v>1.1261000000000001</v>
      </c>
      <c r="E178" s="618">
        <f t="shared" si="21"/>
        <v>0.11331000000000002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1.0421400000000001</v>
      </c>
      <c r="D179" s="617">
        <f t="shared" si="20"/>
        <v>1.0187999999999999</v>
      </c>
      <c r="E179" s="618">
        <f t="shared" si="21"/>
        <v>-2.3340000000000138E-2</v>
      </c>
    </row>
    <row r="180" spans="1:5" s="421" customFormat="1" x14ac:dyDescent="0.2">
      <c r="A180" s="588"/>
      <c r="B180" s="592" t="s">
        <v>813</v>
      </c>
      <c r="C180" s="619">
        <f t="shared" si="20"/>
        <v>1.3115334084412307</v>
      </c>
      <c r="D180" s="619">
        <f t="shared" si="20"/>
        <v>1.2946139145183175</v>
      </c>
      <c r="E180" s="620">
        <f t="shared" si="21"/>
        <v>-1.6919493922913142E-2</v>
      </c>
    </row>
    <row r="181" spans="1:5" s="421" customFormat="1" x14ac:dyDescent="0.2">
      <c r="A181" s="588"/>
      <c r="B181" s="592" t="s">
        <v>724</v>
      </c>
      <c r="C181" s="619">
        <f t="shared" si="20"/>
        <v>1.1925472682509097</v>
      </c>
      <c r="D181" s="619">
        <f t="shared" si="20"/>
        <v>1.1908931196487376</v>
      </c>
      <c r="E181" s="620">
        <f t="shared" si="21"/>
        <v>-1.6541486021721674E-3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211134171</v>
      </c>
      <c r="D185" s="589">
        <v>216312755</v>
      </c>
      <c r="E185" s="590">
        <f>D185-C185</f>
        <v>5178584</v>
      </c>
    </row>
    <row r="186" spans="1:5" s="421" customFormat="1" ht="25.5" x14ac:dyDescent="0.2">
      <c r="A186" s="588">
        <v>2</v>
      </c>
      <c r="B186" s="587" t="s">
        <v>816</v>
      </c>
      <c r="C186" s="589">
        <v>88413152</v>
      </c>
      <c r="D186" s="589">
        <v>85464346</v>
      </c>
      <c r="E186" s="590">
        <f>D186-C186</f>
        <v>-2948806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122721019</v>
      </c>
      <c r="D188" s="622">
        <f>+D185-D186</f>
        <v>130848409</v>
      </c>
      <c r="E188" s="590">
        <f t="shared" ref="E188:E197" si="22">D188-C188</f>
        <v>8127390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0.58124659982206295</v>
      </c>
      <c r="D189" s="623">
        <f>IF(D185=0,0,+D188/D185)</f>
        <v>0.60490380699002244</v>
      </c>
      <c r="E189" s="599">
        <f t="shared" si="22"/>
        <v>2.3657207167959493E-2</v>
      </c>
    </row>
    <row r="190" spans="1:5" s="421" customFormat="1" x14ac:dyDescent="0.2">
      <c r="A190" s="588">
        <v>5</v>
      </c>
      <c r="B190" s="587" t="s">
        <v>763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749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3908882</v>
      </c>
      <c r="D193" s="589">
        <v>2411263</v>
      </c>
      <c r="E193" s="622">
        <f t="shared" si="22"/>
        <v>-1497619</v>
      </c>
    </row>
    <row r="194" spans="1:5" s="421" customFormat="1" x14ac:dyDescent="0.2">
      <c r="A194" s="588">
        <v>9</v>
      </c>
      <c r="B194" s="587" t="s">
        <v>819</v>
      </c>
      <c r="C194" s="589">
        <v>5518461</v>
      </c>
      <c r="D194" s="589">
        <v>5822470</v>
      </c>
      <c r="E194" s="622">
        <f t="shared" si="22"/>
        <v>304009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9427343</v>
      </c>
      <c r="D195" s="589">
        <f>+D193+D194</f>
        <v>8233733</v>
      </c>
      <c r="E195" s="625">
        <f t="shared" si="22"/>
        <v>-1193610</v>
      </c>
    </row>
    <row r="196" spans="1:5" s="421" customFormat="1" x14ac:dyDescent="0.2">
      <c r="A196" s="588">
        <v>11</v>
      </c>
      <c r="B196" s="587" t="s">
        <v>821</v>
      </c>
      <c r="C196" s="589">
        <v>19289474</v>
      </c>
      <c r="D196" s="589">
        <v>17340796</v>
      </c>
      <c r="E196" s="622">
        <f t="shared" si="22"/>
        <v>-1948678</v>
      </c>
    </row>
    <row r="197" spans="1:5" s="421" customFormat="1" x14ac:dyDescent="0.2">
      <c r="A197" s="588">
        <v>12</v>
      </c>
      <c r="B197" s="587" t="s">
        <v>711</v>
      </c>
      <c r="C197" s="589">
        <v>188335086</v>
      </c>
      <c r="D197" s="589">
        <v>185309559</v>
      </c>
      <c r="E197" s="622">
        <f t="shared" si="22"/>
        <v>-3025527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3341.0873999999999</v>
      </c>
      <c r="D203" s="629">
        <v>3215.9926800000003</v>
      </c>
      <c r="E203" s="630">
        <f t="shared" ref="E203:E211" si="23">D203-C203</f>
        <v>-125.0947199999996</v>
      </c>
    </row>
    <row r="204" spans="1:5" s="421" customFormat="1" x14ac:dyDescent="0.2">
      <c r="A204" s="588">
        <v>2</v>
      </c>
      <c r="B204" s="587" t="s">
        <v>636</v>
      </c>
      <c r="C204" s="629">
        <v>5750.18469</v>
      </c>
      <c r="D204" s="629">
        <v>5383.6490400000002</v>
      </c>
      <c r="E204" s="630">
        <f t="shared" si="23"/>
        <v>-366.53564999999981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2007.9801</v>
      </c>
      <c r="D205" s="629">
        <f>D206+D207</f>
        <v>2204.3505999999998</v>
      </c>
      <c r="E205" s="630">
        <f t="shared" si="23"/>
        <v>196.37049999999977</v>
      </c>
    </row>
    <row r="206" spans="1:5" s="421" customFormat="1" x14ac:dyDescent="0.2">
      <c r="A206" s="588">
        <v>4</v>
      </c>
      <c r="B206" s="587" t="s">
        <v>115</v>
      </c>
      <c r="C206" s="629">
        <v>2007.9801</v>
      </c>
      <c r="D206" s="629">
        <v>2204.3505999999998</v>
      </c>
      <c r="E206" s="630">
        <f t="shared" si="23"/>
        <v>196.37049999999977</v>
      </c>
    </row>
    <row r="207" spans="1:5" s="421" customFormat="1" x14ac:dyDescent="0.2">
      <c r="A207" s="588">
        <v>5</v>
      </c>
      <c r="B207" s="587" t="s">
        <v>744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41.524390000000004</v>
      </c>
      <c r="D208" s="629">
        <v>45.044000000000004</v>
      </c>
      <c r="E208" s="630">
        <f t="shared" si="23"/>
        <v>3.5196100000000001</v>
      </c>
    </row>
    <row r="209" spans="1:5" s="421" customFormat="1" x14ac:dyDescent="0.2">
      <c r="A209" s="588">
        <v>7</v>
      </c>
      <c r="B209" s="587" t="s">
        <v>759</v>
      </c>
      <c r="C209" s="629">
        <v>227.18652</v>
      </c>
      <c r="D209" s="629">
        <v>102.89879999999999</v>
      </c>
      <c r="E209" s="630">
        <f t="shared" si="23"/>
        <v>-124.28772000000001</v>
      </c>
    </row>
    <row r="210" spans="1:5" s="421" customFormat="1" x14ac:dyDescent="0.2">
      <c r="A210" s="588"/>
      <c r="B210" s="592" t="s">
        <v>824</v>
      </c>
      <c r="C210" s="631">
        <f>C204+C205+C208</f>
        <v>7799.6891799999994</v>
      </c>
      <c r="D210" s="631">
        <f>D204+D205+D208</f>
        <v>7633.0436399999999</v>
      </c>
      <c r="E210" s="632">
        <f t="shared" si="23"/>
        <v>-166.64553999999953</v>
      </c>
    </row>
    <row r="211" spans="1:5" s="421" customFormat="1" x14ac:dyDescent="0.2">
      <c r="A211" s="588"/>
      <c r="B211" s="592" t="s">
        <v>725</v>
      </c>
      <c r="C211" s="631">
        <f>C210+C203</f>
        <v>11140.77658</v>
      </c>
      <c r="D211" s="631">
        <f>D210+D203</f>
        <v>10849.036319999999</v>
      </c>
      <c r="E211" s="632">
        <f t="shared" si="23"/>
        <v>-291.74026000000049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9041.4410877200662</v>
      </c>
      <c r="D215" s="633">
        <f>IF(D14*D137=0,0,D25/D14*D137)</f>
        <v>8759.5029135878867</v>
      </c>
      <c r="E215" s="633">
        <f t="shared" ref="E215:E223" si="24">D215-C215</f>
        <v>-281.93817413217948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3556.2517619203986</v>
      </c>
      <c r="D216" s="633">
        <f>IF(D15*D138=0,0,D26/D15*D138)</f>
        <v>3832.5745074653164</v>
      </c>
      <c r="E216" s="633">
        <f t="shared" si="24"/>
        <v>276.32274554491778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3368.4767145387923</v>
      </c>
      <c r="D217" s="633">
        <f>D218+D219</f>
        <v>3599.1254403257417</v>
      </c>
      <c r="E217" s="633">
        <f t="shared" si="24"/>
        <v>230.6487257869494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3368.4767145387923</v>
      </c>
      <c r="D218" s="633">
        <f t="shared" si="25"/>
        <v>3599.1254403257417</v>
      </c>
      <c r="E218" s="633">
        <f t="shared" si="24"/>
        <v>230.6487257869494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74.138062571390236</v>
      </c>
      <c r="D220" s="633">
        <f t="shared" si="25"/>
        <v>64.601806645052477</v>
      </c>
      <c r="E220" s="633">
        <f t="shared" si="24"/>
        <v>-9.5362559263377591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684.27419564972672</v>
      </c>
      <c r="D221" s="633">
        <f t="shared" si="25"/>
        <v>419.2778556517631</v>
      </c>
      <c r="E221" s="633">
        <f t="shared" si="24"/>
        <v>-264.99633999796362</v>
      </c>
    </row>
    <row r="222" spans="1:5" s="421" customFormat="1" x14ac:dyDescent="0.2">
      <c r="A222" s="588"/>
      <c r="B222" s="592" t="s">
        <v>826</v>
      </c>
      <c r="C222" s="634">
        <f>C216+C218+C219+C220</f>
        <v>6998.8665390305814</v>
      </c>
      <c r="D222" s="634">
        <f>D216+D218+D219+D220</f>
        <v>7496.3017544361101</v>
      </c>
      <c r="E222" s="634">
        <f t="shared" si="24"/>
        <v>497.43521540552865</v>
      </c>
    </row>
    <row r="223" spans="1:5" s="421" customFormat="1" x14ac:dyDescent="0.2">
      <c r="A223" s="588"/>
      <c r="B223" s="592" t="s">
        <v>827</v>
      </c>
      <c r="C223" s="634">
        <f>C215+C222</f>
        <v>16040.307626750648</v>
      </c>
      <c r="D223" s="634">
        <f>D215+D222</f>
        <v>16255.804668023997</v>
      </c>
      <c r="E223" s="634">
        <f t="shared" si="24"/>
        <v>215.49704127334917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8025.499722036604</v>
      </c>
      <c r="D227" s="636">
        <f t="shared" si="26"/>
        <v>8008.1911131713141</v>
      </c>
      <c r="E227" s="636">
        <f t="shared" ref="E227:E235" si="27">D227-C227</f>
        <v>-17.308608865289898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6578.2763579372959</v>
      </c>
      <c r="D228" s="636">
        <f t="shared" si="26"/>
        <v>6872.7866034892941</v>
      </c>
      <c r="E228" s="636">
        <f t="shared" si="27"/>
        <v>294.5102455519982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5727.5024787347247</v>
      </c>
      <c r="D229" s="636">
        <f t="shared" si="26"/>
        <v>5649.7387484549881</v>
      </c>
      <c r="E229" s="636">
        <f t="shared" si="27"/>
        <v>-77.763730279736592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5727.5024787347247</v>
      </c>
      <c r="D230" s="636">
        <f t="shared" si="26"/>
        <v>5649.7387484549881</v>
      </c>
      <c r="E230" s="636">
        <f t="shared" si="27"/>
        <v>-77.763730279736592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8568.7231046621018</v>
      </c>
      <c r="D232" s="636">
        <f t="shared" si="26"/>
        <v>7276.9736257881177</v>
      </c>
      <c r="E232" s="636">
        <f t="shared" si="27"/>
        <v>-1291.7494788739841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347.60425046345176</v>
      </c>
      <c r="D233" s="636">
        <f t="shared" si="26"/>
        <v>696.31521456032533</v>
      </c>
      <c r="E233" s="636">
        <f t="shared" si="27"/>
        <v>348.71096409687357</v>
      </c>
    </row>
    <row r="234" spans="1:5" x14ac:dyDescent="0.2">
      <c r="A234" s="588"/>
      <c r="B234" s="592" t="s">
        <v>829</v>
      </c>
      <c r="C234" s="637">
        <f t="shared" si="26"/>
        <v>6369.8469071558575</v>
      </c>
      <c r="D234" s="637">
        <f t="shared" si="26"/>
        <v>6521.967166429039</v>
      </c>
      <c r="E234" s="637">
        <f t="shared" si="27"/>
        <v>152.12025927318155</v>
      </c>
    </row>
    <row r="235" spans="1:5" s="421" customFormat="1" x14ac:dyDescent="0.2">
      <c r="A235" s="588"/>
      <c r="B235" s="592" t="s">
        <v>830</v>
      </c>
      <c r="C235" s="637">
        <f t="shared" si="26"/>
        <v>6866.3725056049907</v>
      </c>
      <c r="D235" s="637">
        <f t="shared" si="26"/>
        <v>6962.5302904322843</v>
      </c>
      <c r="E235" s="637">
        <f t="shared" si="27"/>
        <v>96.157784827293654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6812.9909162006352</v>
      </c>
      <c r="D239" s="636">
        <f t="shared" si="28"/>
        <v>6816.6038174810992</v>
      </c>
      <c r="E239" s="638">
        <f t="shared" ref="E239:E247" si="29">D239-C239</f>
        <v>3.6129012804640297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6377.7295642736544</v>
      </c>
      <c r="D240" s="636">
        <f t="shared" si="28"/>
        <v>6703.5516074001607</v>
      </c>
      <c r="E240" s="638">
        <f t="shared" si="29"/>
        <v>325.82204312650629</v>
      </c>
    </row>
    <row r="241" spans="1:5" x14ac:dyDescent="0.2">
      <c r="A241" s="588">
        <v>3</v>
      </c>
      <c r="B241" s="587" t="s">
        <v>778</v>
      </c>
      <c r="C241" s="636">
        <f t="shared" si="28"/>
        <v>3488.5350251289888</v>
      </c>
      <c r="D241" s="636">
        <f t="shared" si="28"/>
        <v>4121.3334311175076</v>
      </c>
      <c r="E241" s="638">
        <f t="shared" si="29"/>
        <v>632.79840598851888</v>
      </c>
    </row>
    <row r="242" spans="1:5" x14ac:dyDescent="0.2">
      <c r="A242" s="588">
        <v>4</v>
      </c>
      <c r="B242" s="587" t="s">
        <v>115</v>
      </c>
      <c r="C242" s="636">
        <f t="shared" si="28"/>
        <v>3488.5350251289888</v>
      </c>
      <c r="D242" s="636">
        <f t="shared" si="28"/>
        <v>4121.3334311175076</v>
      </c>
      <c r="E242" s="638">
        <f t="shared" si="29"/>
        <v>632.79840598851888</v>
      </c>
    </row>
    <row r="243" spans="1:5" x14ac:dyDescent="0.2">
      <c r="A243" s="588">
        <v>5</v>
      </c>
      <c r="B243" s="587" t="s">
        <v>744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3952.0590346943795</v>
      </c>
      <c r="D244" s="636">
        <f t="shared" si="28"/>
        <v>5097.597375401273</v>
      </c>
      <c r="E244" s="638">
        <f t="shared" si="29"/>
        <v>1145.5383407068935</v>
      </c>
    </row>
    <row r="245" spans="1:5" x14ac:dyDescent="0.2">
      <c r="A245" s="588">
        <v>7</v>
      </c>
      <c r="B245" s="587" t="s">
        <v>759</v>
      </c>
      <c r="C245" s="636">
        <f t="shared" si="28"/>
        <v>581.25675720146364</v>
      </c>
      <c r="D245" s="636">
        <f t="shared" si="28"/>
        <v>804.59293390440575</v>
      </c>
      <c r="E245" s="638">
        <f t="shared" si="29"/>
        <v>223.33617670294211</v>
      </c>
    </row>
    <row r="246" spans="1:5" ht="25.5" x14ac:dyDescent="0.2">
      <c r="A246" s="588"/>
      <c r="B246" s="592" t="s">
        <v>832</v>
      </c>
      <c r="C246" s="637">
        <f t="shared" si="28"/>
        <v>4961.4975233989489</v>
      </c>
      <c r="D246" s="637">
        <f t="shared" si="28"/>
        <v>5449.9368272926686</v>
      </c>
      <c r="E246" s="639">
        <f t="shared" si="29"/>
        <v>488.43930389371963</v>
      </c>
    </row>
    <row r="247" spans="1:5" x14ac:dyDescent="0.2">
      <c r="A247" s="588"/>
      <c r="B247" s="592" t="s">
        <v>833</v>
      </c>
      <c r="C247" s="637">
        <f t="shared" si="28"/>
        <v>6005.1289065902274</v>
      </c>
      <c r="D247" s="637">
        <f t="shared" si="28"/>
        <v>6186.3705952259261</v>
      </c>
      <c r="E247" s="639">
        <f t="shared" si="29"/>
        <v>181.24168863569867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9732184.5288814437</v>
      </c>
      <c r="D251" s="622">
        <f>((IF((IF(D15=0,0,D26/D15)*D138)=0,0,D59/(IF(D15=0,0,D26/D15)*D138)))-(IF((IF(D17=0,0,D28/D17)*D140)=0,0,D61/(IF(D17=0,0,D28/D17)*D140))))*(IF(D17=0,0,D28/D17)*D140)</f>
        <v>9293727.1307304371</v>
      </c>
      <c r="E251" s="622">
        <f>D251-C251</f>
        <v>-438457.39815100655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5381901.4810228851</v>
      </c>
      <c r="D253" s="622">
        <f>IF(D233=0,0,(D228-D233)*D209+IF(D221=0,0,(D240-D245)*D221))</f>
        <v>3108854.2373567931</v>
      </c>
      <c r="E253" s="622">
        <f>D253-C253</f>
        <v>-2273047.2436660919</v>
      </c>
    </row>
    <row r="254" spans="1:5" ht="15" customHeight="1" x14ac:dyDescent="0.2">
      <c r="A254" s="588"/>
      <c r="B254" s="592" t="s">
        <v>760</v>
      </c>
      <c r="C254" s="640">
        <f>+C251+C252+C253</f>
        <v>15114086.009904329</v>
      </c>
      <c r="D254" s="640">
        <f>+D251+D252+D253</f>
        <v>12402581.36808723</v>
      </c>
      <c r="E254" s="640">
        <f>D254-C254</f>
        <v>-2711504.6418170985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563024417</v>
      </c>
      <c r="D258" s="625">
        <f>+D44</f>
        <v>601959668</v>
      </c>
      <c r="E258" s="622">
        <f t="shared" ref="E258:E271" si="30">D258-C258</f>
        <v>38935251</v>
      </c>
    </row>
    <row r="259" spans="1:5" x14ac:dyDescent="0.2">
      <c r="A259" s="588">
        <v>2</v>
      </c>
      <c r="B259" s="587" t="s">
        <v>743</v>
      </c>
      <c r="C259" s="622">
        <f>+(C43-C76)</f>
        <v>267482561</v>
      </c>
      <c r="D259" s="625">
        <f>+(D43-D76)</f>
        <v>295010081</v>
      </c>
      <c r="E259" s="622">
        <f t="shared" si="30"/>
        <v>27527520</v>
      </c>
    </row>
    <row r="260" spans="1:5" x14ac:dyDescent="0.2">
      <c r="A260" s="588">
        <v>3</v>
      </c>
      <c r="B260" s="587" t="s">
        <v>747</v>
      </c>
      <c r="C260" s="622">
        <f>C195</f>
        <v>9427343</v>
      </c>
      <c r="D260" s="622">
        <f>D195</f>
        <v>8233733</v>
      </c>
      <c r="E260" s="622">
        <f t="shared" si="30"/>
        <v>-1193610</v>
      </c>
    </row>
    <row r="261" spans="1:5" x14ac:dyDescent="0.2">
      <c r="A261" s="588">
        <v>4</v>
      </c>
      <c r="B261" s="587" t="s">
        <v>748</v>
      </c>
      <c r="C261" s="622">
        <f>C188</f>
        <v>122721019</v>
      </c>
      <c r="D261" s="622">
        <f>D188</f>
        <v>130848409</v>
      </c>
      <c r="E261" s="622">
        <f t="shared" si="30"/>
        <v>8127390</v>
      </c>
    </row>
    <row r="262" spans="1:5" x14ac:dyDescent="0.2">
      <c r="A262" s="588">
        <v>5</v>
      </c>
      <c r="B262" s="587" t="s">
        <v>749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750</v>
      </c>
      <c r="C263" s="622">
        <f>+C259+C260+C261+C262</f>
        <v>399630923</v>
      </c>
      <c r="D263" s="622">
        <f>+D259+D260+D261+D262</f>
        <v>434092223</v>
      </c>
      <c r="E263" s="622">
        <f t="shared" si="30"/>
        <v>34461300</v>
      </c>
    </row>
    <row r="264" spans="1:5" x14ac:dyDescent="0.2">
      <c r="A264" s="588">
        <v>7</v>
      </c>
      <c r="B264" s="587" t="s">
        <v>655</v>
      </c>
      <c r="C264" s="622">
        <f>+C258-C263</f>
        <v>163393494</v>
      </c>
      <c r="D264" s="622">
        <f>+D258-D263</f>
        <v>167867445</v>
      </c>
      <c r="E264" s="622">
        <f t="shared" si="30"/>
        <v>4473951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163393494</v>
      </c>
      <c r="D266" s="622">
        <f>+D264+D265</f>
        <v>167867445</v>
      </c>
      <c r="E266" s="641">
        <f t="shared" si="30"/>
        <v>4473951</v>
      </c>
    </row>
    <row r="267" spans="1:5" x14ac:dyDescent="0.2">
      <c r="A267" s="588">
        <v>10</v>
      </c>
      <c r="B267" s="587" t="s">
        <v>838</v>
      </c>
      <c r="C267" s="642">
        <f>IF(C258=0,0,C266/C258)</f>
        <v>0.29020676380363802</v>
      </c>
      <c r="D267" s="642">
        <f>IF(D258=0,0,D266/D258)</f>
        <v>0.27886825965888468</v>
      </c>
      <c r="E267" s="643">
        <f t="shared" si="30"/>
        <v>-1.1338504144753347E-2</v>
      </c>
    </row>
    <row r="268" spans="1:5" x14ac:dyDescent="0.2">
      <c r="A268" s="588">
        <v>11</v>
      </c>
      <c r="B268" s="587" t="s">
        <v>717</v>
      </c>
      <c r="C268" s="622">
        <f>+C260*C267</f>
        <v>2735878.7032968802</v>
      </c>
      <c r="D268" s="644">
        <f>+D260*D267</f>
        <v>2296126.7922059274</v>
      </c>
      <c r="E268" s="622">
        <f t="shared" si="30"/>
        <v>-439751.91109095281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6932363.1320352107</v>
      </c>
      <c r="D269" s="644">
        <f>((D17+D18+D28+D29)*D267)-(D50+D51+D61+D62)</f>
        <v>7968911.4253419191</v>
      </c>
      <c r="E269" s="622">
        <f t="shared" si="30"/>
        <v>1036548.2933067083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9668241.8353320919</v>
      </c>
      <c r="D271" s="622">
        <f>+D268+D269+D270</f>
        <v>10265038.217547847</v>
      </c>
      <c r="E271" s="625">
        <f t="shared" si="30"/>
        <v>596796.38221575506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0.46521930862285266</v>
      </c>
      <c r="D276" s="623">
        <f t="shared" si="31"/>
        <v>0.44355012058509186</v>
      </c>
      <c r="E276" s="650">
        <f t="shared" ref="E276:E284" si="32">D276-C276</f>
        <v>-2.16691880377608E-2</v>
      </c>
    </row>
    <row r="277" spans="1:5" x14ac:dyDescent="0.2">
      <c r="A277" s="588">
        <v>2</v>
      </c>
      <c r="B277" s="587" t="s">
        <v>636</v>
      </c>
      <c r="C277" s="623">
        <f t="shared" si="31"/>
        <v>0.2966776875850311</v>
      </c>
      <c r="D277" s="623">
        <f t="shared" si="31"/>
        <v>0.29450423983697432</v>
      </c>
      <c r="E277" s="650">
        <f t="shared" si="32"/>
        <v>-2.1734477480567782E-3</v>
      </c>
    </row>
    <row r="278" spans="1:5" x14ac:dyDescent="0.2">
      <c r="A278" s="588">
        <v>3</v>
      </c>
      <c r="B278" s="587" t="s">
        <v>778</v>
      </c>
      <c r="C278" s="623">
        <f t="shared" si="31"/>
        <v>0.28921516433874589</v>
      </c>
      <c r="D278" s="623">
        <f t="shared" si="31"/>
        <v>0.26114356427733609</v>
      </c>
      <c r="E278" s="650">
        <f t="shared" si="32"/>
        <v>-2.8071600061409796E-2</v>
      </c>
    </row>
    <row r="279" spans="1:5" x14ac:dyDescent="0.2">
      <c r="A279" s="588">
        <v>4</v>
      </c>
      <c r="B279" s="587" t="s">
        <v>115</v>
      </c>
      <c r="C279" s="623">
        <f t="shared" si="31"/>
        <v>0.28921516433874589</v>
      </c>
      <c r="D279" s="623">
        <f t="shared" si="31"/>
        <v>0.26114356427733609</v>
      </c>
      <c r="E279" s="650">
        <f t="shared" si="32"/>
        <v>-2.8071600061409796E-2</v>
      </c>
    </row>
    <row r="280" spans="1:5" x14ac:dyDescent="0.2">
      <c r="A280" s="588">
        <v>5</v>
      </c>
      <c r="B280" s="587" t="s">
        <v>744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0.58226773014246958</v>
      </c>
      <c r="D281" s="623">
        <f t="shared" si="31"/>
        <v>0.33024165842197634</v>
      </c>
      <c r="E281" s="650">
        <f t="shared" si="32"/>
        <v>-0.25202607172049324</v>
      </c>
    </row>
    <row r="282" spans="1:5" x14ac:dyDescent="0.2">
      <c r="A282" s="588">
        <v>7</v>
      </c>
      <c r="B282" s="587" t="s">
        <v>759</v>
      </c>
      <c r="C282" s="623">
        <f t="shared" si="31"/>
        <v>3.3296384666401606E-2</v>
      </c>
      <c r="D282" s="623">
        <f t="shared" si="31"/>
        <v>4.3178881700108959E-2</v>
      </c>
      <c r="E282" s="650">
        <f t="shared" si="32"/>
        <v>9.8824970337073534E-3</v>
      </c>
    </row>
    <row r="283" spans="1:5" ht="29.25" customHeight="1" x14ac:dyDescent="0.2">
      <c r="A283" s="588"/>
      <c r="B283" s="592" t="s">
        <v>845</v>
      </c>
      <c r="C283" s="651">
        <f t="shared" si="31"/>
        <v>0.29594958311456815</v>
      </c>
      <c r="D283" s="651">
        <f t="shared" si="31"/>
        <v>0.28558094798116124</v>
      </c>
      <c r="E283" s="652">
        <f t="shared" si="32"/>
        <v>-1.0368635133406912E-2</v>
      </c>
    </row>
    <row r="284" spans="1:5" x14ac:dyDescent="0.2">
      <c r="A284" s="588"/>
      <c r="B284" s="592" t="s">
        <v>846</v>
      </c>
      <c r="C284" s="651">
        <f t="shared" si="31"/>
        <v>0.33921189532023971</v>
      </c>
      <c r="D284" s="651">
        <f t="shared" si="31"/>
        <v>0.32505148301148301</v>
      </c>
      <c r="E284" s="652">
        <f t="shared" si="32"/>
        <v>-1.4160412308756698E-2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0.40130576570905313</v>
      </c>
      <c r="D287" s="623">
        <f t="shared" si="33"/>
        <v>0.37731767270065319</v>
      </c>
      <c r="E287" s="650">
        <f t="shared" ref="E287:E295" si="34">D287-C287</f>
        <v>-2.3988093008399936E-2</v>
      </c>
    </row>
    <row r="288" spans="1:5" x14ac:dyDescent="0.2">
      <c r="A288" s="588">
        <v>2</v>
      </c>
      <c r="B288" s="587" t="s">
        <v>636</v>
      </c>
      <c r="C288" s="623">
        <f t="shared" si="33"/>
        <v>0.19113231248006424</v>
      </c>
      <c r="D288" s="623">
        <f t="shared" si="33"/>
        <v>0.19613830206996424</v>
      </c>
      <c r="E288" s="650">
        <f t="shared" si="34"/>
        <v>5.0059895899000062E-3</v>
      </c>
    </row>
    <row r="289" spans="1:5" x14ac:dyDescent="0.2">
      <c r="A289" s="588">
        <v>3</v>
      </c>
      <c r="B289" s="587" t="s">
        <v>778</v>
      </c>
      <c r="C289" s="623">
        <f t="shared" si="33"/>
        <v>0.18291339777069487</v>
      </c>
      <c r="D289" s="623">
        <f t="shared" si="33"/>
        <v>0.1883929025140639</v>
      </c>
      <c r="E289" s="650">
        <f t="shared" si="34"/>
        <v>5.4795047433690292E-3</v>
      </c>
    </row>
    <row r="290" spans="1:5" x14ac:dyDescent="0.2">
      <c r="A290" s="588">
        <v>4</v>
      </c>
      <c r="B290" s="587" t="s">
        <v>115</v>
      </c>
      <c r="C290" s="623">
        <f t="shared" si="33"/>
        <v>0.18291339777069487</v>
      </c>
      <c r="D290" s="623">
        <f t="shared" si="33"/>
        <v>0.1883929025140639</v>
      </c>
      <c r="E290" s="650">
        <f t="shared" si="34"/>
        <v>5.4795047433690292E-3</v>
      </c>
    </row>
    <row r="291" spans="1:5" x14ac:dyDescent="0.2">
      <c r="A291" s="588">
        <v>5</v>
      </c>
      <c r="B291" s="587" t="s">
        <v>744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0.26516160035620584</v>
      </c>
      <c r="D292" s="623">
        <f t="shared" si="33"/>
        <v>0.20543272535816637</v>
      </c>
      <c r="E292" s="650">
        <f t="shared" si="34"/>
        <v>-5.9728874998039472E-2</v>
      </c>
    </row>
    <row r="293" spans="1:5" x14ac:dyDescent="0.2">
      <c r="A293" s="588">
        <v>7</v>
      </c>
      <c r="B293" s="587" t="s">
        <v>759</v>
      </c>
      <c r="C293" s="623">
        <f t="shared" si="33"/>
        <v>5.342615884241151E-2</v>
      </c>
      <c r="D293" s="623">
        <f t="shared" si="33"/>
        <v>4.8972557349476545E-2</v>
      </c>
      <c r="E293" s="650">
        <f t="shared" si="34"/>
        <v>-4.4536014929349652E-3</v>
      </c>
    </row>
    <row r="294" spans="1:5" ht="29.25" customHeight="1" x14ac:dyDescent="0.2">
      <c r="A294" s="588"/>
      <c r="B294" s="592" t="s">
        <v>848</v>
      </c>
      <c r="C294" s="651">
        <f t="shared" si="33"/>
        <v>0.18870742777786897</v>
      </c>
      <c r="D294" s="651">
        <f t="shared" si="33"/>
        <v>0.19332305226569541</v>
      </c>
      <c r="E294" s="652">
        <f t="shared" si="34"/>
        <v>4.6156244878264308E-3</v>
      </c>
    </row>
    <row r="295" spans="1:5" x14ac:dyDescent="0.2">
      <c r="A295" s="588"/>
      <c r="B295" s="592" t="s">
        <v>849</v>
      </c>
      <c r="C295" s="651">
        <f t="shared" si="33"/>
        <v>0.28539520520805983</v>
      </c>
      <c r="D295" s="651">
        <f t="shared" si="33"/>
        <v>0.27210778227268273</v>
      </c>
      <c r="E295" s="652">
        <f t="shared" si="34"/>
        <v>-1.3287422935377102E-2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172820837</v>
      </c>
      <c r="D301" s="590">
        <f>+D48+D47+D50+D51+D52+D59+D58+D61+D62+D63</f>
        <v>176101176</v>
      </c>
      <c r="E301" s="590">
        <f>D301-C301</f>
        <v>3280339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172820837</v>
      </c>
      <c r="D303" s="593">
        <f>+D301+D302</f>
        <v>176101176</v>
      </c>
      <c r="E303" s="593">
        <f>D303-C303</f>
        <v>3280339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-2521217</v>
      </c>
      <c r="D305" s="654">
        <v>-3896909</v>
      </c>
      <c r="E305" s="655">
        <f>D305-C305</f>
        <v>-1375692</v>
      </c>
    </row>
    <row r="306" spans="1:5" x14ac:dyDescent="0.2">
      <c r="A306" s="588">
        <v>4</v>
      </c>
      <c r="B306" s="592" t="s">
        <v>856</v>
      </c>
      <c r="C306" s="593">
        <f>+C303+C305+C194+C190-C191</f>
        <v>175818081</v>
      </c>
      <c r="D306" s="593">
        <f>+D303+D305</f>
        <v>172204267</v>
      </c>
      <c r="E306" s="656">
        <f>D306-C306</f>
        <v>-3613814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170299621</v>
      </c>
      <c r="D308" s="589">
        <v>172204267</v>
      </c>
      <c r="E308" s="590">
        <f>D308-C308</f>
        <v>1904646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5518460</v>
      </c>
      <c r="D310" s="658">
        <f>D306-D308</f>
        <v>0</v>
      </c>
      <c r="E310" s="656">
        <f>D310-C310</f>
        <v>-5518460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563024417</v>
      </c>
      <c r="D314" s="590">
        <f>+D14+D15+D16+D19+D25+D26+D27+D30</f>
        <v>601959668</v>
      </c>
      <c r="E314" s="590">
        <f>D314-C314</f>
        <v>38935251</v>
      </c>
    </row>
    <row r="315" spans="1:5" x14ac:dyDescent="0.2">
      <c r="A315" s="588">
        <v>2</v>
      </c>
      <c r="B315" s="659" t="s">
        <v>861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862</v>
      </c>
      <c r="C316" s="657">
        <f>C314+C315</f>
        <v>563024417</v>
      </c>
      <c r="D316" s="657">
        <f>D314+D315</f>
        <v>601959668</v>
      </c>
      <c r="E316" s="593">
        <f>D316-C316</f>
        <v>38935251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563024416</v>
      </c>
      <c r="D318" s="589">
        <v>601959668</v>
      </c>
      <c r="E318" s="590">
        <f>D318-C318</f>
        <v>38935252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1</v>
      </c>
      <c r="D320" s="657">
        <f>D316-D318</f>
        <v>0</v>
      </c>
      <c r="E320" s="593">
        <f>D320-C320</f>
        <v>-1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9427343</v>
      </c>
      <c r="D324" s="589">
        <f>+D193+D194</f>
        <v>8233733</v>
      </c>
      <c r="E324" s="590">
        <f>D324-C324</f>
        <v>-1193610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9427343</v>
      </c>
      <c r="D326" s="657">
        <f>D324+D325</f>
        <v>8233733</v>
      </c>
      <c r="E326" s="593">
        <f>D326-C326</f>
        <v>-1193610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9427343</v>
      </c>
      <c r="D328" s="589">
        <v>8233733</v>
      </c>
      <c r="E328" s="590">
        <f>D328-C328</f>
        <v>-1193610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FILING&amp;RMANCHESTER MEMORIAL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58063977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125637142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47690262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47690262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992558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1659376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174319962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232383939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158248779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130988495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78735429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78735429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1603026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6888511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211326950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369575729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216312756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385646912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601959668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25754284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37000671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12454005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12454005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327784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71650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49782460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75536744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59710061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25691861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14833196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14833196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329314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337348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40854371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100564432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85464345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90636831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176101176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3214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3676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2180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2180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40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101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5896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9110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1.0006200000000001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1.46454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1.0111699999999999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1.0111699999999999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1.1261000000000001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1.0187999999999999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1.2946139145183175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1.1908931196487376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216312755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85464346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130848409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0.60490380699002244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2411263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5822470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8233733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17340796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185309559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176101176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176101176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-3896909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172204267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172204267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601959668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601959668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601959668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8233733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8233733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8233733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FILING&amp;RMANCHESTER MEMORIAL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2817</v>
      </c>
      <c r="D12" s="185">
        <v>1139</v>
      </c>
      <c r="E12" s="185">
        <f>+D12-C12</f>
        <v>-1678</v>
      </c>
      <c r="F12" s="77">
        <f>IF(C12=0,0,+E12/C12)</f>
        <v>-0.59566915157969469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2500</v>
      </c>
      <c r="D13" s="185">
        <v>1000</v>
      </c>
      <c r="E13" s="185">
        <f>+D13-C13</f>
        <v>-1500</v>
      </c>
      <c r="F13" s="77">
        <f>IF(C13=0,0,+E13/C13)</f>
        <v>-0.6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3908882</v>
      </c>
      <c r="D15" s="76">
        <v>2411263</v>
      </c>
      <c r="E15" s="76">
        <f>+D15-C15</f>
        <v>-1497619</v>
      </c>
      <c r="F15" s="77">
        <f>IF(C15=0,0,+E15/C15)</f>
        <v>-0.38313231251288732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1563.5527999999999</v>
      </c>
      <c r="D16" s="79">
        <f>IF(D13=0,0,+D15/+D13)</f>
        <v>2411.2629999999999</v>
      </c>
      <c r="E16" s="79">
        <f>+D16-C16</f>
        <v>847.71019999999999</v>
      </c>
      <c r="F16" s="80">
        <f>IF(C16=0,0,+E16/C16)</f>
        <v>0.54216921871778168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0.36041200000000001</v>
      </c>
      <c r="D18" s="704">
        <v>0.32342500000000002</v>
      </c>
      <c r="E18" s="704">
        <f>+D18-C18</f>
        <v>-3.6986999999999992E-2</v>
      </c>
      <c r="F18" s="77">
        <f>IF(C18=0,0,+E18/C18)</f>
        <v>-0.10262421894942453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1408807.9793839999</v>
      </c>
      <c r="D19" s="79">
        <f>+D15*D18</f>
        <v>779862.73577500007</v>
      </c>
      <c r="E19" s="79">
        <f>+D19-C19</f>
        <v>-628945.24360899988</v>
      </c>
      <c r="F19" s="80">
        <f>IF(C19=0,0,+E19/C19)</f>
        <v>-0.44643787713638988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563.52319175360003</v>
      </c>
      <c r="D20" s="79">
        <f>IF(D13=0,0,+D19/D13)</f>
        <v>779.86273577500003</v>
      </c>
      <c r="E20" s="79">
        <f>+D20-C20</f>
        <v>216.3395440214</v>
      </c>
      <c r="F20" s="80">
        <f>IF(C20=0,0,+E20/C20)</f>
        <v>0.38390530715902504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1269114</v>
      </c>
      <c r="D22" s="76">
        <v>540715</v>
      </c>
      <c r="E22" s="76">
        <f>+D22-C22</f>
        <v>-728399</v>
      </c>
      <c r="F22" s="77">
        <f>IF(C22=0,0,+E22/C22)</f>
        <v>-0.57394292396112567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847211</v>
      </c>
      <c r="D23" s="185">
        <v>1415036</v>
      </c>
      <c r="E23" s="185">
        <f>+D23-C23</f>
        <v>567825</v>
      </c>
      <c r="F23" s="77">
        <f>IF(C23=0,0,+E23/C23)</f>
        <v>0.67022854991259562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1792557</v>
      </c>
      <c r="D24" s="185">
        <v>455512</v>
      </c>
      <c r="E24" s="185">
        <f>+D24-C24</f>
        <v>-1337045</v>
      </c>
      <c r="F24" s="77">
        <f>IF(C24=0,0,+E24/C24)</f>
        <v>-0.74588702060799184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3908882</v>
      </c>
      <c r="D25" s="79">
        <f>+D22+D23+D24</f>
        <v>2411263</v>
      </c>
      <c r="E25" s="79">
        <f>+E22+E23+E24</f>
        <v>-1497619</v>
      </c>
      <c r="F25" s="80">
        <f>IF(C25=0,0,+E25/C25)</f>
        <v>-0.38313231251288732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1097</v>
      </c>
      <c r="D27" s="185">
        <v>704</v>
      </c>
      <c r="E27" s="185">
        <f>+D27-C27</f>
        <v>-393</v>
      </c>
      <c r="F27" s="77">
        <f>IF(C27=0,0,+E27/C27)</f>
        <v>-0.35824977210574294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199</v>
      </c>
      <c r="D28" s="185">
        <v>143</v>
      </c>
      <c r="E28" s="185">
        <f>+D28-C28</f>
        <v>-56</v>
      </c>
      <c r="F28" s="77">
        <f>IF(C28=0,0,+E28/C28)</f>
        <v>-0.28140703517587939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1400</v>
      </c>
      <c r="D29" s="185">
        <v>860</v>
      </c>
      <c r="E29" s="185">
        <f>+D29-C29</f>
        <v>-540</v>
      </c>
      <c r="F29" s="77">
        <f>IF(C29=0,0,+E29/C29)</f>
        <v>-0.38571428571428573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1647</v>
      </c>
      <c r="D30" s="185">
        <v>1468</v>
      </c>
      <c r="E30" s="185">
        <f>+D30-C30</f>
        <v>-179</v>
      </c>
      <c r="F30" s="77">
        <f>IF(C30=0,0,+E30/C30)</f>
        <v>-0.10868245294474803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1425373</v>
      </c>
      <c r="D33" s="76">
        <v>1559126</v>
      </c>
      <c r="E33" s="76">
        <f>+D33-C33</f>
        <v>133753</v>
      </c>
      <c r="F33" s="77">
        <f>IF(C33=0,0,+E33/C33)</f>
        <v>9.3837192089368887E-2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1313642</v>
      </c>
      <c r="D34" s="185">
        <v>1426732</v>
      </c>
      <c r="E34" s="185">
        <f>+D34-C34</f>
        <v>113090</v>
      </c>
      <c r="F34" s="77">
        <f>IF(C34=0,0,+E34/C34)</f>
        <v>8.6088903978405074E-2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2779446</v>
      </c>
      <c r="D35" s="185">
        <v>2836612</v>
      </c>
      <c r="E35" s="185">
        <f>+D35-C35</f>
        <v>57166</v>
      </c>
      <c r="F35" s="77">
        <f>IF(C35=0,0,+E35/C35)</f>
        <v>2.0567408037429041E-2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5518461</v>
      </c>
      <c r="D36" s="79">
        <f>+D33+D34+D35</f>
        <v>5822470</v>
      </c>
      <c r="E36" s="79">
        <f>+E33+E34+E35</f>
        <v>304009</v>
      </c>
      <c r="F36" s="80">
        <f>IF(C36=0,0,+E36/C36)</f>
        <v>5.5089453382020821E-2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3908882</v>
      </c>
      <c r="D39" s="76">
        <f>+D25</f>
        <v>2411263</v>
      </c>
      <c r="E39" s="76">
        <f>+D39-C39</f>
        <v>-1497619</v>
      </c>
      <c r="F39" s="77">
        <f>IF(C39=0,0,+E39/C39)</f>
        <v>-0.38313231251288732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5518461</v>
      </c>
      <c r="D40" s="185">
        <f>+D36</f>
        <v>5822470</v>
      </c>
      <c r="E40" s="185">
        <f>+D40-C40</f>
        <v>304009</v>
      </c>
      <c r="F40" s="77">
        <f>IF(C40=0,0,+E40/C40)</f>
        <v>5.5089453382020821E-2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9427343</v>
      </c>
      <c r="D41" s="79">
        <f>+D39+D40</f>
        <v>8233733</v>
      </c>
      <c r="E41" s="79">
        <f>+E39+E40</f>
        <v>-1193610</v>
      </c>
      <c r="F41" s="80">
        <f>IF(C41=0,0,+E41/C41)</f>
        <v>-0.12661149594323662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2694487</v>
      </c>
      <c r="D43" s="76">
        <f t="shared" si="0"/>
        <v>2099841</v>
      </c>
      <c r="E43" s="76">
        <f>+D43-C43</f>
        <v>-594646</v>
      </c>
      <c r="F43" s="77">
        <f>IF(C43=0,0,+E43/C43)</f>
        <v>-0.22068987528980469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2160853</v>
      </c>
      <c r="D44" s="185">
        <f t="shared" si="0"/>
        <v>2841768</v>
      </c>
      <c r="E44" s="185">
        <f>+D44-C44</f>
        <v>680915</v>
      </c>
      <c r="F44" s="77">
        <f>IF(C44=0,0,+E44/C44)</f>
        <v>0.31511398507904054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4572003</v>
      </c>
      <c r="D45" s="185">
        <f t="shared" si="0"/>
        <v>3292124</v>
      </c>
      <c r="E45" s="185">
        <f>+D45-C45</f>
        <v>-1279879</v>
      </c>
      <c r="F45" s="77">
        <f>IF(C45=0,0,+E45/C45)</f>
        <v>-0.2799383552460486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9427343</v>
      </c>
      <c r="D46" s="79">
        <f>+D43+D44+D45</f>
        <v>8233733</v>
      </c>
      <c r="E46" s="79">
        <f>+E43+E44+E45</f>
        <v>-1193610</v>
      </c>
      <c r="F46" s="80">
        <f>IF(C46=0,0,+E46/C46)</f>
        <v>-0.12661149594323662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912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FILING&amp;RMANCHESTER MEMORIAL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211134171</v>
      </c>
      <c r="D15" s="76">
        <v>216312755</v>
      </c>
      <c r="E15" s="76">
        <f>+D15-C15</f>
        <v>5178584</v>
      </c>
      <c r="F15" s="77">
        <f>IF(C15=0,0,E15/C15)</f>
        <v>2.4527455577051049E-2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122721019</v>
      </c>
      <c r="D17" s="76">
        <v>130848409</v>
      </c>
      <c r="E17" s="76">
        <f>+D17-C17</f>
        <v>8127390</v>
      </c>
      <c r="F17" s="77">
        <f>IF(C17=0,0,E17/C17)</f>
        <v>6.6226552437606473E-2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88413152</v>
      </c>
      <c r="D19" s="79">
        <f>+D15-D17</f>
        <v>85464346</v>
      </c>
      <c r="E19" s="79">
        <f>+D19-C19</f>
        <v>-2948806</v>
      </c>
      <c r="F19" s="80">
        <f>IF(C19=0,0,E19/C19)</f>
        <v>-3.3352571798367737E-2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0.58124659982206295</v>
      </c>
      <c r="D21" s="720">
        <f>IF(D15=0,0,D17/D15)</f>
        <v>0.60490380699002244</v>
      </c>
      <c r="E21" s="720">
        <f>+D21-C21</f>
        <v>2.3657207167959493E-2</v>
      </c>
      <c r="F21" s="80">
        <f>IF(C21=0,0,E21/C21)</f>
        <v>4.070080956207172E-2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FILING&amp;R&amp;12MANCHESTER MEMORIAL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185302227</v>
      </c>
      <c r="D10" s="744">
        <v>225513088</v>
      </c>
      <c r="E10" s="744">
        <v>232383939</v>
      </c>
    </row>
    <row r="11" spans="1:6" ht="26.1" customHeight="1" x14ac:dyDescent="0.25">
      <c r="A11" s="742">
        <v>2</v>
      </c>
      <c r="B11" s="743" t="s">
        <v>933</v>
      </c>
      <c r="C11" s="744">
        <v>306599579</v>
      </c>
      <c r="D11" s="744">
        <v>337511329</v>
      </c>
      <c r="E11" s="744">
        <v>369575729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491901806</v>
      </c>
      <c r="D12" s="744">
        <f>+D11+D10</f>
        <v>563024417</v>
      </c>
      <c r="E12" s="744">
        <f>+E11+E10</f>
        <v>601959668</v>
      </c>
    </row>
    <row r="13" spans="1:6" ht="26.1" customHeight="1" x14ac:dyDescent="0.25">
      <c r="A13" s="742">
        <v>4</v>
      </c>
      <c r="B13" s="743" t="s">
        <v>507</v>
      </c>
      <c r="C13" s="744">
        <v>175217566</v>
      </c>
      <c r="D13" s="744">
        <v>170299621</v>
      </c>
      <c r="E13" s="744">
        <v>172204267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184446001</v>
      </c>
      <c r="D16" s="744">
        <v>188335086</v>
      </c>
      <c r="E16" s="744">
        <v>185309559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45545</v>
      </c>
      <c r="D19" s="747">
        <v>46662</v>
      </c>
      <c r="E19" s="747">
        <v>44106</v>
      </c>
    </row>
    <row r="20" spans="1:5" ht="26.1" customHeight="1" x14ac:dyDescent="0.25">
      <c r="A20" s="742">
        <v>2</v>
      </c>
      <c r="B20" s="743" t="s">
        <v>381</v>
      </c>
      <c r="C20" s="748">
        <v>8831</v>
      </c>
      <c r="D20" s="748">
        <v>9342</v>
      </c>
      <c r="E20" s="748">
        <v>9110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5.1574000679424756</v>
      </c>
      <c r="D21" s="749">
        <f>IF(D20=0,0,+D19/D20)</f>
        <v>4.9948619139370587</v>
      </c>
      <c r="E21" s="749">
        <f>IF(E20=0,0,+E19/E20)</f>
        <v>4.8414928649835343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120903.39181012649</v>
      </c>
      <c r="D22" s="748">
        <f>IF(D10=0,0,D19*(D12/D10))</f>
        <v>116498.09587128708</v>
      </c>
      <c r="E22" s="748">
        <f>IF(E10=0,0,E19*(E12/E10))</f>
        <v>114250.72331185504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23442.701791090723</v>
      </c>
      <c r="D23" s="748">
        <f>IF(D10=0,0,D20*(D12/D10))</f>
        <v>23323.586893608586</v>
      </c>
      <c r="E23" s="748">
        <f>IF(E10=0,0,E20*(E12/E10))</f>
        <v>23598.242628463235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1.1529057558600384</v>
      </c>
      <c r="D26" s="750">
        <v>1.19254726825091</v>
      </c>
      <c r="E26" s="750">
        <v>1.1908931196487376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52509.092650645449</v>
      </c>
      <c r="D27" s="748">
        <f>D19*D26</f>
        <v>55646.640631123963</v>
      </c>
      <c r="E27" s="748">
        <f>E19*E26</f>
        <v>52525.53193522722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10181.310729999999</v>
      </c>
      <c r="D28" s="748">
        <f>D20*D26</f>
        <v>11140.776580000002</v>
      </c>
      <c r="E28" s="748">
        <f>E20*E26</f>
        <v>10849.036319999999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139390.21632089626</v>
      </c>
      <c r="D29" s="748">
        <f>D22*D26</f>
        <v>138929.48598773603</v>
      </c>
      <c r="E29" s="748">
        <f>E22*E26</f>
        <v>136060.40030697978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27027.225827858925</v>
      </c>
      <c r="D30" s="748">
        <f>D23*D26</f>
        <v>27814.479835785645</v>
      </c>
      <c r="E30" s="748">
        <f>E23*E26</f>
        <v>28102.984782038406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10800.347041387638</v>
      </c>
      <c r="D33" s="744">
        <f>IF(D19=0,0,D12/D19)</f>
        <v>12066.015537268013</v>
      </c>
      <c r="E33" s="744">
        <f>IF(E19=0,0,E12/E19)</f>
        <v>13648.022219199202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55701.71056505492</v>
      </c>
      <c r="D34" s="744">
        <f>IF(D20=0,0,D12/D20)</f>
        <v>60268.08146007279</v>
      </c>
      <c r="E34" s="744">
        <f>IF(E20=0,0,E12/E20)</f>
        <v>66076.802195389682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4068.5525743769899</v>
      </c>
      <c r="D35" s="744">
        <f>IF(D22=0,0,D12/D22)</f>
        <v>4832.906604946209</v>
      </c>
      <c r="E35" s="744">
        <f>IF(E22=0,0,E12/E22)</f>
        <v>5268.7602367024901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20983.153323519422</v>
      </c>
      <c r="D36" s="744">
        <f>IF(D23=0,0,D12/D23)</f>
        <v>24139.701134660674</v>
      </c>
      <c r="E36" s="744">
        <f>IF(E23=0,0,E12/E23)</f>
        <v>25508.665093304062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3528.9550370419938</v>
      </c>
      <c r="D37" s="744">
        <f>IF(D29=0,0,D12/D29)</f>
        <v>4052.5912335823432</v>
      </c>
      <c r="E37" s="744">
        <f>IF(E29=0,0,E12/E29)</f>
        <v>4424.209150067597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18200.232947806322</v>
      </c>
      <c r="D38" s="744">
        <f>IF(D30=0,0,D12/D30)</f>
        <v>20242.133605375649</v>
      </c>
      <c r="E38" s="744">
        <f>IF(E30=0,0,E12/E30)</f>
        <v>21419.777033247137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1532.647051713893</v>
      </c>
      <c r="D39" s="744">
        <f>IF(D22=0,0,D10/D22)</f>
        <v>1935.766299984492</v>
      </c>
      <c r="E39" s="744">
        <f>IF(E22=0,0,E10/E22)</f>
        <v>2033.9822126612924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7904.4740086410666</v>
      </c>
      <c r="D40" s="744">
        <f>IF(D23=0,0,D10/D23)</f>
        <v>9668.8853660753975</v>
      </c>
      <c r="E40" s="744">
        <f>IF(E23=0,0,E10/E23)</f>
        <v>9847.5103701030694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3847.1306619826546</v>
      </c>
      <c r="D43" s="744">
        <f>IF(D19=0,0,D13/D19)</f>
        <v>3649.6425571128543</v>
      </c>
      <c r="E43" s="744">
        <f>IF(E19=0,0,E13/E19)</f>
        <v>3904.3274611164015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19841.191937492924</v>
      </c>
      <c r="D44" s="744">
        <f>IF(D20=0,0,D13/D20)</f>
        <v>18229.460608006852</v>
      </c>
      <c r="E44" s="744">
        <f>IF(E20=0,0,E13/E20)</f>
        <v>18902.773545554337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1449.2361494305433</v>
      </c>
      <c r="D45" s="744">
        <f>IF(D22=0,0,D13/D22)</f>
        <v>1461.8232145884645</v>
      </c>
      <c r="E45" s="744">
        <f>IF(E22=0,0,E13/E22)</f>
        <v>1507.2488121581241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7474.2906155377759</v>
      </c>
      <c r="D46" s="744">
        <f>IF(D23=0,0,D13/D23)</f>
        <v>7301.6050994569614</v>
      </c>
      <c r="E46" s="744">
        <f>IF(E23=0,0,E13/E23)</f>
        <v>7297.3343698184653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1257.0291561684935</v>
      </c>
      <c r="D47" s="744">
        <f>IF(D29=0,0,D13/D29)</f>
        <v>1225.7989712495817</v>
      </c>
      <c r="E47" s="744">
        <f>IF(E29=0,0,E13/E29)</f>
        <v>1265.6457471201934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6483.0022554290617</v>
      </c>
      <c r="D48" s="744">
        <f>IF(D30=0,0,D13/D30)</f>
        <v>6122.6965956377635</v>
      </c>
      <c r="E48" s="744">
        <f>IF(E30=0,0,E13/E30)</f>
        <v>6127.6148542791698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4049.7530135031288</v>
      </c>
      <c r="D51" s="744">
        <f>IF(D19=0,0,D16/D19)</f>
        <v>4036.1554584029832</v>
      </c>
      <c r="E51" s="744">
        <f>IF(E19=0,0,E16/E19)</f>
        <v>4201.4591892259559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20886.196466991281</v>
      </c>
      <c r="D52" s="744">
        <f>IF(D20=0,0,D16/D20)</f>
        <v>20160.03917790623</v>
      </c>
      <c r="E52" s="744">
        <f>IF(E20=0,0,E16/E20)</f>
        <v>20341.33468715697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1525.5651494845108</v>
      </c>
      <c r="D53" s="744">
        <f>IF(D22=0,0,D16/D22)</f>
        <v>1616.6366032976368</v>
      </c>
      <c r="E53" s="744">
        <f>IF(E22=0,0,E16/E22)</f>
        <v>1621.9552369413461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7867.9498056020893</v>
      </c>
      <c r="D54" s="744">
        <f>IF(D23=0,0,D16/D23)</f>
        <v>8074.8765984879401</v>
      </c>
      <c r="E54" s="744">
        <f>IF(E23=0,0,E16/E23)</f>
        <v>7852.6847069742043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1323.2349146756387</v>
      </c>
      <c r="D55" s="744">
        <f>IF(D29=0,0,D16/D29)</f>
        <v>1355.6163737381512</v>
      </c>
      <c r="E55" s="744">
        <f>IF(E29=0,0,E16/E29)</f>
        <v>1361.9654108168443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6824.4518388519955</v>
      </c>
      <c r="D56" s="744">
        <f>IF(D30=0,0,D16/D30)</f>
        <v>6771.1165950941577</v>
      </c>
      <c r="E56" s="744">
        <f>IF(E30=0,0,E16/E30)</f>
        <v>6593.9458188241197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27483799</v>
      </c>
      <c r="D59" s="752">
        <v>27731842</v>
      </c>
      <c r="E59" s="752">
        <v>27777193</v>
      </c>
    </row>
    <row r="60" spans="1:6" ht="26.1" customHeight="1" x14ac:dyDescent="0.25">
      <c r="A60" s="742">
        <v>2</v>
      </c>
      <c r="B60" s="743" t="s">
        <v>969</v>
      </c>
      <c r="C60" s="752">
        <v>9278681</v>
      </c>
      <c r="D60" s="752">
        <v>10096694</v>
      </c>
      <c r="E60" s="752">
        <v>9385872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36762480</v>
      </c>
      <c r="D61" s="755">
        <f>D59+D60</f>
        <v>37828536</v>
      </c>
      <c r="E61" s="755">
        <f>E59+E60</f>
        <v>37163065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7064262</v>
      </c>
      <c r="D64" s="744">
        <v>7727228</v>
      </c>
      <c r="E64" s="752">
        <v>8493290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2196063</v>
      </c>
      <c r="D65" s="752">
        <v>2592137</v>
      </c>
      <c r="E65" s="752">
        <v>2686194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9260325</v>
      </c>
      <c r="D66" s="757">
        <f>D64+D65</f>
        <v>10319365</v>
      </c>
      <c r="E66" s="757">
        <f>E64+E65</f>
        <v>11179484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47001764</v>
      </c>
      <c r="D69" s="752">
        <v>48450279</v>
      </c>
      <c r="E69" s="752">
        <v>47335814</v>
      </c>
    </row>
    <row r="70" spans="1:6" ht="26.1" customHeight="1" x14ac:dyDescent="0.25">
      <c r="A70" s="742">
        <v>2</v>
      </c>
      <c r="B70" s="743" t="s">
        <v>977</v>
      </c>
      <c r="C70" s="752">
        <v>13392508</v>
      </c>
      <c r="D70" s="752">
        <v>14969960</v>
      </c>
      <c r="E70" s="752">
        <v>13648187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60394272</v>
      </c>
      <c r="D71" s="755">
        <f>D69+D70</f>
        <v>63420239</v>
      </c>
      <c r="E71" s="755">
        <f>E69+E70</f>
        <v>60984001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81549825</v>
      </c>
      <c r="D75" s="744">
        <f t="shared" si="0"/>
        <v>83909349</v>
      </c>
      <c r="E75" s="744">
        <f t="shared" si="0"/>
        <v>83606297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24867252</v>
      </c>
      <c r="D76" s="744">
        <f t="shared" si="0"/>
        <v>27658791</v>
      </c>
      <c r="E76" s="744">
        <f t="shared" si="0"/>
        <v>25720253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106417077</v>
      </c>
      <c r="D77" s="757">
        <f>D75+D76</f>
        <v>111568140</v>
      </c>
      <c r="E77" s="757">
        <f>E75+E76</f>
        <v>109326550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325</v>
      </c>
      <c r="D80" s="749">
        <v>326.2</v>
      </c>
      <c r="E80" s="749">
        <v>354.1</v>
      </c>
    </row>
    <row r="81" spans="1:5" ht="26.1" customHeight="1" x14ac:dyDescent="0.25">
      <c r="A81" s="742">
        <v>2</v>
      </c>
      <c r="B81" s="743" t="s">
        <v>617</v>
      </c>
      <c r="C81" s="749">
        <v>14.6</v>
      </c>
      <c r="D81" s="749">
        <v>27.8</v>
      </c>
      <c r="E81" s="749">
        <v>42.6</v>
      </c>
    </row>
    <row r="82" spans="1:5" ht="26.1" customHeight="1" x14ac:dyDescent="0.25">
      <c r="A82" s="742">
        <v>3</v>
      </c>
      <c r="B82" s="743" t="s">
        <v>983</v>
      </c>
      <c r="C82" s="749">
        <v>736.2</v>
      </c>
      <c r="D82" s="749">
        <v>754.7</v>
      </c>
      <c r="E82" s="749">
        <v>756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1075.8000000000002</v>
      </c>
      <c r="D83" s="759">
        <f>D80+D81+D82</f>
        <v>1108.7</v>
      </c>
      <c r="E83" s="759">
        <f>E80+E81+E82</f>
        <v>1152.7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84565.535384615388</v>
      </c>
      <c r="D86" s="752">
        <f>IF(D80=0,0,D59/D80)</f>
        <v>85014.843654199882</v>
      </c>
      <c r="E86" s="752">
        <f>IF(E80=0,0,E59/E80)</f>
        <v>78444.487432928552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28549.787692307691</v>
      </c>
      <c r="D87" s="752">
        <f>IF(D80=0,0,D60/D80)</f>
        <v>30952.464745554877</v>
      </c>
      <c r="E87" s="752">
        <f>IF(E80=0,0,E60/E80)</f>
        <v>26506.275063541372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113115.32307692309</v>
      </c>
      <c r="D88" s="755">
        <f>+D86+D87</f>
        <v>115967.30839975475</v>
      </c>
      <c r="E88" s="755">
        <f>+E86+E87</f>
        <v>104950.76249646992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483853.56164383562</v>
      </c>
      <c r="D91" s="744">
        <f>IF(D81=0,0,D64/D81)</f>
        <v>277957.8417266187</v>
      </c>
      <c r="E91" s="744">
        <f>IF(E81=0,0,E64/E81)</f>
        <v>199373.00469483566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150415.27397260274</v>
      </c>
      <c r="D92" s="744">
        <f>IF(D81=0,0,D65/D81)</f>
        <v>93242.338129496406</v>
      </c>
      <c r="E92" s="744">
        <f>IF(E81=0,0,E65/E81)</f>
        <v>63056.197183098586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634268.83561643842</v>
      </c>
      <c r="D93" s="757">
        <f>+D91+D92</f>
        <v>371200.17985611514</v>
      </c>
      <c r="E93" s="757">
        <f>+E91+E92</f>
        <v>262429.20187793428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63843.743547948921</v>
      </c>
      <c r="D96" s="752">
        <f>IF(D82=0,0,D69/D82)</f>
        <v>64198.064131442952</v>
      </c>
      <c r="E96" s="752">
        <f>IF(E82=0,0,E69/E82)</f>
        <v>62613.510582010582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18191.399076337952</v>
      </c>
      <c r="D97" s="752">
        <f>IF(D82=0,0,D70/D82)</f>
        <v>19835.643301974294</v>
      </c>
      <c r="E97" s="752">
        <f>IF(E82=0,0,E70/E82)</f>
        <v>18053.157407407409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82035.142624286877</v>
      </c>
      <c r="D98" s="757">
        <f>+D96+D97</f>
        <v>84033.70743341725</v>
      </c>
      <c r="E98" s="757">
        <f>+E96+E97</f>
        <v>80666.667989417998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75803.890128276616</v>
      </c>
      <c r="D101" s="744">
        <f>IF(D83=0,0,D75/D83)</f>
        <v>75682.645440606109</v>
      </c>
      <c r="E101" s="744">
        <f>IF(E83=0,0,E75/E83)</f>
        <v>72530.838032445565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23115.125488008918</v>
      </c>
      <c r="D102" s="761">
        <f>IF(D83=0,0,D76/D83)</f>
        <v>24947.04699197258</v>
      </c>
      <c r="E102" s="761">
        <f>IF(E83=0,0,E76/E83)</f>
        <v>22313.050229895027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98919.015616285527</v>
      </c>
      <c r="D103" s="757">
        <f>+D101+D102</f>
        <v>100629.69243257868</v>
      </c>
      <c r="E103" s="757">
        <f>+E101+E102</f>
        <v>94843.888262340595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2336.5260072455812</v>
      </c>
      <c r="D108" s="744">
        <f>IF(D19=0,0,D77/D19)</f>
        <v>2390.9849556384211</v>
      </c>
      <c r="E108" s="744">
        <f>IF(E19=0,0,E77/E19)</f>
        <v>2478.7228494989345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12050.399388517722</v>
      </c>
      <c r="D109" s="744">
        <f>IF(D20=0,0,D77/D20)</f>
        <v>11942.639691714836</v>
      </c>
      <c r="E109" s="744">
        <f>IF(E20=0,0,E77/E20)</f>
        <v>12000.718990120746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880.18272611510679</v>
      </c>
      <c r="D110" s="744">
        <f>IF(D22=0,0,D77/D22)</f>
        <v>957.68209055765226</v>
      </c>
      <c r="E110" s="744">
        <f>IF(E22=0,0,E77/E22)</f>
        <v>956.90028763831833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4539.4544514678446</v>
      </c>
      <c r="D111" s="744">
        <f>IF(D23=0,0,D77/D23)</f>
        <v>4783.489799786038</v>
      </c>
      <c r="E111" s="744">
        <f>IF(E23=0,0,E77/E23)</f>
        <v>4632.82591510161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763.44724765339799</v>
      </c>
      <c r="D112" s="744">
        <f>IF(D29=0,0,D77/D29)</f>
        <v>803.05587548095195</v>
      </c>
      <c r="E112" s="744">
        <f>IF(E29=0,0,E77/E29)</f>
        <v>803.51483424521166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3937.4028869181307</v>
      </c>
      <c r="D113" s="744">
        <f>IF(D30=0,0,D77/D30)</f>
        <v>4011.1532072031882</v>
      </c>
      <c r="E113" s="744">
        <f>IF(E30=0,0,E77/E30)</f>
        <v>3890.2113369066192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FILING&amp;R&amp;"Arial,Bold"&amp;12MANCHESTER MEMORIAL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563024416</v>
      </c>
      <c r="D12" s="76">
        <v>601959668</v>
      </c>
      <c r="E12" s="76">
        <f t="shared" ref="E12:E21" si="0">D12-C12</f>
        <v>38935252</v>
      </c>
      <c r="F12" s="77">
        <f t="shared" ref="F12:F21" si="1">IF(C12=0,0,E12/C12)</f>
        <v>6.9153754070942458E-2</v>
      </c>
    </row>
    <row r="13" spans="1:8" ht="23.1" customHeight="1" x14ac:dyDescent="0.2">
      <c r="A13" s="74">
        <v>2</v>
      </c>
      <c r="B13" s="75" t="s">
        <v>72</v>
      </c>
      <c r="C13" s="76">
        <v>383297452</v>
      </c>
      <c r="D13" s="76">
        <v>421521668</v>
      </c>
      <c r="E13" s="76">
        <f t="shared" si="0"/>
        <v>38224216</v>
      </c>
      <c r="F13" s="77">
        <f t="shared" si="1"/>
        <v>9.9724680663935125E-2</v>
      </c>
    </row>
    <row r="14" spans="1:8" ht="23.1" customHeight="1" x14ac:dyDescent="0.2">
      <c r="A14" s="74">
        <v>3</v>
      </c>
      <c r="B14" s="75" t="s">
        <v>73</v>
      </c>
      <c r="C14" s="76">
        <v>3908882</v>
      </c>
      <c r="D14" s="76">
        <v>2411263</v>
      </c>
      <c r="E14" s="76">
        <f t="shared" si="0"/>
        <v>-1497619</v>
      </c>
      <c r="F14" s="77">
        <f t="shared" si="1"/>
        <v>-0.38313231251288732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175818082</v>
      </c>
      <c r="D16" s="79">
        <f>D12-D13-D14-D15</f>
        <v>178026737</v>
      </c>
      <c r="E16" s="79">
        <f t="shared" si="0"/>
        <v>2208655</v>
      </c>
      <c r="F16" s="80">
        <f t="shared" si="1"/>
        <v>1.2562160699716881E-2</v>
      </c>
    </row>
    <row r="17" spans="1:7" ht="23.1" customHeight="1" x14ac:dyDescent="0.2">
      <c r="A17" s="74">
        <v>5</v>
      </c>
      <c r="B17" s="75" t="s">
        <v>76</v>
      </c>
      <c r="C17" s="76">
        <v>5518461</v>
      </c>
      <c r="D17" s="76">
        <v>5822470</v>
      </c>
      <c r="E17" s="76">
        <f t="shared" si="0"/>
        <v>304009</v>
      </c>
      <c r="F17" s="77">
        <f t="shared" si="1"/>
        <v>5.5089453382020821E-2</v>
      </c>
      <c r="G17" s="65"/>
    </row>
    <row r="18" spans="1:7" ht="31.5" customHeight="1" x14ac:dyDescent="0.25">
      <c r="A18" s="71"/>
      <c r="B18" s="81" t="s">
        <v>77</v>
      </c>
      <c r="C18" s="79">
        <f>C16-C17</f>
        <v>170299621</v>
      </c>
      <c r="D18" s="79">
        <f>D16-D17</f>
        <v>172204267</v>
      </c>
      <c r="E18" s="79">
        <f t="shared" si="0"/>
        <v>1904646</v>
      </c>
      <c r="F18" s="80">
        <f t="shared" si="1"/>
        <v>1.1184088307513027E-2</v>
      </c>
    </row>
    <row r="19" spans="1:7" ht="23.1" customHeight="1" x14ac:dyDescent="0.2">
      <c r="A19" s="74">
        <v>6</v>
      </c>
      <c r="B19" s="75" t="s">
        <v>78</v>
      </c>
      <c r="C19" s="76">
        <v>17830492</v>
      </c>
      <c r="D19" s="76">
        <v>16853888</v>
      </c>
      <c r="E19" s="76">
        <f t="shared" si="0"/>
        <v>-976604</v>
      </c>
      <c r="F19" s="77">
        <f t="shared" si="1"/>
        <v>-5.4771567716695647E-2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1458982</v>
      </c>
      <c r="D20" s="76">
        <v>486908</v>
      </c>
      <c r="E20" s="76">
        <f t="shared" si="0"/>
        <v>-972074</v>
      </c>
      <c r="F20" s="77">
        <f t="shared" si="1"/>
        <v>-0.66626867226600461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189589095</v>
      </c>
      <c r="D21" s="79">
        <f>SUM(D18:D20)</f>
        <v>189545063</v>
      </c>
      <c r="E21" s="79">
        <f t="shared" si="0"/>
        <v>-44032</v>
      </c>
      <c r="F21" s="80">
        <f t="shared" si="1"/>
        <v>-2.3224964494925196E-4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83909349</v>
      </c>
      <c r="D24" s="76">
        <v>83606297</v>
      </c>
      <c r="E24" s="76">
        <f t="shared" ref="E24:E33" si="2">D24-C24</f>
        <v>-303052</v>
      </c>
      <c r="F24" s="77">
        <f t="shared" ref="F24:F33" si="3">IF(C24=0,0,E24/C24)</f>
        <v>-3.6116595303343373E-3</v>
      </c>
    </row>
    <row r="25" spans="1:7" ht="23.1" customHeight="1" x14ac:dyDescent="0.2">
      <c r="A25" s="74">
        <v>2</v>
      </c>
      <c r="B25" s="75" t="s">
        <v>83</v>
      </c>
      <c r="C25" s="76">
        <v>27658791</v>
      </c>
      <c r="D25" s="76">
        <v>25720253</v>
      </c>
      <c r="E25" s="76">
        <f t="shared" si="2"/>
        <v>-1938538</v>
      </c>
      <c r="F25" s="77">
        <f t="shared" si="3"/>
        <v>-7.0087589873324543E-2</v>
      </c>
    </row>
    <row r="26" spans="1:7" ht="23.1" customHeight="1" x14ac:dyDescent="0.2">
      <c r="A26" s="74">
        <v>3</v>
      </c>
      <c r="B26" s="75" t="s">
        <v>84</v>
      </c>
      <c r="C26" s="76">
        <v>7801057</v>
      </c>
      <c r="D26" s="76">
        <v>9813958</v>
      </c>
      <c r="E26" s="76">
        <f t="shared" si="2"/>
        <v>2012901</v>
      </c>
      <c r="F26" s="77">
        <f t="shared" si="3"/>
        <v>0.25802926449582408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24978549</v>
      </c>
      <c r="D27" s="76">
        <v>25775974</v>
      </c>
      <c r="E27" s="76">
        <f t="shared" si="2"/>
        <v>797425</v>
      </c>
      <c r="F27" s="77">
        <f t="shared" si="3"/>
        <v>3.1924392405659752E-2</v>
      </c>
    </row>
    <row r="28" spans="1:7" ht="23.1" customHeight="1" x14ac:dyDescent="0.2">
      <c r="A28" s="74">
        <v>5</v>
      </c>
      <c r="B28" s="75" t="s">
        <v>86</v>
      </c>
      <c r="C28" s="76">
        <v>7115302</v>
      </c>
      <c r="D28" s="76">
        <v>7116905</v>
      </c>
      <c r="E28" s="76">
        <f t="shared" si="2"/>
        <v>1603</v>
      </c>
      <c r="F28" s="77">
        <f t="shared" si="3"/>
        <v>2.2528910227563074E-4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2685044</v>
      </c>
      <c r="D30" s="76">
        <v>2589201</v>
      </c>
      <c r="E30" s="76">
        <f t="shared" si="2"/>
        <v>-95843</v>
      </c>
      <c r="F30" s="77">
        <f t="shared" si="3"/>
        <v>-3.5695131997836908E-2</v>
      </c>
    </row>
    <row r="31" spans="1:7" ht="23.1" customHeight="1" x14ac:dyDescent="0.2">
      <c r="A31" s="74">
        <v>8</v>
      </c>
      <c r="B31" s="75" t="s">
        <v>89</v>
      </c>
      <c r="C31" s="76">
        <v>5929317</v>
      </c>
      <c r="D31" s="76">
        <v>2774065</v>
      </c>
      <c r="E31" s="76">
        <f t="shared" si="2"/>
        <v>-3155252</v>
      </c>
      <c r="F31" s="77">
        <f t="shared" si="3"/>
        <v>-0.53214425877381832</v>
      </c>
    </row>
    <row r="32" spans="1:7" ht="23.1" customHeight="1" x14ac:dyDescent="0.2">
      <c r="A32" s="74">
        <v>9</v>
      </c>
      <c r="B32" s="75" t="s">
        <v>90</v>
      </c>
      <c r="C32" s="76">
        <v>28257677</v>
      </c>
      <c r="D32" s="76">
        <v>27912906</v>
      </c>
      <c r="E32" s="76">
        <f t="shared" si="2"/>
        <v>-344771</v>
      </c>
      <c r="F32" s="77">
        <f t="shared" si="3"/>
        <v>-1.2200967545916814E-2</v>
      </c>
    </row>
    <row r="33" spans="1:6" ht="23.1" customHeight="1" x14ac:dyDescent="0.25">
      <c r="A33" s="71"/>
      <c r="B33" s="78" t="s">
        <v>91</v>
      </c>
      <c r="C33" s="79">
        <f>SUM(C24:C32)</f>
        <v>188335086</v>
      </c>
      <c r="D33" s="79">
        <f>SUM(D24:D32)</f>
        <v>185309559</v>
      </c>
      <c r="E33" s="79">
        <f t="shared" si="2"/>
        <v>-3025527</v>
      </c>
      <c r="F33" s="80">
        <f t="shared" si="3"/>
        <v>-1.6064595632488788E-2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1254009</v>
      </c>
      <c r="D35" s="79">
        <f>+D21-D33</f>
        <v>4235504</v>
      </c>
      <c r="E35" s="79">
        <f>D35-C35</f>
        <v>2981495</v>
      </c>
      <c r="F35" s="80">
        <f>IF(C35=0,0,E35/C35)</f>
        <v>2.3775706553940203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2635</v>
      </c>
      <c r="D38" s="76">
        <v>369</v>
      </c>
      <c r="E38" s="76">
        <f>D38-C38</f>
        <v>-2266</v>
      </c>
      <c r="F38" s="77">
        <f>IF(C38=0,0,E38/C38)</f>
        <v>-0.8599620493358634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-1469334</v>
      </c>
      <c r="D40" s="76">
        <v>-1743691</v>
      </c>
      <c r="E40" s="76">
        <f>D40-C40</f>
        <v>-274357</v>
      </c>
      <c r="F40" s="77">
        <f>IF(C40=0,0,E40/C40)</f>
        <v>0.1867220114691418</v>
      </c>
    </row>
    <row r="41" spans="1:6" ht="23.1" customHeight="1" x14ac:dyDescent="0.25">
      <c r="A41" s="83"/>
      <c r="B41" s="78" t="s">
        <v>97</v>
      </c>
      <c r="C41" s="79">
        <f>SUM(C38:C40)</f>
        <v>-1466699</v>
      </c>
      <c r="D41" s="79">
        <f>SUM(D38:D40)</f>
        <v>-1743322</v>
      </c>
      <c r="E41" s="79">
        <f>D41-C41</f>
        <v>-276623</v>
      </c>
      <c r="F41" s="80">
        <f>IF(C41=0,0,E41/C41)</f>
        <v>0.18860243308272523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-212690</v>
      </c>
      <c r="D43" s="79">
        <f>D35+D41</f>
        <v>2492182</v>
      </c>
      <c r="E43" s="79">
        <f>D43-C43</f>
        <v>2704872</v>
      </c>
      <c r="F43" s="80">
        <f>IF(C43=0,0,E43/C43)</f>
        <v>-12.717438525553623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-212690</v>
      </c>
      <c r="D50" s="79">
        <f>D43+D48</f>
        <v>2492182</v>
      </c>
      <c r="E50" s="79">
        <f>D50-C50</f>
        <v>2704872</v>
      </c>
      <c r="F50" s="80">
        <f>IF(C50=0,0,E50/C50)</f>
        <v>-12.717438525553623</v>
      </c>
    </row>
    <row r="51" spans="1:6" ht="23.1" customHeight="1" x14ac:dyDescent="0.2">
      <c r="A51" s="85"/>
      <c r="B51" s="75" t="s">
        <v>104</v>
      </c>
      <c r="C51" s="76">
        <v>10550272</v>
      </c>
      <c r="D51" s="76">
        <v>4145905</v>
      </c>
      <c r="E51" s="76">
        <f>D51-C51</f>
        <v>-6404367</v>
      </c>
      <c r="F51" s="77">
        <f>IF(C51=0,0,E51/C51)</f>
        <v>-0.60703335421115212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FILING&amp;RMANCHESTER MEMORIAL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100616528</v>
      </c>
      <c r="D14" s="113">
        <v>98250346</v>
      </c>
      <c r="E14" s="113">
        <f t="shared" ref="E14:E25" si="0">D14-C14</f>
        <v>-2366182</v>
      </c>
      <c r="F14" s="114">
        <f t="shared" ref="F14:F25" si="1">IF(C14=0,0,E14/C14)</f>
        <v>-2.3516832145112382E-2</v>
      </c>
    </row>
    <row r="15" spans="1:6" x14ac:dyDescent="0.2">
      <c r="A15" s="115">
        <v>2</v>
      </c>
      <c r="B15" s="116" t="s">
        <v>114</v>
      </c>
      <c r="C15" s="113">
        <v>26883131</v>
      </c>
      <c r="D15" s="113">
        <v>27386796</v>
      </c>
      <c r="E15" s="113">
        <f t="shared" si="0"/>
        <v>503665</v>
      </c>
      <c r="F15" s="114">
        <f t="shared" si="1"/>
        <v>1.8735354895975474E-2</v>
      </c>
    </row>
    <row r="16" spans="1:6" x14ac:dyDescent="0.2">
      <c r="A16" s="115">
        <v>3</v>
      </c>
      <c r="B16" s="116" t="s">
        <v>115</v>
      </c>
      <c r="C16" s="113">
        <v>39765242</v>
      </c>
      <c r="D16" s="113">
        <v>47690262</v>
      </c>
      <c r="E16" s="113">
        <f t="shared" si="0"/>
        <v>7925020</v>
      </c>
      <c r="F16" s="114">
        <f t="shared" si="1"/>
        <v>0.19929515328990077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611078</v>
      </c>
      <c r="D18" s="113">
        <v>992558</v>
      </c>
      <c r="E18" s="113">
        <f t="shared" si="0"/>
        <v>381480</v>
      </c>
      <c r="F18" s="114">
        <f t="shared" si="1"/>
        <v>0.62427382429084344</v>
      </c>
    </row>
    <row r="19" spans="1:6" x14ac:dyDescent="0.2">
      <c r="A19" s="115">
        <v>6</v>
      </c>
      <c r="B19" s="116" t="s">
        <v>118</v>
      </c>
      <c r="C19" s="113">
        <v>4809516</v>
      </c>
      <c r="D19" s="113">
        <v>3847789</v>
      </c>
      <c r="E19" s="113">
        <f t="shared" si="0"/>
        <v>-961727</v>
      </c>
      <c r="F19" s="114">
        <f t="shared" si="1"/>
        <v>-0.19996336429694797</v>
      </c>
    </row>
    <row r="20" spans="1:6" x14ac:dyDescent="0.2">
      <c r="A20" s="115">
        <v>7</v>
      </c>
      <c r="B20" s="116" t="s">
        <v>119</v>
      </c>
      <c r="C20" s="113">
        <v>49917941</v>
      </c>
      <c r="D20" s="113">
        <v>52188507</v>
      </c>
      <c r="E20" s="113">
        <f t="shared" si="0"/>
        <v>2270566</v>
      </c>
      <c r="F20" s="114">
        <f t="shared" si="1"/>
        <v>4.5485970665336536E-2</v>
      </c>
    </row>
    <row r="21" spans="1:6" x14ac:dyDescent="0.2">
      <c r="A21" s="115">
        <v>8</v>
      </c>
      <c r="B21" s="116" t="s">
        <v>120</v>
      </c>
      <c r="C21" s="113">
        <v>537893</v>
      </c>
      <c r="D21" s="113">
        <v>368305</v>
      </c>
      <c r="E21" s="113">
        <f t="shared" si="0"/>
        <v>-169588</v>
      </c>
      <c r="F21" s="114">
        <f t="shared" si="1"/>
        <v>-0.31528203564649476</v>
      </c>
    </row>
    <row r="22" spans="1:6" x14ac:dyDescent="0.2">
      <c r="A22" s="115">
        <v>9</v>
      </c>
      <c r="B22" s="116" t="s">
        <v>121</v>
      </c>
      <c r="C22" s="113">
        <v>2371759</v>
      </c>
      <c r="D22" s="113">
        <v>1659376</v>
      </c>
      <c r="E22" s="113">
        <f t="shared" si="0"/>
        <v>-712383</v>
      </c>
      <c r="F22" s="114">
        <f t="shared" si="1"/>
        <v>-0.300360618427083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225513088</v>
      </c>
      <c r="D25" s="119">
        <f>SUM(D14:D24)</f>
        <v>232383939</v>
      </c>
      <c r="E25" s="119">
        <f t="shared" si="0"/>
        <v>6870851</v>
      </c>
      <c r="F25" s="120">
        <f t="shared" si="1"/>
        <v>3.0467637425992764E-2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89323025</v>
      </c>
      <c r="D27" s="113">
        <v>95830567</v>
      </c>
      <c r="E27" s="113">
        <f t="shared" ref="E27:E38" si="2">D27-C27</f>
        <v>6507542</v>
      </c>
      <c r="F27" s="114">
        <f t="shared" ref="F27:F38" si="3">IF(C27=0,0,E27/C27)</f>
        <v>7.2854026159548446E-2</v>
      </c>
    </row>
    <row r="28" spans="1:6" x14ac:dyDescent="0.2">
      <c r="A28" s="115">
        <v>2</v>
      </c>
      <c r="B28" s="116" t="s">
        <v>114</v>
      </c>
      <c r="C28" s="113">
        <v>29342478</v>
      </c>
      <c r="D28" s="113">
        <v>35157928</v>
      </c>
      <c r="E28" s="113">
        <f t="shared" si="2"/>
        <v>5815450</v>
      </c>
      <c r="F28" s="114">
        <f t="shared" si="3"/>
        <v>0.19819219085722753</v>
      </c>
    </row>
    <row r="29" spans="1:6" x14ac:dyDescent="0.2">
      <c r="A29" s="115">
        <v>3</v>
      </c>
      <c r="B29" s="116" t="s">
        <v>115</v>
      </c>
      <c r="C29" s="113">
        <v>64243785</v>
      </c>
      <c r="D29" s="113">
        <v>78735429</v>
      </c>
      <c r="E29" s="113">
        <f t="shared" si="2"/>
        <v>14491644</v>
      </c>
      <c r="F29" s="114">
        <f t="shared" si="3"/>
        <v>0.22557269936695043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1104979</v>
      </c>
      <c r="D31" s="113">
        <v>1603026</v>
      </c>
      <c r="E31" s="113">
        <f t="shared" si="2"/>
        <v>498047</v>
      </c>
      <c r="F31" s="114">
        <f t="shared" si="3"/>
        <v>0.4507298328746519</v>
      </c>
    </row>
    <row r="32" spans="1:6" x14ac:dyDescent="0.2">
      <c r="A32" s="115">
        <v>6</v>
      </c>
      <c r="B32" s="116" t="s">
        <v>118</v>
      </c>
      <c r="C32" s="113">
        <v>7487267</v>
      </c>
      <c r="D32" s="113">
        <v>6789832</v>
      </c>
      <c r="E32" s="113">
        <f t="shared" si="2"/>
        <v>-697435</v>
      </c>
      <c r="F32" s="114">
        <f t="shared" si="3"/>
        <v>-9.3149476304237575E-2</v>
      </c>
    </row>
    <row r="33" spans="1:6" x14ac:dyDescent="0.2">
      <c r="A33" s="115">
        <v>7</v>
      </c>
      <c r="B33" s="116" t="s">
        <v>119</v>
      </c>
      <c r="C33" s="113">
        <v>133374443</v>
      </c>
      <c r="D33" s="113">
        <v>139621995</v>
      </c>
      <c r="E33" s="113">
        <f t="shared" si="2"/>
        <v>6247552</v>
      </c>
      <c r="F33" s="114">
        <f t="shared" si="3"/>
        <v>4.6842197496562363E-2</v>
      </c>
    </row>
    <row r="34" spans="1:6" x14ac:dyDescent="0.2">
      <c r="A34" s="115">
        <v>8</v>
      </c>
      <c r="B34" s="116" t="s">
        <v>120</v>
      </c>
      <c r="C34" s="113">
        <v>5190703</v>
      </c>
      <c r="D34" s="113">
        <v>4948441</v>
      </c>
      <c r="E34" s="113">
        <f t="shared" si="2"/>
        <v>-242262</v>
      </c>
      <c r="F34" s="114">
        <f t="shared" si="3"/>
        <v>-4.6672290824576169E-2</v>
      </c>
    </row>
    <row r="35" spans="1:6" x14ac:dyDescent="0.2">
      <c r="A35" s="115">
        <v>9</v>
      </c>
      <c r="B35" s="116" t="s">
        <v>121</v>
      </c>
      <c r="C35" s="113">
        <v>7444649</v>
      </c>
      <c r="D35" s="113">
        <v>6888511</v>
      </c>
      <c r="E35" s="113">
        <f t="shared" si="2"/>
        <v>-556138</v>
      </c>
      <c r="F35" s="114">
        <f t="shared" si="3"/>
        <v>-7.4703051816143382E-2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337511329</v>
      </c>
      <c r="D38" s="119">
        <f>SUM(D27:D37)</f>
        <v>369575729</v>
      </c>
      <c r="E38" s="119">
        <f t="shared" si="2"/>
        <v>32064400</v>
      </c>
      <c r="F38" s="120">
        <f t="shared" si="3"/>
        <v>9.5002440643999833E-2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189939553</v>
      </c>
      <c r="D41" s="119">
        <f t="shared" si="4"/>
        <v>194080913</v>
      </c>
      <c r="E41" s="123">
        <f t="shared" ref="E41:E52" si="5">D41-C41</f>
        <v>4141360</v>
      </c>
      <c r="F41" s="124">
        <f t="shared" ref="F41:F52" si="6">IF(C41=0,0,E41/C41)</f>
        <v>2.1803568212040596E-2</v>
      </c>
    </row>
    <row r="42" spans="1:6" ht="15.75" x14ac:dyDescent="0.25">
      <c r="A42" s="121">
        <v>2</v>
      </c>
      <c r="B42" s="122" t="s">
        <v>114</v>
      </c>
      <c r="C42" s="119">
        <f t="shared" si="4"/>
        <v>56225609</v>
      </c>
      <c r="D42" s="119">
        <f t="shared" si="4"/>
        <v>62544724</v>
      </c>
      <c r="E42" s="123">
        <f t="shared" si="5"/>
        <v>6319115</v>
      </c>
      <c r="F42" s="124">
        <f t="shared" si="6"/>
        <v>0.1123885558980784</v>
      </c>
    </row>
    <row r="43" spans="1:6" ht="15.75" x14ac:dyDescent="0.25">
      <c r="A43" s="121">
        <v>3</v>
      </c>
      <c r="B43" s="122" t="s">
        <v>115</v>
      </c>
      <c r="C43" s="119">
        <f t="shared" si="4"/>
        <v>104009027</v>
      </c>
      <c r="D43" s="119">
        <f t="shared" si="4"/>
        <v>126425691</v>
      </c>
      <c r="E43" s="123">
        <f t="shared" si="5"/>
        <v>22416664</v>
      </c>
      <c r="F43" s="124">
        <f t="shared" si="6"/>
        <v>0.21552613889946304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1716057</v>
      </c>
      <c r="D45" s="119">
        <f t="shared" si="4"/>
        <v>2595584</v>
      </c>
      <c r="E45" s="123">
        <f t="shared" si="5"/>
        <v>879527</v>
      </c>
      <c r="F45" s="124">
        <f t="shared" si="6"/>
        <v>0.51252784726847656</v>
      </c>
    </row>
    <row r="46" spans="1:6" ht="15.75" x14ac:dyDescent="0.25">
      <c r="A46" s="121">
        <v>6</v>
      </c>
      <c r="B46" s="122" t="s">
        <v>118</v>
      </c>
      <c r="C46" s="119">
        <f t="shared" si="4"/>
        <v>12296783</v>
      </c>
      <c r="D46" s="119">
        <f t="shared" si="4"/>
        <v>10637621</v>
      </c>
      <c r="E46" s="123">
        <f t="shared" si="5"/>
        <v>-1659162</v>
      </c>
      <c r="F46" s="124">
        <f t="shared" si="6"/>
        <v>-0.13492650882755269</v>
      </c>
    </row>
    <row r="47" spans="1:6" ht="15.75" x14ac:dyDescent="0.25">
      <c r="A47" s="121">
        <v>7</v>
      </c>
      <c r="B47" s="122" t="s">
        <v>119</v>
      </c>
      <c r="C47" s="119">
        <f t="shared" si="4"/>
        <v>183292384</v>
      </c>
      <c r="D47" s="119">
        <f t="shared" si="4"/>
        <v>191810502</v>
      </c>
      <c r="E47" s="123">
        <f t="shared" si="5"/>
        <v>8518118</v>
      </c>
      <c r="F47" s="124">
        <f t="shared" si="6"/>
        <v>4.6472841992169188E-2</v>
      </c>
    </row>
    <row r="48" spans="1:6" ht="15.75" x14ac:dyDescent="0.25">
      <c r="A48" s="121">
        <v>8</v>
      </c>
      <c r="B48" s="122" t="s">
        <v>120</v>
      </c>
      <c r="C48" s="119">
        <f t="shared" si="4"/>
        <v>5728596</v>
      </c>
      <c r="D48" s="119">
        <f t="shared" si="4"/>
        <v>5316746</v>
      </c>
      <c r="E48" s="123">
        <f t="shared" si="5"/>
        <v>-411850</v>
      </c>
      <c r="F48" s="124">
        <f t="shared" si="6"/>
        <v>-7.1893706590585194E-2</v>
      </c>
    </row>
    <row r="49" spans="1:6" ht="15.75" x14ac:dyDescent="0.25">
      <c r="A49" s="121">
        <v>9</v>
      </c>
      <c r="B49" s="122" t="s">
        <v>121</v>
      </c>
      <c r="C49" s="119">
        <f t="shared" si="4"/>
        <v>9816408</v>
      </c>
      <c r="D49" s="119">
        <f t="shared" si="4"/>
        <v>8547887</v>
      </c>
      <c r="E49" s="123">
        <f t="shared" si="5"/>
        <v>-1268521</v>
      </c>
      <c r="F49" s="124">
        <f t="shared" si="6"/>
        <v>-0.12922455953338532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563024417</v>
      </c>
      <c r="D52" s="128">
        <f>SUM(D41:D51)</f>
        <v>601959668</v>
      </c>
      <c r="E52" s="127">
        <f t="shared" si="5"/>
        <v>38935251</v>
      </c>
      <c r="F52" s="129">
        <f t="shared" si="6"/>
        <v>6.9153752171995056E-2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30252640</v>
      </c>
      <c r="D57" s="113">
        <v>29397293</v>
      </c>
      <c r="E57" s="113">
        <f t="shared" ref="E57:E68" si="7">D57-C57</f>
        <v>-855347</v>
      </c>
      <c r="F57" s="114">
        <f t="shared" ref="F57:F68" si="8">IF(C57=0,0,E57/C57)</f>
        <v>-2.827346638177693E-2</v>
      </c>
    </row>
    <row r="58" spans="1:6" x14ac:dyDescent="0.2">
      <c r="A58" s="115">
        <v>2</v>
      </c>
      <c r="B58" s="116" t="s">
        <v>114</v>
      </c>
      <c r="C58" s="113">
        <v>7573664</v>
      </c>
      <c r="D58" s="113">
        <v>7603378</v>
      </c>
      <c r="E58" s="113">
        <f t="shared" si="7"/>
        <v>29714</v>
      </c>
      <c r="F58" s="114">
        <f t="shared" si="8"/>
        <v>3.9233322207058562E-3</v>
      </c>
    </row>
    <row r="59" spans="1:6" x14ac:dyDescent="0.2">
      <c r="A59" s="115">
        <v>3</v>
      </c>
      <c r="B59" s="116" t="s">
        <v>115</v>
      </c>
      <c r="C59" s="113">
        <v>11500711</v>
      </c>
      <c r="D59" s="113">
        <v>12454005</v>
      </c>
      <c r="E59" s="113">
        <f t="shared" si="7"/>
        <v>953294</v>
      </c>
      <c r="F59" s="114">
        <f t="shared" si="8"/>
        <v>8.2890005670084227E-2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355811</v>
      </c>
      <c r="D61" s="113">
        <v>327784</v>
      </c>
      <c r="E61" s="113">
        <f t="shared" si="7"/>
        <v>-28027</v>
      </c>
      <c r="F61" s="114">
        <f t="shared" si="8"/>
        <v>-7.8769346647517918E-2</v>
      </c>
    </row>
    <row r="62" spans="1:6" x14ac:dyDescent="0.2">
      <c r="A62" s="115">
        <v>6</v>
      </c>
      <c r="B62" s="116" t="s">
        <v>118</v>
      </c>
      <c r="C62" s="113">
        <v>1516954</v>
      </c>
      <c r="D62" s="113">
        <v>992567</v>
      </c>
      <c r="E62" s="113">
        <f t="shared" si="7"/>
        <v>-524387</v>
      </c>
      <c r="F62" s="114">
        <f t="shared" si="8"/>
        <v>-0.34568418027178149</v>
      </c>
    </row>
    <row r="63" spans="1:6" x14ac:dyDescent="0.2">
      <c r="A63" s="115">
        <v>7</v>
      </c>
      <c r="B63" s="116" t="s">
        <v>119</v>
      </c>
      <c r="C63" s="113">
        <v>24971890</v>
      </c>
      <c r="D63" s="113">
        <v>24541423</v>
      </c>
      <c r="E63" s="113">
        <f t="shared" si="7"/>
        <v>-430467</v>
      </c>
      <c r="F63" s="114">
        <f t="shared" si="8"/>
        <v>-1.7238062477449644E-2</v>
      </c>
    </row>
    <row r="64" spans="1:6" x14ac:dyDescent="0.2">
      <c r="A64" s="115">
        <v>8</v>
      </c>
      <c r="B64" s="116" t="s">
        <v>120</v>
      </c>
      <c r="C64" s="113">
        <v>246081</v>
      </c>
      <c r="D64" s="113">
        <v>148644</v>
      </c>
      <c r="E64" s="113">
        <f t="shared" si="7"/>
        <v>-97437</v>
      </c>
      <c r="F64" s="114">
        <f t="shared" si="8"/>
        <v>-0.39595499042998039</v>
      </c>
    </row>
    <row r="65" spans="1:6" x14ac:dyDescent="0.2">
      <c r="A65" s="115">
        <v>9</v>
      </c>
      <c r="B65" s="116" t="s">
        <v>121</v>
      </c>
      <c r="C65" s="113">
        <v>78971</v>
      </c>
      <c r="D65" s="113">
        <v>71650</v>
      </c>
      <c r="E65" s="113">
        <f t="shared" si="7"/>
        <v>-7321</v>
      </c>
      <c r="F65" s="114">
        <f t="shared" si="8"/>
        <v>-9.2704916994846204E-2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76496722</v>
      </c>
      <c r="D68" s="119">
        <f>SUM(D57:D67)</f>
        <v>75536744</v>
      </c>
      <c r="E68" s="119">
        <f t="shared" si="7"/>
        <v>-959978</v>
      </c>
      <c r="F68" s="120">
        <f t="shared" si="8"/>
        <v>-1.2549269758251864E-2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17036868</v>
      </c>
      <c r="D70" s="113">
        <v>18831467</v>
      </c>
      <c r="E70" s="113">
        <f t="shared" ref="E70:E81" si="9">D70-C70</f>
        <v>1794599</v>
      </c>
      <c r="F70" s="114">
        <f t="shared" ref="F70:F81" si="10">IF(C70=0,0,E70/C70)</f>
        <v>0.10533620381398741</v>
      </c>
    </row>
    <row r="71" spans="1:6" x14ac:dyDescent="0.2">
      <c r="A71" s="115">
        <v>2</v>
      </c>
      <c r="B71" s="116" t="s">
        <v>114</v>
      </c>
      <c r="C71" s="113">
        <v>5643944</v>
      </c>
      <c r="D71" s="113">
        <v>6860394</v>
      </c>
      <c r="E71" s="113">
        <f t="shared" si="9"/>
        <v>1216450</v>
      </c>
      <c r="F71" s="114">
        <f t="shared" si="10"/>
        <v>0.21553190463973421</v>
      </c>
    </row>
    <row r="72" spans="1:6" x14ac:dyDescent="0.2">
      <c r="A72" s="115">
        <v>3</v>
      </c>
      <c r="B72" s="116" t="s">
        <v>115</v>
      </c>
      <c r="C72" s="113">
        <v>11751049</v>
      </c>
      <c r="D72" s="113">
        <v>14833196</v>
      </c>
      <c r="E72" s="113">
        <f t="shared" si="9"/>
        <v>3082147</v>
      </c>
      <c r="F72" s="114">
        <f t="shared" si="10"/>
        <v>0.26228696689121117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292998</v>
      </c>
      <c r="D74" s="113">
        <v>329314</v>
      </c>
      <c r="E74" s="113">
        <f t="shared" si="9"/>
        <v>36316</v>
      </c>
      <c r="F74" s="114">
        <f t="shared" si="10"/>
        <v>0.12394623854087741</v>
      </c>
    </row>
    <row r="75" spans="1:6" x14ac:dyDescent="0.2">
      <c r="A75" s="115">
        <v>6</v>
      </c>
      <c r="B75" s="116" t="s">
        <v>118</v>
      </c>
      <c r="C75" s="113">
        <v>3169509</v>
      </c>
      <c r="D75" s="113">
        <v>2502270</v>
      </c>
      <c r="E75" s="113">
        <f t="shared" si="9"/>
        <v>-667239</v>
      </c>
      <c r="F75" s="114">
        <f t="shared" si="10"/>
        <v>-0.21051809602055083</v>
      </c>
    </row>
    <row r="76" spans="1:6" x14ac:dyDescent="0.2">
      <c r="A76" s="115">
        <v>7</v>
      </c>
      <c r="B76" s="116" t="s">
        <v>119</v>
      </c>
      <c r="C76" s="113">
        <v>55945278</v>
      </c>
      <c r="D76" s="113">
        <v>54275831</v>
      </c>
      <c r="E76" s="113">
        <f t="shared" si="9"/>
        <v>-1669447</v>
      </c>
      <c r="F76" s="114">
        <f t="shared" si="10"/>
        <v>-2.9840713276998998E-2</v>
      </c>
    </row>
    <row r="77" spans="1:6" x14ac:dyDescent="0.2">
      <c r="A77" s="115">
        <v>8</v>
      </c>
      <c r="B77" s="116" t="s">
        <v>120</v>
      </c>
      <c r="C77" s="113">
        <v>2086730</v>
      </c>
      <c r="D77" s="113">
        <v>2594612</v>
      </c>
      <c r="E77" s="113">
        <f t="shared" si="9"/>
        <v>507882</v>
      </c>
      <c r="F77" s="114">
        <f t="shared" si="10"/>
        <v>0.24338654258097597</v>
      </c>
    </row>
    <row r="78" spans="1:6" x14ac:dyDescent="0.2">
      <c r="A78" s="115">
        <v>9</v>
      </c>
      <c r="B78" s="116" t="s">
        <v>121</v>
      </c>
      <c r="C78" s="113">
        <v>397739</v>
      </c>
      <c r="D78" s="113">
        <v>337348</v>
      </c>
      <c r="E78" s="113">
        <f t="shared" si="9"/>
        <v>-60391</v>
      </c>
      <c r="F78" s="114">
        <f t="shared" si="10"/>
        <v>-0.15183575158583895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96324115</v>
      </c>
      <c r="D81" s="119">
        <f>SUM(D70:D80)</f>
        <v>100564432</v>
      </c>
      <c r="E81" s="119">
        <f t="shared" si="9"/>
        <v>4240317</v>
      </c>
      <c r="F81" s="120">
        <f t="shared" si="10"/>
        <v>4.4021343980165301E-2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47289508</v>
      </c>
      <c r="D84" s="119">
        <f t="shared" si="11"/>
        <v>48228760</v>
      </c>
      <c r="E84" s="119">
        <f t="shared" ref="E84:E95" si="12">D84-C84</f>
        <v>939252</v>
      </c>
      <c r="F84" s="120">
        <f t="shared" ref="F84:F95" si="13">IF(C84=0,0,E84/C84)</f>
        <v>1.9861741847684269E-2</v>
      </c>
    </row>
    <row r="85" spans="1:6" ht="15.75" x14ac:dyDescent="0.25">
      <c r="A85" s="130">
        <v>2</v>
      </c>
      <c r="B85" s="122" t="s">
        <v>114</v>
      </c>
      <c r="C85" s="119">
        <f t="shared" si="11"/>
        <v>13217608</v>
      </c>
      <c r="D85" s="119">
        <f t="shared" si="11"/>
        <v>14463772</v>
      </c>
      <c r="E85" s="119">
        <f t="shared" si="12"/>
        <v>1246164</v>
      </c>
      <c r="F85" s="120">
        <f t="shared" si="13"/>
        <v>9.4280599031231677E-2</v>
      </c>
    </row>
    <row r="86" spans="1:6" ht="15.75" x14ac:dyDescent="0.25">
      <c r="A86" s="130">
        <v>3</v>
      </c>
      <c r="B86" s="122" t="s">
        <v>115</v>
      </c>
      <c r="C86" s="119">
        <f t="shared" si="11"/>
        <v>23251760</v>
      </c>
      <c r="D86" s="119">
        <f t="shared" si="11"/>
        <v>27287201</v>
      </c>
      <c r="E86" s="119">
        <f t="shared" si="12"/>
        <v>4035441</v>
      </c>
      <c r="F86" s="120">
        <f t="shared" si="13"/>
        <v>0.1735542169711024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648809</v>
      </c>
      <c r="D88" s="119">
        <f t="shared" si="11"/>
        <v>657098</v>
      </c>
      <c r="E88" s="119">
        <f t="shared" si="12"/>
        <v>8289</v>
      </c>
      <c r="F88" s="120">
        <f t="shared" si="13"/>
        <v>1.2775716736358467E-2</v>
      </c>
    </row>
    <row r="89" spans="1:6" ht="15.75" x14ac:dyDescent="0.25">
      <c r="A89" s="130">
        <v>6</v>
      </c>
      <c r="B89" s="122" t="s">
        <v>118</v>
      </c>
      <c r="C89" s="119">
        <f t="shared" si="11"/>
        <v>4686463</v>
      </c>
      <c r="D89" s="119">
        <f t="shared" si="11"/>
        <v>3494837</v>
      </c>
      <c r="E89" s="119">
        <f t="shared" si="12"/>
        <v>-1191626</v>
      </c>
      <c r="F89" s="120">
        <f t="shared" si="13"/>
        <v>-0.25426979792649596</v>
      </c>
    </row>
    <row r="90" spans="1:6" ht="15.75" x14ac:dyDescent="0.25">
      <c r="A90" s="130">
        <v>7</v>
      </c>
      <c r="B90" s="122" t="s">
        <v>119</v>
      </c>
      <c r="C90" s="119">
        <f t="shared" si="11"/>
        <v>80917168</v>
      </c>
      <c r="D90" s="119">
        <f t="shared" si="11"/>
        <v>78817254</v>
      </c>
      <c r="E90" s="119">
        <f t="shared" si="12"/>
        <v>-2099914</v>
      </c>
      <c r="F90" s="120">
        <f t="shared" si="13"/>
        <v>-2.5951402550321582E-2</v>
      </c>
    </row>
    <row r="91" spans="1:6" ht="15.75" x14ac:dyDescent="0.25">
      <c r="A91" s="130">
        <v>8</v>
      </c>
      <c r="B91" s="122" t="s">
        <v>120</v>
      </c>
      <c r="C91" s="119">
        <f t="shared" si="11"/>
        <v>2332811</v>
      </c>
      <c r="D91" s="119">
        <f t="shared" si="11"/>
        <v>2743256</v>
      </c>
      <c r="E91" s="119">
        <f t="shared" si="12"/>
        <v>410445</v>
      </c>
      <c r="F91" s="120">
        <f t="shared" si="13"/>
        <v>0.17594438640764296</v>
      </c>
    </row>
    <row r="92" spans="1:6" ht="15.75" x14ac:dyDescent="0.25">
      <c r="A92" s="130">
        <v>9</v>
      </c>
      <c r="B92" s="122" t="s">
        <v>121</v>
      </c>
      <c r="C92" s="119">
        <f t="shared" si="11"/>
        <v>476710</v>
      </c>
      <c r="D92" s="119">
        <f t="shared" si="11"/>
        <v>408998</v>
      </c>
      <c r="E92" s="119">
        <f t="shared" si="12"/>
        <v>-67712</v>
      </c>
      <c r="F92" s="120">
        <f t="shared" si="13"/>
        <v>-0.14204023410459188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172820837</v>
      </c>
      <c r="D95" s="128">
        <f>SUM(D84:D94)</f>
        <v>176101176</v>
      </c>
      <c r="E95" s="128">
        <f t="shared" si="12"/>
        <v>3280339</v>
      </c>
      <c r="F95" s="129">
        <f t="shared" si="13"/>
        <v>1.8981154454193506E-2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3013</v>
      </c>
      <c r="D100" s="133">
        <v>2876</v>
      </c>
      <c r="E100" s="133">
        <f t="shared" ref="E100:E111" si="14">D100-C100</f>
        <v>-137</v>
      </c>
      <c r="F100" s="114">
        <f t="shared" ref="F100:F111" si="15">IF(C100=0,0,E100/C100)</f>
        <v>-4.5469631596415531E-2</v>
      </c>
    </row>
    <row r="101" spans="1:6" x14ac:dyDescent="0.2">
      <c r="A101" s="115">
        <v>2</v>
      </c>
      <c r="B101" s="116" t="s">
        <v>114</v>
      </c>
      <c r="C101" s="133">
        <v>808</v>
      </c>
      <c r="D101" s="133">
        <v>800</v>
      </c>
      <c r="E101" s="133">
        <f t="shared" si="14"/>
        <v>-8</v>
      </c>
      <c r="F101" s="114">
        <f t="shared" si="15"/>
        <v>-9.9009900990099011E-3</v>
      </c>
    </row>
    <row r="102" spans="1:6" x14ac:dyDescent="0.2">
      <c r="A102" s="115">
        <v>3</v>
      </c>
      <c r="B102" s="116" t="s">
        <v>115</v>
      </c>
      <c r="C102" s="133">
        <v>2085</v>
      </c>
      <c r="D102" s="133">
        <v>2180</v>
      </c>
      <c r="E102" s="133">
        <f t="shared" si="14"/>
        <v>95</v>
      </c>
      <c r="F102" s="114">
        <f t="shared" si="15"/>
        <v>4.5563549160671464E-2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41</v>
      </c>
      <c r="D104" s="133">
        <v>40</v>
      </c>
      <c r="E104" s="133">
        <f t="shared" si="14"/>
        <v>-1</v>
      </c>
      <c r="F104" s="114">
        <f t="shared" si="15"/>
        <v>-2.4390243902439025E-2</v>
      </c>
    </row>
    <row r="105" spans="1:6" x14ac:dyDescent="0.2">
      <c r="A105" s="115">
        <v>6</v>
      </c>
      <c r="B105" s="116" t="s">
        <v>118</v>
      </c>
      <c r="C105" s="133">
        <v>215</v>
      </c>
      <c r="D105" s="133">
        <v>146</v>
      </c>
      <c r="E105" s="133">
        <f t="shared" si="14"/>
        <v>-69</v>
      </c>
      <c r="F105" s="114">
        <f t="shared" si="15"/>
        <v>-0.32093023255813952</v>
      </c>
    </row>
    <row r="106" spans="1:6" x14ac:dyDescent="0.2">
      <c r="A106" s="115">
        <v>7</v>
      </c>
      <c r="B106" s="116" t="s">
        <v>119</v>
      </c>
      <c r="C106" s="133">
        <v>2945</v>
      </c>
      <c r="D106" s="133">
        <v>2952</v>
      </c>
      <c r="E106" s="133">
        <f t="shared" si="14"/>
        <v>7</v>
      </c>
      <c r="F106" s="114">
        <f t="shared" si="15"/>
        <v>2.3769100169779285E-3</v>
      </c>
    </row>
    <row r="107" spans="1:6" x14ac:dyDescent="0.2">
      <c r="A107" s="115">
        <v>8</v>
      </c>
      <c r="B107" s="116" t="s">
        <v>120</v>
      </c>
      <c r="C107" s="133">
        <v>17</v>
      </c>
      <c r="D107" s="133">
        <v>15</v>
      </c>
      <c r="E107" s="133">
        <f t="shared" si="14"/>
        <v>-2</v>
      </c>
      <c r="F107" s="114">
        <f t="shared" si="15"/>
        <v>-0.11764705882352941</v>
      </c>
    </row>
    <row r="108" spans="1:6" x14ac:dyDescent="0.2">
      <c r="A108" s="115">
        <v>9</v>
      </c>
      <c r="B108" s="116" t="s">
        <v>121</v>
      </c>
      <c r="C108" s="133">
        <v>218</v>
      </c>
      <c r="D108" s="133">
        <v>101</v>
      </c>
      <c r="E108" s="133">
        <f t="shared" si="14"/>
        <v>-117</v>
      </c>
      <c r="F108" s="114">
        <f t="shared" si="15"/>
        <v>-0.53669724770642202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9342</v>
      </c>
      <c r="D111" s="134">
        <f>SUM(D100:D110)</f>
        <v>9110</v>
      </c>
      <c r="E111" s="134">
        <f t="shared" si="14"/>
        <v>-232</v>
      </c>
      <c r="F111" s="120">
        <f t="shared" si="15"/>
        <v>-2.4834082637550846E-2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18617</v>
      </c>
      <c r="D113" s="133">
        <v>16620</v>
      </c>
      <c r="E113" s="133">
        <f t="shared" ref="E113:E124" si="16">D113-C113</f>
        <v>-1997</v>
      </c>
      <c r="F113" s="114">
        <f t="shared" ref="F113:F124" si="17">IF(C113=0,0,E113/C113)</f>
        <v>-0.10726755116291561</v>
      </c>
    </row>
    <row r="114" spans="1:6" x14ac:dyDescent="0.2">
      <c r="A114" s="115">
        <v>2</v>
      </c>
      <c r="B114" s="116" t="s">
        <v>114</v>
      </c>
      <c r="C114" s="133">
        <v>4572</v>
      </c>
      <c r="D114" s="133">
        <v>4487</v>
      </c>
      <c r="E114" s="133">
        <f t="shared" si="16"/>
        <v>-85</v>
      </c>
      <c r="F114" s="114">
        <f t="shared" si="17"/>
        <v>-1.8591426071741031E-2</v>
      </c>
    </row>
    <row r="115" spans="1:6" x14ac:dyDescent="0.2">
      <c r="A115" s="115">
        <v>3</v>
      </c>
      <c r="B115" s="116" t="s">
        <v>115</v>
      </c>
      <c r="C115" s="133">
        <v>10174</v>
      </c>
      <c r="D115" s="133">
        <v>11034</v>
      </c>
      <c r="E115" s="133">
        <f t="shared" si="16"/>
        <v>860</v>
      </c>
      <c r="F115" s="114">
        <f t="shared" si="17"/>
        <v>8.4529192058187541E-2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149</v>
      </c>
      <c r="D117" s="133">
        <v>211</v>
      </c>
      <c r="E117" s="133">
        <f t="shared" si="16"/>
        <v>62</v>
      </c>
      <c r="F117" s="114">
        <f t="shared" si="17"/>
        <v>0.41610738255033558</v>
      </c>
    </row>
    <row r="118" spans="1:6" x14ac:dyDescent="0.2">
      <c r="A118" s="115">
        <v>6</v>
      </c>
      <c r="B118" s="116" t="s">
        <v>118</v>
      </c>
      <c r="C118" s="133">
        <v>992</v>
      </c>
      <c r="D118" s="133">
        <v>551</v>
      </c>
      <c r="E118" s="133">
        <f t="shared" si="16"/>
        <v>-441</v>
      </c>
      <c r="F118" s="114">
        <f t="shared" si="17"/>
        <v>-0.44455645161290325</v>
      </c>
    </row>
    <row r="119" spans="1:6" x14ac:dyDescent="0.2">
      <c r="A119" s="115">
        <v>7</v>
      </c>
      <c r="B119" s="116" t="s">
        <v>119</v>
      </c>
      <c r="C119" s="133">
        <v>11025</v>
      </c>
      <c r="D119" s="133">
        <v>10727</v>
      </c>
      <c r="E119" s="133">
        <f t="shared" si="16"/>
        <v>-298</v>
      </c>
      <c r="F119" s="114">
        <f t="shared" si="17"/>
        <v>-2.7029478458049885E-2</v>
      </c>
    </row>
    <row r="120" spans="1:6" x14ac:dyDescent="0.2">
      <c r="A120" s="115">
        <v>8</v>
      </c>
      <c r="B120" s="116" t="s">
        <v>120</v>
      </c>
      <c r="C120" s="133">
        <v>56</v>
      </c>
      <c r="D120" s="133">
        <v>44</v>
      </c>
      <c r="E120" s="133">
        <f t="shared" si="16"/>
        <v>-12</v>
      </c>
      <c r="F120" s="114">
        <f t="shared" si="17"/>
        <v>-0.21428571428571427</v>
      </c>
    </row>
    <row r="121" spans="1:6" x14ac:dyDescent="0.2">
      <c r="A121" s="115">
        <v>9</v>
      </c>
      <c r="B121" s="116" t="s">
        <v>121</v>
      </c>
      <c r="C121" s="133">
        <v>1077</v>
      </c>
      <c r="D121" s="133">
        <v>432</v>
      </c>
      <c r="E121" s="133">
        <f t="shared" si="16"/>
        <v>-645</v>
      </c>
      <c r="F121" s="114">
        <f t="shared" si="17"/>
        <v>-0.59888579387186625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46662</v>
      </c>
      <c r="D124" s="134">
        <f>SUM(D113:D123)</f>
        <v>44106</v>
      </c>
      <c r="E124" s="134">
        <f t="shared" si="16"/>
        <v>-2556</v>
      </c>
      <c r="F124" s="120">
        <f t="shared" si="17"/>
        <v>-5.4776906262054774E-2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84871</v>
      </c>
      <c r="D126" s="133">
        <v>75046</v>
      </c>
      <c r="E126" s="133">
        <f t="shared" ref="E126:E137" si="18">D126-C126</f>
        <v>-9825</v>
      </c>
      <c r="F126" s="114">
        <f t="shared" ref="F126:F137" si="19">IF(C126=0,0,E126/C126)</f>
        <v>-0.11576392407300491</v>
      </c>
    </row>
    <row r="127" spans="1:6" x14ac:dyDescent="0.2">
      <c r="A127" s="115">
        <v>2</v>
      </c>
      <c r="B127" s="116" t="s">
        <v>114</v>
      </c>
      <c r="C127" s="133">
        <v>26781</v>
      </c>
      <c r="D127" s="133">
        <v>26447</v>
      </c>
      <c r="E127" s="133">
        <f t="shared" si="18"/>
        <v>-334</v>
      </c>
      <c r="F127" s="114">
        <f t="shared" si="19"/>
        <v>-1.2471528322318062E-2</v>
      </c>
    </row>
    <row r="128" spans="1:6" x14ac:dyDescent="0.2">
      <c r="A128" s="115">
        <v>3</v>
      </c>
      <c r="B128" s="116" t="s">
        <v>115</v>
      </c>
      <c r="C128" s="133">
        <v>38721</v>
      </c>
      <c r="D128" s="133">
        <v>38882</v>
      </c>
      <c r="E128" s="133">
        <f t="shared" si="18"/>
        <v>161</v>
      </c>
      <c r="F128" s="114">
        <f t="shared" si="19"/>
        <v>4.1579504661553163E-3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956</v>
      </c>
      <c r="D130" s="133">
        <v>952</v>
      </c>
      <c r="E130" s="133">
        <f t="shared" si="18"/>
        <v>-4</v>
      </c>
      <c r="F130" s="114">
        <f t="shared" si="19"/>
        <v>-4.1841004184100415E-3</v>
      </c>
    </row>
    <row r="131" spans="1:6" x14ac:dyDescent="0.2">
      <c r="A131" s="115">
        <v>6</v>
      </c>
      <c r="B131" s="116" t="s">
        <v>118</v>
      </c>
      <c r="C131" s="133">
        <v>4538</v>
      </c>
      <c r="D131" s="133">
        <v>2551</v>
      </c>
      <c r="E131" s="133">
        <f t="shared" si="18"/>
        <v>-1987</v>
      </c>
      <c r="F131" s="114">
        <f t="shared" si="19"/>
        <v>-0.43785808726311148</v>
      </c>
    </row>
    <row r="132" spans="1:6" x14ac:dyDescent="0.2">
      <c r="A132" s="115">
        <v>7</v>
      </c>
      <c r="B132" s="116" t="s">
        <v>119</v>
      </c>
      <c r="C132" s="133">
        <v>103729</v>
      </c>
      <c r="D132" s="133">
        <v>93800</v>
      </c>
      <c r="E132" s="133">
        <f t="shared" si="18"/>
        <v>-9929</v>
      </c>
      <c r="F132" s="114">
        <f t="shared" si="19"/>
        <v>-9.5720579587193558E-2</v>
      </c>
    </row>
    <row r="133" spans="1:6" x14ac:dyDescent="0.2">
      <c r="A133" s="115">
        <v>8</v>
      </c>
      <c r="B133" s="116" t="s">
        <v>120</v>
      </c>
      <c r="C133" s="133">
        <v>1813</v>
      </c>
      <c r="D133" s="133">
        <v>1474</v>
      </c>
      <c r="E133" s="133">
        <f t="shared" si="18"/>
        <v>-339</v>
      </c>
      <c r="F133" s="114">
        <f t="shared" si="19"/>
        <v>-0.18698290126861555</v>
      </c>
    </row>
    <row r="134" spans="1:6" x14ac:dyDescent="0.2">
      <c r="A134" s="115">
        <v>9</v>
      </c>
      <c r="B134" s="116" t="s">
        <v>121</v>
      </c>
      <c r="C134" s="133">
        <v>9147</v>
      </c>
      <c r="D134" s="133">
        <v>6585</v>
      </c>
      <c r="E134" s="133">
        <f t="shared" si="18"/>
        <v>-2562</v>
      </c>
      <c r="F134" s="114">
        <f t="shared" si="19"/>
        <v>-0.28009183338799609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270556</v>
      </c>
      <c r="D137" s="134">
        <f>SUM(D126:D136)</f>
        <v>245737</v>
      </c>
      <c r="E137" s="134">
        <f t="shared" si="18"/>
        <v>-24819</v>
      </c>
      <c r="F137" s="120">
        <f t="shared" si="19"/>
        <v>-9.1733319534588034E-2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21613419</v>
      </c>
      <c r="D142" s="113">
        <v>21884013</v>
      </c>
      <c r="E142" s="113">
        <f t="shared" ref="E142:E153" si="20">D142-C142</f>
        <v>270594</v>
      </c>
      <c r="F142" s="114">
        <f t="shared" ref="F142:F153" si="21">IF(C142=0,0,E142/C142)</f>
        <v>1.2519722122631315E-2</v>
      </c>
    </row>
    <row r="143" spans="1:6" x14ac:dyDescent="0.2">
      <c r="A143" s="115">
        <v>2</v>
      </c>
      <c r="B143" s="116" t="s">
        <v>114</v>
      </c>
      <c r="C143" s="113">
        <v>6183180</v>
      </c>
      <c r="D143" s="113">
        <v>7256649</v>
      </c>
      <c r="E143" s="113">
        <f t="shared" si="20"/>
        <v>1073469</v>
      </c>
      <c r="F143" s="114">
        <f t="shared" si="21"/>
        <v>0.17361115154338058</v>
      </c>
    </row>
    <row r="144" spans="1:6" x14ac:dyDescent="0.2">
      <c r="A144" s="115">
        <v>3</v>
      </c>
      <c r="B144" s="116" t="s">
        <v>115</v>
      </c>
      <c r="C144" s="113">
        <v>34980398</v>
      </c>
      <c r="D144" s="113">
        <v>41838132</v>
      </c>
      <c r="E144" s="113">
        <f t="shared" si="20"/>
        <v>6857734</v>
      </c>
      <c r="F144" s="114">
        <f t="shared" si="21"/>
        <v>0.19604505357543386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424841</v>
      </c>
      <c r="D146" s="113">
        <v>469660</v>
      </c>
      <c r="E146" s="113">
        <f t="shared" si="20"/>
        <v>44819</v>
      </c>
      <c r="F146" s="114">
        <f t="shared" si="21"/>
        <v>0.10549593848051389</v>
      </c>
    </row>
    <row r="147" spans="1:6" x14ac:dyDescent="0.2">
      <c r="A147" s="115">
        <v>6</v>
      </c>
      <c r="B147" s="116" t="s">
        <v>118</v>
      </c>
      <c r="C147" s="113">
        <v>2561026</v>
      </c>
      <c r="D147" s="113">
        <v>2996833</v>
      </c>
      <c r="E147" s="113">
        <f t="shared" si="20"/>
        <v>435807</v>
      </c>
      <c r="F147" s="114">
        <f t="shared" si="21"/>
        <v>0.17016890886699315</v>
      </c>
    </row>
    <row r="148" spans="1:6" x14ac:dyDescent="0.2">
      <c r="A148" s="115">
        <v>7</v>
      </c>
      <c r="B148" s="116" t="s">
        <v>119</v>
      </c>
      <c r="C148" s="113">
        <v>33435169</v>
      </c>
      <c r="D148" s="113">
        <v>34382195</v>
      </c>
      <c r="E148" s="113">
        <f t="shared" si="20"/>
        <v>947026</v>
      </c>
      <c r="F148" s="114">
        <f t="shared" si="21"/>
        <v>2.8324247441369296E-2</v>
      </c>
    </row>
    <row r="149" spans="1:6" x14ac:dyDescent="0.2">
      <c r="A149" s="115">
        <v>8</v>
      </c>
      <c r="B149" s="116" t="s">
        <v>120</v>
      </c>
      <c r="C149" s="113">
        <v>1882222</v>
      </c>
      <c r="D149" s="113">
        <v>1925775</v>
      </c>
      <c r="E149" s="113">
        <f t="shared" si="20"/>
        <v>43553</v>
      </c>
      <c r="F149" s="114">
        <f t="shared" si="21"/>
        <v>2.3139140866486524E-2</v>
      </c>
    </row>
    <row r="150" spans="1:6" x14ac:dyDescent="0.2">
      <c r="A150" s="115">
        <v>9</v>
      </c>
      <c r="B150" s="116" t="s">
        <v>121</v>
      </c>
      <c r="C150" s="113">
        <v>8258759</v>
      </c>
      <c r="D150" s="113">
        <v>5733624</v>
      </c>
      <c r="E150" s="113">
        <f t="shared" si="20"/>
        <v>-2525135</v>
      </c>
      <c r="F150" s="114">
        <f t="shared" si="21"/>
        <v>-0.30575235334994033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109339014</v>
      </c>
      <c r="D153" s="119">
        <f>SUM(D142:D152)</f>
        <v>116486881</v>
      </c>
      <c r="E153" s="119">
        <f t="shared" si="20"/>
        <v>7147867</v>
      </c>
      <c r="F153" s="120">
        <f t="shared" si="21"/>
        <v>6.5373435688746928E-2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3582949</v>
      </c>
      <c r="D155" s="113">
        <v>3540706</v>
      </c>
      <c r="E155" s="113">
        <f t="shared" ref="E155:E166" si="22">D155-C155</f>
        <v>-42243</v>
      </c>
      <c r="F155" s="114">
        <f t="shared" ref="F155:F166" si="23">IF(C155=0,0,E155/C155)</f>
        <v>-1.1790008733029692E-2</v>
      </c>
    </row>
    <row r="156" spans="1:6" x14ac:dyDescent="0.2">
      <c r="A156" s="115">
        <v>2</v>
      </c>
      <c r="B156" s="116" t="s">
        <v>114</v>
      </c>
      <c r="C156" s="113">
        <v>1037373</v>
      </c>
      <c r="D156" s="113">
        <v>1204925</v>
      </c>
      <c r="E156" s="113">
        <f t="shared" si="22"/>
        <v>167552</v>
      </c>
      <c r="F156" s="114">
        <f t="shared" si="23"/>
        <v>0.16151567468981745</v>
      </c>
    </row>
    <row r="157" spans="1:6" x14ac:dyDescent="0.2">
      <c r="A157" s="115">
        <v>3</v>
      </c>
      <c r="B157" s="116" t="s">
        <v>115</v>
      </c>
      <c r="C157" s="113">
        <v>4455191</v>
      </c>
      <c r="D157" s="113">
        <v>4925854</v>
      </c>
      <c r="E157" s="113">
        <f t="shared" si="22"/>
        <v>470663</v>
      </c>
      <c r="F157" s="114">
        <f t="shared" si="23"/>
        <v>0.10564373109929519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78747</v>
      </c>
      <c r="D159" s="113">
        <v>88958</v>
      </c>
      <c r="E159" s="113">
        <f t="shared" si="22"/>
        <v>10211</v>
      </c>
      <c r="F159" s="114">
        <f t="shared" si="23"/>
        <v>0.12966843181327542</v>
      </c>
    </row>
    <row r="160" spans="1:6" x14ac:dyDescent="0.2">
      <c r="A160" s="115">
        <v>6</v>
      </c>
      <c r="B160" s="116" t="s">
        <v>118</v>
      </c>
      <c r="C160" s="113">
        <v>1374013</v>
      </c>
      <c r="D160" s="113">
        <v>1432216</v>
      </c>
      <c r="E160" s="113">
        <f t="shared" si="22"/>
        <v>58203</v>
      </c>
      <c r="F160" s="114">
        <f t="shared" si="23"/>
        <v>4.235986122402044E-2</v>
      </c>
    </row>
    <row r="161" spans="1:6" x14ac:dyDescent="0.2">
      <c r="A161" s="115">
        <v>7</v>
      </c>
      <c r="B161" s="116" t="s">
        <v>119</v>
      </c>
      <c r="C161" s="113">
        <v>15238169</v>
      </c>
      <c r="D161" s="113">
        <v>14641210</v>
      </c>
      <c r="E161" s="113">
        <f t="shared" si="22"/>
        <v>-596959</v>
      </c>
      <c r="F161" s="114">
        <f t="shared" si="23"/>
        <v>-3.9175244742330917E-2</v>
      </c>
    </row>
    <row r="162" spans="1:6" x14ac:dyDescent="0.2">
      <c r="A162" s="115">
        <v>8</v>
      </c>
      <c r="B162" s="116" t="s">
        <v>120</v>
      </c>
      <c r="C162" s="113">
        <v>953451</v>
      </c>
      <c r="D162" s="113">
        <v>1108157</v>
      </c>
      <c r="E162" s="113">
        <f t="shared" si="22"/>
        <v>154706</v>
      </c>
      <c r="F162" s="114">
        <f t="shared" si="23"/>
        <v>0.16225899390739534</v>
      </c>
    </row>
    <row r="163" spans="1:6" x14ac:dyDescent="0.2">
      <c r="A163" s="115">
        <v>9</v>
      </c>
      <c r="B163" s="116" t="s">
        <v>121</v>
      </c>
      <c r="C163" s="113">
        <v>147532</v>
      </c>
      <c r="D163" s="113">
        <v>149563</v>
      </c>
      <c r="E163" s="113">
        <f t="shared" si="22"/>
        <v>2031</v>
      </c>
      <c r="F163" s="114">
        <f t="shared" si="23"/>
        <v>1.3766504893853537E-2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26867425</v>
      </c>
      <c r="D166" s="119">
        <f>SUM(D155:D165)</f>
        <v>27091589</v>
      </c>
      <c r="E166" s="119">
        <f t="shared" si="22"/>
        <v>224164</v>
      </c>
      <c r="F166" s="120">
        <f t="shared" si="23"/>
        <v>8.3433377035573748E-3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6522</v>
      </c>
      <c r="D168" s="133">
        <v>5489</v>
      </c>
      <c r="E168" s="133">
        <f t="shared" ref="E168:E179" si="24">D168-C168</f>
        <v>-1033</v>
      </c>
      <c r="F168" s="114">
        <f t="shared" ref="F168:F179" si="25">IF(C168=0,0,E168/C168)</f>
        <v>-0.1583869978534192</v>
      </c>
    </row>
    <row r="169" spans="1:6" x14ac:dyDescent="0.2">
      <c r="A169" s="115">
        <v>2</v>
      </c>
      <c r="B169" s="116" t="s">
        <v>114</v>
      </c>
      <c r="C169" s="133">
        <v>1799</v>
      </c>
      <c r="D169" s="133">
        <v>1795</v>
      </c>
      <c r="E169" s="133">
        <f t="shared" si="24"/>
        <v>-4</v>
      </c>
      <c r="F169" s="114">
        <f t="shared" si="25"/>
        <v>-2.2234574763757642E-3</v>
      </c>
    </row>
    <row r="170" spans="1:6" x14ac:dyDescent="0.2">
      <c r="A170" s="115">
        <v>3</v>
      </c>
      <c r="B170" s="116" t="s">
        <v>115</v>
      </c>
      <c r="C170" s="133">
        <v>15370</v>
      </c>
      <c r="D170" s="133">
        <v>14748</v>
      </c>
      <c r="E170" s="133">
        <f t="shared" si="24"/>
        <v>-622</v>
      </c>
      <c r="F170" s="114">
        <f t="shared" si="25"/>
        <v>-4.0468445022771631E-2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185</v>
      </c>
      <c r="D172" s="133">
        <v>150</v>
      </c>
      <c r="E172" s="133">
        <f t="shared" si="24"/>
        <v>-35</v>
      </c>
      <c r="F172" s="114">
        <f t="shared" si="25"/>
        <v>-0.1891891891891892</v>
      </c>
    </row>
    <row r="173" spans="1:6" x14ac:dyDescent="0.2">
      <c r="A173" s="115">
        <v>6</v>
      </c>
      <c r="B173" s="116" t="s">
        <v>118</v>
      </c>
      <c r="C173" s="133">
        <v>958</v>
      </c>
      <c r="D173" s="133">
        <v>830</v>
      </c>
      <c r="E173" s="133">
        <f t="shared" si="24"/>
        <v>-128</v>
      </c>
      <c r="F173" s="114">
        <f t="shared" si="25"/>
        <v>-0.1336116910229645</v>
      </c>
    </row>
    <row r="174" spans="1:6" x14ac:dyDescent="0.2">
      <c r="A174" s="115">
        <v>7</v>
      </c>
      <c r="B174" s="116" t="s">
        <v>119</v>
      </c>
      <c r="C174" s="133">
        <v>11183</v>
      </c>
      <c r="D174" s="133">
        <v>9347</v>
      </c>
      <c r="E174" s="133">
        <f t="shared" si="24"/>
        <v>-1836</v>
      </c>
      <c r="F174" s="114">
        <f t="shared" si="25"/>
        <v>-0.16417776982920504</v>
      </c>
    </row>
    <row r="175" spans="1:6" x14ac:dyDescent="0.2">
      <c r="A175" s="115">
        <v>8</v>
      </c>
      <c r="B175" s="116" t="s">
        <v>120</v>
      </c>
      <c r="C175" s="133">
        <v>940</v>
      </c>
      <c r="D175" s="133">
        <v>768</v>
      </c>
      <c r="E175" s="133">
        <f t="shared" si="24"/>
        <v>-172</v>
      </c>
      <c r="F175" s="114">
        <f t="shared" si="25"/>
        <v>-0.18297872340425531</v>
      </c>
    </row>
    <row r="176" spans="1:6" x14ac:dyDescent="0.2">
      <c r="A176" s="115">
        <v>9</v>
      </c>
      <c r="B176" s="116" t="s">
        <v>121</v>
      </c>
      <c r="C176" s="133">
        <v>3919</v>
      </c>
      <c r="D176" s="133">
        <v>2430</v>
      </c>
      <c r="E176" s="133">
        <f t="shared" si="24"/>
        <v>-1489</v>
      </c>
      <c r="F176" s="114">
        <f t="shared" si="25"/>
        <v>-0.3799438632304159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40876</v>
      </c>
      <c r="D179" s="134">
        <f>SUM(D168:D178)</f>
        <v>35557</v>
      </c>
      <c r="E179" s="134">
        <f t="shared" si="24"/>
        <v>-5319</v>
      </c>
      <c r="F179" s="120">
        <f t="shared" si="25"/>
        <v>-0.13012525687444956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FILING&amp;RMANCHESTER MEMORIAL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27731842</v>
      </c>
      <c r="D15" s="157">
        <v>27777193</v>
      </c>
      <c r="E15" s="157">
        <f>+D15-C15</f>
        <v>45351</v>
      </c>
      <c r="F15" s="161">
        <f>IF(C15=0,0,E15/C15)</f>
        <v>1.6353403427006399E-3</v>
      </c>
    </row>
    <row r="16" spans="1:6" ht="15" customHeight="1" x14ac:dyDescent="0.2">
      <c r="A16" s="147">
        <v>2</v>
      </c>
      <c r="B16" s="160" t="s">
        <v>157</v>
      </c>
      <c r="C16" s="157">
        <v>7727228</v>
      </c>
      <c r="D16" s="157">
        <v>8493290</v>
      </c>
      <c r="E16" s="157">
        <f>+D16-C16</f>
        <v>766062</v>
      </c>
      <c r="F16" s="161">
        <f>IF(C16=0,0,E16/C16)</f>
        <v>9.913800912824107E-2</v>
      </c>
    </row>
    <row r="17" spans="1:6" ht="15" customHeight="1" x14ac:dyDescent="0.2">
      <c r="A17" s="147">
        <v>3</v>
      </c>
      <c r="B17" s="160" t="s">
        <v>158</v>
      </c>
      <c r="C17" s="157">
        <v>48450279</v>
      </c>
      <c r="D17" s="157">
        <v>47335814</v>
      </c>
      <c r="E17" s="157">
        <f>+D17-C17</f>
        <v>-1114465</v>
      </c>
      <c r="F17" s="161">
        <f>IF(C17=0,0,E17/C17)</f>
        <v>-2.3002241122285383E-2</v>
      </c>
    </row>
    <row r="18" spans="1:6" ht="15.75" customHeight="1" x14ac:dyDescent="0.25">
      <c r="A18" s="147"/>
      <c r="B18" s="162" t="s">
        <v>159</v>
      </c>
      <c r="C18" s="158">
        <f>SUM(C15:C17)</f>
        <v>83909349</v>
      </c>
      <c r="D18" s="158">
        <f>SUM(D15:D17)</f>
        <v>83606297</v>
      </c>
      <c r="E18" s="158">
        <f>+D18-C18</f>
        <v>-303052</v>
      </c>
      <c r="F18" s="159">
        <f>IF(C18=0,0,E18/C18)</f>
        <v>-3.6116595303343373E-3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10096694</v>
      </c>
      <c r="D21" s="157">
        <v>9385872</v>
      </c>
      <c r="E21" s="157">
        <f>+D21-C21</f>
        <v>-710822</v>
      </c>
      <c r="F21" s="161">
        <f>IF(C21=0,0,E21/C21)</f>
        <v>-7.0401460121501155E-2</v>
      </c>
    </row>
    <row r="22" spans="1:6" ht="15" customHeight="1" x14ac:dyDescent="0.2">
      <c r="A22" s="147">
        <v>2</v>
      </c>
      <c r="B22" s="160" t="s">
        <v>162</v>
      </c>
      <c r="C22" s="157">
        <v>2592137</v>
      </c>
      <c r="D22" s="157">
        <v>2686194</v>
      </c>
      <c r="E22" s="157">
        <f>+D22-C22</f>
        <v>94057</v>
      </c>
      <c r="F22" s="161">
        <f>IF(C22=0,0,E22/C22)</f>
        <v>3.6285504971380757E-2</v>
      </c>
    </row>
    <row r="23" spans="1:6" ht="15" customHeight="1" x14ac:dyDescent="0.2">
      <c r="A23" s="147">
        <v>3</v>
      </c>
      <c r="B23" s="160" t="s">
        <v>163</v>
      </c>
      <c r="C23" s="157">
        <v>14969960</v>
      </c>
      <c r="D23" s="157">
        <v>13648187</v>
      </c>
      <c r="E23" s="157">
        <f>+D23-C23</f>
        <v>-1321773</v>
      </c>
      <c r="F23" s="161">
        <f>IF(C23=0,0,E23/C23)</f>
        <v>-8.8295025504410166E-2</v>
      </c>
    </row>
    <row r="24" spans="1:6" ht="15.75" customHeight="1" x14ac:dyDescent="0.25">
      <c r="A24" s="147"/>
      <c r="B24" s="162" t="s">
        <v>164</v>
      </c>
      <c r="C24" s="158">
        <f>SUM(C21:C23)</f>
        <v>27658791</v>
      </c>
      <c r="D24" s="158">
        <f>SUM(D21:D23)</f>
        <v>25720253</v>
      </c>
      <c r="E24" s="158">
        <f>+D24-C24</f>
        <v>-1938538</v>
      </c>
      <c r="F24" s="159">
        <f>IF(C24=0,0,E24/C24)</f>
        <v>-7.0087589873324543E-2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0</v>
      </c>
      <c r="D27" s="157">
        <v>0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7801057</v>
      </c>
      <c r="D28" s="157">
        <v>9813958</v>
      </c>
      <c r="E28" s="157">
        <f>+D28-C28</f>
        <v>2012901</v>
      </c>
      <c r="F28" s="161">
        <f>IF(C28=0,0,E28/C28)</f>
        <v>0.25802926449582408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7801057</v>
      </c>
      <c r="D30" s="158">
        <f>SUM(D27:D29)</f>
        <v>9813958</v>
      </c>
      <c r="E30" s="158">
        <f>+D30-C30</f>
        <v>2012901</v>
      </c>
      <c r="F30" s="159">
        <f>IF(C30=0,0,E30/C30)</f>
        <v>0.25802926449582408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19599062</v>
      </c>
      <c r="D33" s="157">
        <v>20163909</v>
      </c>
      <c r="E33" s="157">
        <f>+D33-C33</f>
        <v>564847</v>
      </c>
      <c r="F33" s="161">
        <f>IF(C33=0,0,E33/C33)</f>
        <v>2.8820103737617647E-2</v>
      </c>
    </row>
    <row r="34" spans="1:6" ht="15" customHeight="1" x14ac:dyDescent="0.2">
      <c r="A34" s="147">
        <v>2</v>
      </c>
      <c r="B34" s="160" t="s">
        <v>173</v>
      </c>
      <c r="C34" s="157">
        <v>5379487</v>
      </c>
      <c r="D34" s="157">
        <v>5612065</v>
      </c>
      <c r="E34" s="157">
        <f>+D34-C34</f>
        <v>232578</v>
      </c>
      <c r="F34" s="161">
        <f>IF(C34=0,0,E34/C34)</f>
        <v>4.3234234044993512E-2</v>
      </c>
    </row>
    <row r="35" spans="1:6" ht="15.75" customHeight="1" x14ac:dyDescent="0.25">
      <c r="A35" s="147"/>
      <c r="B35" s="162" t="s">
        <v>174</v>
      </c>
      <c r="C35" s="158">
        <f>SUM(C33:C34)</f>
        <v>24978549</v>
      </c>
      <c r="D35" s="158">
        <f>SUM(D33:D34)</f>
        <v>25775974</v>
      </c>
      <c r="E35" s="158">
        <f>+D35-C35</f>
        <v>797425</v>
      </c>
      <c r="F35" s="159">
        <f>IF(C35=0,0,E35/C35)</f>
        <v>3.1924392405659752E-2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3290378</v>
      </c>
      <c r="D38" s="157">
        <v>3505822</v>
      </c>
      <c r="E38" s="157">
        <f>+D38-C38</f>
        <v>215444</v>
      </c>
      <c r="F38" s="161">
        <f>IF(C38=0,0,E38/C38)</f>
        <v>6.5476975593685594E-2</v>
      </c>
    </row>
    <row r="39" spans="1:6" ht="15" customHeight="1" x14ac:dyDescent="0.2">
      <c r="A39" s="147">
        <v>2</v>
      </c>
      <c r="B39" s="160" t="s">
        <v>178</v>
      </c>
      <c r="C39" s="157">
        <v>3722085</v>
      </c>
      <c r="D39" s="157">
        <v>3527565</v>
      </c>
      <c r="E39" s="157">
        <f>+D39-C39</f>
        <v>-194520</v>
      </c>
      <c r="F39" s="161">
        <f>IF(C39=0,0,E39/C39)</f>
        <v>-5.2261031115624711E-2</v>
      </c>
    </row>
    <row r="40" spans="1:6" ht="15" customHeight="1" x14ac:dyDescent="0.2">
      <c r="A40" s="147">
        <v>3</v>
      </c>
      <c r="B40" s="160" t="s">
        <v>179</v>
      </c>
      <c r="C40" s="157">
        <v>102839</v>
      </c>
      <c r="D40" s="157">
        <v>83518</v>
      </c>
      <c r="E40" s="157">
        <f>+D40-C40</f>
        <v>-19321</v>
      </c>
      <c r="F40" s="161">
        <f>IF(C40=0,0,E40/C40)</f>
        <v>-0.18787619482881007</v>
      </c>
    </row>
    <row r="41" spans="1:6" ht="15.75" customHeight="1" x14ac:dyDescent="0.25">
      <c r="A41" s="147"/>
      <c r="B41" s="162" t="s">
        <v>180</v>
      </c>
      <c r="C41" s="158">
        <f>SUM(C38:C40)</f>
        <v>7115302</v>
      </c>
      <c r="D41" s="158">
        <f>SUM(D38:D40)</f>
        <v>7116905</v>
      </c>
      <c r="E41" s="158">
        <f>+D41-C41</f>
        <v>1603</v>
      </c>
      <c r="F41" s="159">
        <f>IF(C41=0,0,E41/C41)</f>
        <v>2.2528910227563074E-4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2685044</v>
      </c>
      <c r="D47" s="157">
        <v>2589201</v>
      </c>
      <c r="E47" s="157">
        <f>+D47-C47</f>
        <v>-95843</v>
      </c>
      <c r="F47" s="161">
        <f>IF(C47=0,0,E47/C47)</f>
        <v>-3.5695131997836908E-2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5929317</v>
      </c>
      <c r="D50" s="157">
        <v>2774065</v>
      </c>
      <c r="E50" s="157">
        <f>+D50-C50</f>
        <v>-3155252</v>
      </c>
      <c r="F50" s="161">
        <f>IF(C50=0,0,E50/C50)</f>
        <v>-0.53214425877381832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206825</v>
      </c>
      <c r="D53" s="157">
        <v>210827</v>
      </c>
      <c r="E53" s="157">
        <f t="shared" ref="E53:E59" si="0">+D53-C53</f>
        <v>4002</v>
      </c>
      <c r="F53" s="161">
        <f t="shared" ref="F53:F59" si="1">IF(C53=0,0,E53/C53)</f>
        <v>1.9349691768403239E-2</v>
      </c>
    </row>
    <row r="54" spans="1:6" ht="15" customHeight="1" x14ac:dyDescent="0.2">
      <c r="A54" s="147">
        <v>2</v>
      </c>
      <c r="B54" s="160" t="s">
        <v>189</v>
      </c>
      <c r="C54" s="157">
        <v>1013461</v>
      </c>
      <c r="D54" s="157">
        <v>833175</v>
      </c>
      <c r="E54" s="157">
        <f t="shared" si="0"/>
        <v>-180286</v>
      </c>
      <c r="F54" s="161">
        <f t="shared" si="1"/>
        <v>-0.17789140381326957</v>
      </c>
    </row>
    <row r="55" spans="1:6" ht="15" customHeight="1" x14ac:dyDescent="0.2">
      <c r="A55" s="147">
        <v>3</v>
      </c>
      <c r="B55" s="160" t="s">
        <v>190</v>
      </c>
      <c r="C55" s="157">
        <v>71518</v>
      </c>
      <c r="D55" s="157">
        <v>33664</v>
      </c>
      <c r="E55" s="157">
        <f t="shared" si="0"/>
        <v>-37854</v>
      </c>
      <c r="F55" s="161">
        <f t="shared" si="1"/>
        <v>-0.52929332475740376</v>
      </c>
    </row>
    <row r="56" spans="1:6" ht="15" customHeight="1" x14ac:dyDescent="0.2">
      <c r="A56" s="147">
        <v>4</v>
      </c>
      <c r="B56" s="160" t="s">
        <v>191</v>
      </c>
      <c r="C56" s="157">
        <v>1416566</v>
      </c>
      <c r="D56" s="157">
        <v>1388558</v>
      </c>
      <c r="E56" s="157">
        <f t="shared" si="0"/>
        <v>-28008</v>
      </c>
      <c r="F56" s="161">
        <f t="shared" si="1"/>
        <v>-1.9771757899031885E-2</v>
      </c>
    </row>
    <row r="57" spans="1:6" ht="15" customHeight="1" x14ac:dyDescent="0.2">
      <c r="A57" s="147">
        <v>5</v>
      </c>
      <c r="B57" s="160" t="s">
        <v>192</v>
      </c>
      <c r="C57" s="157">
        <v>583829</v>
      </c>
      <c r="D57" s="157">
        <v>634744</v>
      </c>
      <c r="E57" s="157">
        <f t="shared" si="0"/>
        <v>50915</v>
      </c>
      <c r="F57" s="161">
        <f t="shared" si="1"/>
        <v>8.7208754618218684E-2</v>
      </c>
    </row>
    <row r="58" spans="1:6" ht="15" customHeight="1" x14ac:dyDescent="0.2">
      <c r="A58" s="147">
        <v>6</v>
      </c>
      <c r="B58" s="160" t="s">
        <v>193</v>
      </c>
      <c r="C58" s="157">
        <v>23105</v>
      </c>
      <c r="D58" s="157">
        <v>27479</v>
      </c>
      <c r="E58" s="157">
        <f t="shared" si="0"/>
        <v>4374</v>
      </c>
      <c r="F58" s="161">
        <f t="shared" si="1"/>
        <v>0.18930967323090239</v>
      </c>
    </row>
    <row r="59" spans="1:6" ht="15.75" customHeight="1" x14ac:dyDescent="0.25">
      <c r="A59" s="147"/>
      <c r="B59" s="162" t="s">
        <v>194</v>
      </c>
      <c r="C59" s="158">
        <f>SUM(C53:C58)</f>
        <v>3315304</v>
      </c>
      <c r="D59" s="158">
        <f>SUM(D53:D58)</f>
        <v>3128447</v>
      </c>
      <c r="E59" s="158">
        <f t="shared" si="0"/>
        <v>-186857</v>
      </c>
      <c r="F59" s="159">
        <f t="shared" si="1"/>
        <v>-5.636195051796155E-2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150700</v>
      </c>
      <c r="D62" s="157">
        <v>176971</v>
      </c>
      <c r="E62" s="157">
        <f t="shared" ref="E62:E90" si="2">+D62-C62</f>
        <v>26271</v>
      </c>
      <c r="F62" s="161">
        <f t="shared" ref="F62:F90" si="3">IF(C62=0,0,E62/C62)</f>
        <v>0.17432647644326477</v>
      </c>
    </row>
    <row r="63" spans="1:6" ht="15" customHeight="1" x14ac:dyDescent="0.2">
      <c r="A63" s="147">
        <v>2</v>
      </c>
      <c r="B63" s="160" t="s">
        <v>198</v>
      </c>
      <c r="C63" s="157">
        <v>659165</v>
      </c>
      <c r="D63" s="157">
        <v>327456</v>
      </c>
      <c r="E63" s="157">
        <f t="shared" si="2"/>
        <v>-331709</v>
      </c>
      <c r="F63" s="161">
        <f t="shared" si="3"/>
        <v>-0.50322605114045804</v>
      </c>
    </row>
    <row r="64" spans="1:6" ht="15" customHeight="1" x14ac:dyDescent="0.2">
      <c r="A64" s="147">
        <v>3</v>
      </c>
      <c r="B64" s="160" t="s">
        <v>199</v>
      </c>
      <c r="C64" s="157">
        <v>1517893</v>
      </c>
      <c r="D64" s="157">
        <v>1206066</v>
      </c>
      <c r="E64" s="157">
        <f t="shared" si="2"/>
        <v>-311827</v>
      </c>
      <c r="F64" s="161">
        <f t="shared" si="3"/>
        <v>-0.20543411162710415</v>
      </c>
    </row>
    <row r="65" spans="1:6" ht="15" customHeight="1" x14ac:dyDescent="0.2">
      <c r="A65" s="147">
        <v>4</v>
      </c>
      <c r="B65" s="160" t="s">
        <v>200</v>
      </c>
      <c r="C65" s="157">
        <v>312513</v>
      </c>
      <c r="D65" s="157">
        <v>293478</v>
      </c>
      <c r="E65" s="157">
        <f t="shared" si="2"/>
        <v>-19035</v>
      </c>
      <c r="F65" s="161">
        <f t="shared" si="3"/>
        <v>-6.0909466166207488E-2</v>
      </c>
    </row>
    <row r="66" spans="1:6" ht="15" customHeight="1" x14ac:dyDescent="0.2">
      <c r="A66" s="147">
        <v>5</v>
      </c>
      <c r="B66" s="160" t="s">
        <v>201</v>
      </c>
      <c r="C66" s="157">
        <v>387869</v>
      </c>
      <c r="D66" s="157">
        <v>724995</v>
      </c>
      <c r="E66" s="157">
        <f t="shared" si="2"/>
        <v>337126</v>
      </c>
      <c r="F66" s="161">
        <f t="shared" si="3"/>
        <v>0.86917490183541346</v>
      </c>
    </row>
    <row r="67" spans="1:6" ht="15" customHeight="1" x14ac:dyDescent="0.2">
      <c r="A67" s="147">
        <v>6</v>
      </c>
      <c r="B67" s="160" t="s">
        <v>202</v>
      </c>
      <c r="C67" s="157">
        <v>1419240</v>
      </c>
      <c r="D67" s="157">
        <v>1338817</v>
      </c>
      <c r="E67" s="157">
        <f t="shared" si="2"/>
        <v>-80423</v>
      </c>
      <c r="F67" s="161">
        <f t="shared" si="3"/>
        <v>-5.6666243905188693E-2</v>
      </c>
    </row>
    <row r="68" spans="1:6" ht="15" customHeight="1" x14ac:dyDescent="0.2">
      <c r="A68" s="147">
        <v>7</v>
      </c>
      <c r="B68" s="160" t="s">
        <v>203</v>
      </c>
      <c r="C68" s="157">
        <v>643792</v>
      </c>
      <c r="D68" s="157">
        <v>774339</v>
      </c>
      <c r="E68" s="157">
        <f t="shared" si="2"/>
        <v>130547</v>
      </c>
      <c r="F68" s="161">
        <f t="shared" si="3"/>
        <v>0.20277822650794045</v>
      </c>
    </row>
    <row r="69" spans="1:6" ht="15" customHeight="1" x14ac:dyDescent="0.2">
      <c r="A69" s="147">
        <v>8</v>
      </c>
      <c r="B69" s="160" t="s">
        <v>204</v>
      </c>
      <c r="C69" s="157">
        <v>721761</v>
      </c>
      <c r="D69" s="157">
        <v>371069</v>
      </c>
      <c r="E69" s="157">
        <f t="shared" si="2"/>
        <v>-350692</v>
      </c>
      <c r="F69" s="161">
        <f t="shared" si="3"/>
        <v>-0.48588383135137531</v>
      </c>
    </row>
    <row r="70" spans="1:6" ht="15" customHeight="1" x14ac:dyDescent="0.2">
      <c r="A70" s="147">
        <v>9</v>
      </c>
      <c r="B70" s="160" t="s">
        <v>205</v>
      </c>
      <c r="C70" s="157">
        <v>66025</v>
      </c>
      <c r="D70" s="157">
        <v>70310</v>
      </c>
      <c r="E70" s="157">
        <f t="shared" si="2"/>
        <v>4285</v>
      </c>
      <c r="F70" s="161">
        <f t="shared" si="3"/>
        <v>6.4899659219992425E-2</v>
      </c>
    </row>
    <row r="71" spans="1:6" ht="15" customHeight="1" x14ac:dyDescent="0.2">
      <c r="A71" s="147">
        <v>10</v>
      </c>
      <c r="B71" s="160" t="s">
        <v>206</v>
      </c>
      <c r="C71" s="157">
        <v>18250</v>
      </c>
      <c r="D71" s="157">
        <v>13991</v>
      </c>
      <c r="E71" s="157">
        <f t="shared" si="2"/>
        <v>-4259</v>
      </c>
      <c r="F71" s="161">
        <f t="shared" si="3"/>
        <v>-0.23336986301369864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0</v>
      </c>
      <c r="E72" s="157">
        <f t="shared" si="2"/>
        <v>0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1153545</v>
      </c>
      <c r="D73" s="157">
        <v>1185117</v>
      </c>
      <c r="E73" s="157">
        <f t="shared" si="2"/>
        <v>31572</v>
      </c>
      <c r="F73" s="161">
        <f t="shared" si="3"/>
        <v>2.736954345084067E-2</v>
      </c>
    </row>
    <row r="74" spans="1:6" ht="15" customHeight="1" x14ac:dyDescent="0.2">
      <c r="A74" s="147">
        <v>13</v>
      </c>
      <c r="B74" s="160" t="s">
        <v>209</v>
      </c>
      <c r="C74" s="157">
        <v>143056</v>
      </c>
      <c r="D74" s="157">
        <v>134140</v>
      </c>
      <c r="E74" s="157">
        <f t="shared" si="2"/>
        <v>-8916</v>
      </c>
      <c r="F74" s="161">
        <f t="shared" si="3"/>
        <v>-6.2325243261380156E-2</v>
      </c>
    </row>
    <row r="75" spans="1:6" ht="15" customHeight="1" x14ac:dyDescent="0.2">
      <c r="A75" s="147">
        <v>14</v>
      </c>
      <c r="B75" s="160" t="s">
        <v>210</v>
      </c>
      <c r="C75" s="157">
        <v>142148</v>
      </c>
      <c r="D75" s="157">
        <v>116284</v>
      </c>
      <c r="E75" s="157">
        <f t="shared" si="2"/>
        <v>-25864</v>
      </c>
      <c r="F75" s="161">
        <f t="shared" si="3"/>
        <v>-0.18195120578551932</v>
      </c>
    </row>
    <row r="76" spans="1:6" ht="15" customHeight="1" x14ac:dyDescent="0.2">
      <c r="A76" s="147">
        <v>15</v>
      </c>
      <c r="B76" s="160" t="s">
        <v>211</v>
      </c>
      <c r="C76" s="157">
        <v>963735</v>
      </c>
      <c r="D76" s="157">
        <v>989803</v>
      </c>
      <c r="E76" s="157">
        <f t="shared" si="2"/>
        <v>26068</v>
      </c>
      <c r="F76" s="161">
        <f t="shared" si="3"/>
        <v>2.7048929425620115E-2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2909296</v>
      </c>
      <c r="D78" s="157">
        <v>3079434</v>
      </c>
      <c r="E78" s="157">
        <f t="shared" si="2"/>
        <v>170138</v>
      </c>
      <c r="F78" s="161">
        <f t="shared" si="3"/>
        <v>5.848081460257052E-2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1911299</v>
      </c>
      <c r="D80" s="157">
        <v>1870008</v>
      </c>
      <c r="E80" s="157">
        <f t="shared" si="2"/>
        <v>-41291</v>
      </c>
      <c r="F80" s="161">
        <f t="shared" si="3"/>
        <v>-2.1603631875494102E-2</v>
      </c>
    </row>
    <row r="81" spans="1:6" ht="15" customHeight="1" x14ac:dyDescent="0.2">
      <c r="A81" s="147">
        <v>20</v>
      </c>
      <c r="B81" s="160" t="s">
        <v>216</v>
      </c>
      <c r="C81" s="157">
        <v>1113518</v>
      </c>
      <c r="D81" s="157">
        <v>887813</v>
      </c>
      <c r="E81" s="157">
        <f t="shared" si="2"/>
        <v>-225705</v>
      </c>
      <c r="F81" s="161">
        <f t="shared" si="3"/>
        <v>-0.20269542117864284</v>
      </c>
    </row>
    <row r="82" spans="1:6" ht="15" customHeight="1" x14ac:dyDescent="0.2">
      <c r="A82" s="147">
        <v>21</v>
      </c>
      <c r="B82" s="160" t="s">
        <v>217</v>
      </c>
      <c r="C82" s="157">
        <v>763917</v>
      </c>
      <c r="D82" s="157">
        <v>688707</v>
      </c>
      <c r="E82" s="157">
        <f t="shared" si="2"/>
        <v>-75210</v>
      </c>
      <c r="F82" s="161">
        <f t="shared" si="3"/>
        <v>-9.8453104198492764E-2</v>
      </c>
    </row>
    <row r="83" spans="1:6" ht="15" customHeight="1" x14ac:dyDescent="0.2">
      <c r="A83" s="147">
        <v>22</v>
      </c>
      <c r="B83" s="160" t="s">
        <v>218</v>
      </c>
      <c r="C83" s="157">
        <v>638111</v>
      </c>
      <c r="D83" s="157">
        <v>524333</v>
      </c>
      <c r="E83" s="157">
        <f t="shared" si="2"/>
        <v>-113778</v>
      </c>
      <c r="F83" s="161">
        <f t="shared" si="3"/>
        <v>-0.17830440158530411</v>
      </c>
    </row>
    <row r="84" spans="1:6" ht="15" customHeight="1" x14ac:dyDescent="0.2">
      <c r="A84" s="147">
        <v>23</v>
      </c>
      <c r="B84" s="160" t="s">
        <v>219</v>
      </c>
      <c r="C84" s="157">
        <v>761027</v>
      </c>
      <c r="D84" s="157">
        <v>756651</v>
      </c>
      <c r="E84" s="157">
        <f t="shared" si="2"/>
        <v>-4376</v>
      </c>
      <c r="F84" s="161">
        <f t="shared" si="3"/>
        <v>-5.7501245028100181E-3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227763</v>
      </c>
      <c r="D86" s="157">
        <v>197071</v>
      </c>
      <c r="E86" s="157">
        <f t="shared" si="2"/>
        <v>-30692</v>
      </c>
      <c r="F86" s="161">
        <f t="shared" si="3"/>
        <v>-0.13475410843727911</v>
      </c>
    </row>
    <row r="87" spans="1:6" ht="15" customHeight="1" x14ac:dyDescent="0.2">
      <c r="A87" s="147">
        <v>26</v>
      </c>
      <c r="B87" s="160" t="s">
        <v>222</v>
      </c>
      <c r="C87" s="157">
        <v>2442528</v>
      </c>
      <c r="D87" s="157">
        <v>3028795</v>
      </c>
      <c r="E87" s="157">
        <f t="shared" si="2"/>
        <v>586267</v>
      </c>
      <c r="F87" s="161">
        <f t="shared" si="3"/>
        <v>0.2400246793486093</v>
      </c>
    </row>
    <row r="88" spans="1:6" ht="15" customHeight="1" x14ac:dyDescent="0.2">
      <c r="A88" s="147">
        <v>27</v>
      </c>
      <c r="B88" s="160" t="s">
        <v>223</v>
      </c>
      <c r="C88" s="157">
        <v>3149752</v>
      </c>
      <c r="D88" s="157">
        <v>3838612</v>
      </c>
      <c r="E88" s="157">
        <f t="shared" si="2"/>
        <v>688860</v>
      </c>
      <c r="F88" s="161">
        <f t="shared" si="3"/>
        <v>0.21870293280232855</v>
      </c>
    </row>
    <row r="89" spans="1:6" ht="15" customHeight="1" x14ac:dyDescent="0.2">
      <c r="A89" s="147">
        <v>28</v>
      </c>
      <c r="B89" s="160" t="s">
        <v>224</v>
      </c>
      <c r="C89" s="157">
        <v>2379763</v>
      </c>
      <c r="D89" s="157">
        <v>1779261</v>
      </c>
      <c r="E89" s="157">
        <f t="shared" si="2"/>
        <v>-600502</v>
      </c>
      <c r="F89" s="161">
        <f t="shared" si="3"/>
        <v>-0.25233689237121509</v>
      </c>
    </row>
    <row r="90" spans="1:6" ht="15.75" customHeight="1" x14ac:dyDescent="0.25">
      <c r="A90" s="147"/>
      <c r="B90" s="162" t="s">
        <v>225</v>
      </c>
      <c r="C90" s="158">
        <f>SUM(C62:C89)</f>
        <v>24596666</v>
      </c>
      <c r="D90" s="158">
        <f>SUM(D62:D89)</f>
        <v>24373521</v>
      </c>
      <c r="E90" s="158">
        <f t="shared" si="2"/>
        <v>-223145</v>
      </c>
      <c r="F90" s="159">
        <f t="shared" si="3"/>
        <v>-9.0721644957897953E-3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345707</v>
      </c>
      <c r="D93" s="157">
        <v>410938</v>
      </c>
      <c r="E93" s="157">
        <f>+D93-C93</f>
        <v>65231</v>
      </c>
      <c r="F93" s="161">
        <f>IF(C93=0,0,E93/C93)</f>
        <v>0.18868868724092946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188335086</v>
      </c>
      <c r="D95" s="158">
        <f>+D93+D90+D59+D50+D47+D44+D41+D35+D30+D24+D18</f>
        <v>185309559</v>
      </c>
      <c r="E95" s="158">
        <f>+D95-C95</f>
        <v>-3025527</v>
      </c>
      <c r="F95" s="159">
        <f>IF(C95=0,0,E95/C95)</f>
        <v>-1.6064595632488788E-2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3926256</v>
      </c>
      <c r="D103" s="157">
        <v>3027810</v>
      </c>
      <c r="E103" s="157">
        <f t="shared" ref="E103:E121" si="4">D103-C103</f>
        <v>-898446</v>
      </c>
      <c r="F103" s="161">
        <f t="shared" ref="F103:F121" si="5">IF(C103=0,0,E103/C103)</f>
        <v>-0.22883021382202282</v>
      </c>
    </row>
    <row r="104" spans="1:6" ht="15" customHeight="1" x14ac:dyDescent="0.2">
      <c r="A104" s="147">
        <v>2</v>
      </c>
      <c r="B104" s="169" t="s">
        <v>234</v>
      </c>
      <c r="C104" s="157">
        <v>2192793</v>
      </c>
      <c r="D104" s="157">
        <v>2723775</v>
      </c>
      <c r="E104" s="157">
        <f t="shared" si="4"/>
        <v>530982</v>
      </c>
      <c r="F104" s="161">
        <f t="shared" si="5"/>
        <v>0.24214871171150218</v>
      </c>
    </row>
    <row r="105" spans="1:6" ht="15" customHeight="1" x14ac:dyDescent="0.2">
      <c r="A105" s="147">
        <v>3</v>
      </c>
      <c r="B105" s="169" t="s">
        <v>235</v>
      </c>
      <c r="C105" s="157">
        <v>2217875</v>
      </c>
      <c r="D105" s="157">
        <v>2183525</v>
      </c>
      <c r="E105" s="157">
        <f t="shared" si="4"/>
        <v>-34350</v>
      </c>
      <c r="F105" s="161">
        <f t="shared" si="5"/>
        <v>-1.5487798004846983E-2</v>
      </c>
    </row>
    <row r="106" spans="1:6" ht="15" customHeight="1" x14ac:dyDescent="0.2">
      <c r="A106" s="147">
        <v>4</v>
      </c>
      <c r="B106" s="169" t="s">
        <v>236</v>
      </c>
      <c r="C106" s="157">
        <v>1660171</v>
      </c>
      <c r="D106" s="157">
        <v>1648710</v>
      </c>
      <c r="E106" s="157">
        <f t="shared" si="4"/>
        <v>-11461</v>
      </c>
      <c r="F106" s="161">
        <f t="shared" si="5"/>
        <v>-6.903505723205622E-3</v>
      </c>
    </row>
    <row r="107" spans="1:6" ht="15" customHeight="1" x14ac:dyDescent="0.2">
      <c r="A107" s="147">
        <v>5</v>
      </c>
      <c r="B107" s="169" t="s">
        <v>237</v>
      </c>
      <c r="C107" s="157">
        <v>5132377</v>
      </c>
      <c r="D107" s="157">
        <v>5876200</v>
      </c>
      <c r="E107" s="157">
        <f t="shared" si="4"/>
        <v>743823</v>
      </c>
      <c r="F107" s="161">
        <f t="shared" si="5"/>
        <v>0.14492758423631</v>
      </c>
    </row>
    <row r="108" spans="1:6" ht="15" customHeight="1" x14ac:dyDescent="0.2">
      <c r="A108" s="147">
        <v>6</v>
      </c>
      <c r="B108" s="169" t="s">
        <v>238</v>
      </c>
      <c r="C108" s="157">
        <v>1354118</v>
      </c>
      <c r="D108" s="157">
        <v>1447733</v>
      </c>
      <c r="E108" s="157">
        <f t="shared" si="4"/>
        <v>93615</v>
      </c>
      <c r="F108" s="161">
        <f t="shared" si="5"/>
        <v>6.9133561476917071E-2</v>
      </c>
    </row>
    <row r="109" spans="1:6" ht="15" customHeight="1" x14ac:dyDescent="0.2">
      <c r="A109" s="147">
        <v>7</v>
      </c>
      <c r="B109" s="169" t="s">
        <v>239</v>
      </c>
      <c r="C109" s="157">
        <v>22085401</v>
      </c>
      <c r="D109" s="157">
        <v>20463526</v>
      </c>
      <c r="E109" s="157">
        <f t="shared" si="4"/>
        <v>-1621875</v>
      </c>
      <c r="F109" s="161">
        <f t="shared" si="5"/>
        <v>-7.3436520351158663E-2</v>
      </c>
    </row>
    <row r="110" spans="1:6" ht="15" customHeight="1" x14ac:dyDescent="0.2">
      <c r="A110" s="147">
        <v>8</v>
      </c>
      <c r="B110" s="169" t="s">
        <v>240</v>
      </c>
      <c r="C110" s="157">
        <v>354117</v>
      </c>
      <c r="D110" s="157">
        <v>632348</v>
      </c>
      <c r="E110" s="157">
        <f t="shared" si="4"/>
        <v>278231</v>
      </c>
      <c r="F110" s="161">
        <f t="shared" si="5"/>
        <v>0.78570359513945953</v>
      </c>
    </row>
    <row r="111" spans="1:6" ht="15" customHeight="1" x14ac:dyDescent="0.2">
      <c r="A111" s="147">
        <v>9</v>
      </c>
      <c r="B111" s="169" t="s">
        <v>241</v>
      </c>
      <c r="C111" s="157">
        <v>1635672</v>
      </c>
      <c r="D111" s="157">
        <v>1264242</v>
      </c>
      <c r="E111" s="157">
        <f t="shared" si="4"/>
        <v>-371430</v>
      </c>
      <c r="F111" s="161">
        <f t="shared" si="5"/>
        <v>-0.22708097956069431</v>
      </c>
    </row>
    <row r="112" spans="1:6" ht="15" customHeight="1" x14ac:dyDescent="0.2">
      <c r="A112" s="147">
        <v>10</v>
      </c>
      <c r="B112" s="169" t="s">
        <v>242</v>
      </c>
      <c r="C112" s="157">
        <v>3476543</v>
      </c>
      <c r="D112" s="157">
        <v>3416831</v>
      </c>
      <c r="E112" s="157">
        <f t="shared" si="4"/>
        <v>-59712</v>
      </c>
      <c r="F112" s="161">
        <f t="shared" si="5"/>
        <v>-1.7175682855066082E-2</v>
      </c>
    </row>
    <row r="113" spans="1:6" ht="15" customHeight="1" x14ac:dyDescent="0.2">
      <c r="A113" s="147">
        <v>11</v>
      </c>
      <c r="B113" s="169" t="s">
        <v>243</v>
      </c>
      <c r="C113" s="157">
        <v>2084650</v>
      </c>
      <c r="D113" s="157">
        <v>2132426</v>
      </c>
      <c r="E113" s="157">
        <f t="shared" si="4"/>
        <v>47776</v>
      </c>
      <c r="F113" s="161">
        <f t="shared" si="5"/>
        <v>2.2917995826637564E-2</v>
      </c>
    </row>
    <row r="114" spans="1:6" ht="15" customHeight="1" x14ac:dyDescent="0.2">
      <c r="A114" s="147">
        <v>12</v>
      </c>
      <c r="B114" s="169" t="s">
        <v>244</v>
      </c>
      <c r="C114" s="157">
        <v>891516</v>
      </c>
      <c r="D114" s="157">
        <v>894223</v>
      </c>
      <c r="E114" s="157">
        <f t="shared" si="4"/>
        <v>2707</v>
      </c>
      <c r="F114" s="161">
        <f t="shared" si="5"/>
        <v>3.0364009170895418E-3</v>
      </c>
    </row>
    <row r="115" spans="1:6" ht="15" customHeight="1" x14ac:dyDescent="0.2">
      <c r="A115" s="147">
        <v>13</v>
      </c>
      <c r="B115" s="169" t="s">
        <v>245</v>
      </c>
      <c r="C115" s="157">
        <v>2759517</v>
      </c>
      <c r="D115" s="157">
        <v>2515157</v>
      </c>
      <c r="E115" s="157">
        <f t="shared" si="4"/>
        <v>-244360</v>
      </c>
      <c r="F115" s="161">
        <f t="shared" si="5"/>
        <v>-8.855172843653436E-2</v>
      </c>
    </row>
    <row r="116" spans="1:6" ht="15" customHeight="1" x14ac:dyDescent="0.2">
      <c r="A116" s="147">
        <v>14</v>
      </c>
      <c r="B116" s="169" t="s">
        <v>246</v>
      </c>
      <c r="C116" s="157">
        <v>878592</v>
      </c>
      <c r="D116" s="157">
        <v>910417</v>
      </c>
      <c r="E116" s="157">
        <f t="shared" si="4"/>
        <v>31825</v>
      </c>
      <c r="F116" s="161">
        <f t="shared" si="5"/>
        <v>3.6222729093822841E-2</v>
      </c>
    </row>
    <row r="117" spans="1:6" ht="15" customHeight="1" x14ac:dyDescent="0.2">
      <c r="A117" s="147">
        <v>15</v>
      </c>
      <c r="B117" s="169" t="s">
        <v>203</v>
      </c>
      <c r="C117" s="157">
        <v>1424028</v>
      </c>
      <c r="D117" s="157">
        <v>1563352</v>
      </c>
      <c r="E117" s="157">
        <f t="shared" si="4"/>
        <v>139324</v>
      </c>
      <c r="F117" s="161">
        <f t="shared" si="5"/>
        <v>9.7837963860261168E-2</v>
      </c>
    </row>
    <row r="118" spans="1:6" ht="15" customHeight="1" x14ac:dyDescent="0.2">
      <c r="A118" s="147">
        <v>16</v>
      </c>
      <c r="B118" s="169" t="s">
        <v>247</v>
      </c>
      <c r="C118" s="157">
        <v>1089309</v>
      </c>
      <c r="D118" s="157">
        <v>1040599</v>
      </c>
      <c r="E118" s="157">
        <f t="shared" si="4"/>
        <v>-48710</v>
      </c>
      <c r="F118" s="161">
        <f t="shared" si="5"/>
        <v>-4.4716421144046364E-2</v>
      </c>
    </row>
    <row r="119" spans="1:6" ht="15" customHeight="1" x14ac:dyDescent="0.2">
      <c r="A119" s="147">
        <v>17</v>
      </c>
      <c r="B119" s="169" t="s">
        <v>248</v>
      </c>
      <c r="C119" s="157">
        <v>7053312</v>
      </c>
      <c r="D119" s="157">
        <v>7347048</v>
      </c>
      <c r="E119" s="157">
        <f t="shared" si="4"/>
        <v>293736</v>
      </c>
      <c r="F119" s="161">
        <f t="shared" si="5"/>
        <v>4.1645116506968644E-2</v>
      </c>
    </row>
    <row r="120" spans="1:6" ht="15" customHeight="1" x14ac:dyDescent="0.2">
      <c r="A120" s="147">
        <v>18</v>
      </c>
      <c r="B120" s="169" t="s">
        <v>249</v>
      </c>
      <c r="C120" s="157">
        <v>28771910</v>
      </c>
      <c r="D120" s="157">
        <v>24001970</v>
      </c>
      <c r="E120" s="157">
        <f t="shared" si="4"/>
        <v>-4769940</v>
      </c>
      <c r="F120" s="161">
        <f t="shared" si="5"/>
        <v>-0.16578461422964272</v>
      </c>
    </row>
    <row r="121" spans="1:6" ht="15.75" customHeight="1" x14ac:dyDescent="0.25">
      <c r="A121" s="147"/>
      <c r="B121" s="165" t="s">
        <v>250</v>
      </c>
      <c r="C121" s="158">
        <f>SUM(C103:C120)</f>
        <v>88988157</v>
      </c>
      <c r="D121" s="158">
        <f>SUM(D103:D120)</f>
        <v>83089892</v>
      </c>
      <c r="E121" s="158">
        <f t="shared" si="4"/>
        <v>-5898265</v>
      </c>
      <c r="F121" s="159">
        <f t="shared" si="5"/>
        <v>-6.6281460352078089E-2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7649831</v>
      </c>
      <c r="D124" s="157">
        <v>8374402</v>
      </c>
      <c r="E124" s="157">
        <f t="shared" ref="E124:E130" si="6">D124-C124</f>
        <v>724571</v>
      </c>
      <c r="F124" s="161">
        <f t="shared" ref="F124:F130" si="7">IF(C124=0,0,E124/C124)</f>
        <v>9.4717255845259848E-2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1430427</v>
      </c>
      <c r="E125" s="157">
        <f t="shared" si="6"/>
        <v>1430427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2019269</v>
      </c>
      <c r="D126" s="157">
        <v>1735206</v>
      </c>
      <c r="E126" s="157">
        <f t="shared" si="6"/>
        <v>-284063</v>
      </c>
      <c r="F126" s="161">
        <f t="shared" si="7"/>
        <v>-0.14067615557907343</v>
      </c>
    </row>
    <row r="127" spans="1:6" ht="15" customHeight="1" x14ac:dyDescent="0.2">
      <c r="A127" s="147">
        <v>4</v>
      </c>
      <c r="B127" s="169" t="s">
        <v>255</v>
      </c>
      <c r="C127" s="157">
        <v>1696856</v>
      </c>
      <c r="D127" s="157">
        <v>2014309</v>
      </c>
      <c r="E127" s="157">
        <f t="shared" si="6"/>
        <v>317453</v>
      </c>
      <c r="F127" s="161">
        <f t="shared" si="7"/>
        <v>0.1870830524216551</v>
      </c>
    </row>
    <row r="128" spans="1:6" ht="15" customHeight="1" x14ac:dyDescent="0.2">
      <c r="A128" s="147">
        <v>5</v>
      </c>
      <c r="B128" s="169" t="s">
        <v>256</v>
      </c>
      <c r="C128" s="157">
        <v>145997</v>
      </c>
      <c r="D128" s="157">
        <v>114895</v>
      </c>
      <c r="E128" s="157">
        <f t="shared" si="6"/>
        <v>-31102</v>
      </c>
      <c r="F128" s="161">
        <f t="shared" si="7"/>
        <v>-0.21303177462550602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11511953</v>
      </c>
      <c r="D130" s="158">
        <f>SUM(D124:D129)</f>
        <v>13669239</v>
      </c>
      <c r="E130" s="158">
        <f t="shared" si="6"/>
        <v>2157286</v>
      </c>
      <c r="F130" s="159">
        <f t="shared" si="7"/>
        <v>0.18739530990093514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12657173</v>
      </c>
      <c r="D133" s="157">
        <v>12756126</v>
      </c>
      <c r="E133" s="157">
        <f t="shared" ref="E133:E167" si="8">D133-C133</f>
        <v>98953</v>
      </c>
      <c r="F133" s="161">
        <f t="shared" ref="F133:F167" si="9">IF(C133=0,0,E133/C133)</f>
        <v>7.8179384922683753E-3</v>
      </c>
    </row>
    <row r="134" spans="1:6" ht="15" customHeight="1" x14ac:dyDescent="0.2">
      <c r="A134" s="147">
        <v>2</v>
      </c>
      <c r="B134" s="169" t="s">
        <v>261</v>
      </c>
      <c r="C134" s="157">
        <v>1085549</v>
      </c>
      <c r="D134" s="157">
        <v>1116773</v>
      </c>
      <c r="E134" s="157">
        <f t="shared" si="8"/>
        <v>31224</v>
      </c>
      <c r="F134" s="161">
        <f t="shared" si="9"/>
        <v>2.8763326206371155E-2</v>
      </c>
    </row>
    <row r="135" spans="1:6" ht="15" customHeight="1" x14ac:dyDescent="0.2">
      <c r="A135" s="147">
        <v>3</v>
      </c>
      <c r="B135" s="169" t="s">
        <v>262</v>
      </c>
      <c r="C135" s="157">
        <v>423228</v>
      </c>
      <c r="D135" s="157">
        <v>388848</v>
      </c>
      <c r="E135" s="157">
        <f t="shared" si="8"/>
        <v>-34380</v>
      </c>
      <c r="F135" s="161">
        <f t="shared" si="9"/>
        <v>-8.1232810683603163E-2</v>
      </c>
    </row>
    <row r="136" spans="1:6" ht="15" customHeight="1" x14ac:dyDescent="0.2">
      <c r="A136" s="147">
        <v>4</v>
      </c>
      <c r="B136" s="169" t="s">
        <v>263</v>
      </c>
      <c r="C136" s="157">
        <v>4087874</v>
      </c>
      <c r="D136" s="157">
        <v>4162289</v>
      </c>
      <c r="E136" s="157">
        <f t="shared" si="8"/>
        <v>74415</v>
      </c>
      <c r="F136" s="161">
        <f t="shared" si="9"/>
        <v>1.8203838963725398E-2</v>
      </c>
    </row>
    <row r="137" spans="1:6" ht="15" customHeight="1" x14ac:dyDescent="0.2">
      <c r="A137" s="147">
        <v>5</v>
      </c>
      <c r="B137" s="169" t="s">
        <v>264</v>
      </c>
      <c r="C137" s="157">
        <v>2384537</v>
      </c>
      <c r="D137" s="157">
        <v>2482618</v>
      </c>
      <c r="E137" s="157">
        <f t="shared" si="8"/>
        <v>98081</v>
      </c>
      <c r="F137" s="161">
        <f t="shared" si="9"/>
        <v>4.1132093987218482E-2</v>
      </c>
    </row>
    <row r="138" spans="1:6" ht="15" customHeight="1" x14ac:dyDescent="0.2">
      <c r="A138" s="147">
        <v>6</v>
      </c>
      <c r="B138" s="169" t="s">
        <v>265</v>
      </c>
      <c r="C138" s="157">
        <v>616603</v>
      </c>
      <c r="D138" s="157">
        <v>638164</v>
      </c>
      <c r="E138" s="157">
        <f t="shared" si="8"/>
        <v>21561</v>
      </c>
      <c r="F138" s="161">
        <f t="shared" si="9"/>
        <v>3.4967393930940976E-2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614286</v>
      </c>
      <c r="D140" s="157">
        <v>527959</v>
      </c>
      <c r="E140" s="157">
        <f t="shared" si="8"/>
        <v>-86327</v>
      </c>
      <c r="F140" s="161">
        <f t="shared" si="9"/>
        <v>-0.14053226021755338</v>
      </c>
    </row>
    <row r="141" spans="1:6" ht="15" customHeight="1" x14ac:dyDescent="0.2">
      <c r="A141" s="147">
        <v>9</v>
      </c>
      <c r="B141" s="169" t="s">
        <v>268</v>
      </c>
      <c r="C141" s="157">
        <v>816471</v>
      </c>
      <c r="D141" s="157">
        <v>753463</v>
      </c>
      <c r="E141" s="157">
        <f t="shared" si="8"/>
        <v>-63008</v>
      </c>
      <c r="F141" s="161">
        <f t="shared" si="9"/>
        <v>-7.7171142637031814E-2</v>
      </c>
    </row>
    <row r="142" spans="1:6" ht="15" customHeight="1" x14ac:dyDescent="0.2">
      <c r="A142" s="147">
        <v>10</v>
      </c>
      <c r="B142" s="169" t="s">
        <v>269</v>
      </c>
      <c r="C142" s="157">
        <v>12607314</v>
      </c>
      <c r="D142" s="157">
        <v>12603080</v>
      </c>
      <c r="E142" s="157">
        <f t="shared" si="8"/>
        <v>-4234</v>
      </c>
      <c r="F142" s="161">
        <f t="shared" si="9"/>
        <v>-3.3583680076501625E-4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1734566</v>
      </c>
      <c r="D144" s="157">
        <v>1809000</v>
      </c>
      <c r="E144" s="157">
        <f t="shared" si="8"/>
        <v>74434</v>
      </c>
      <c r="F144" s="161">
        <f t="shared" si="9"/>
        <v>4.2912175149288065E-2</v>
      </c>
    </row>
    <row r="145" spans="1:6" ht="15" customHeight="1" x14ac:dyDescent="0.2">
      <c r="A145" s="147">
        <v>13</v>
      </c>
      <c r="B145" s="169" t="s">
        <v>272</v>
      </c>
      <c r="C145" s="157">
        <v>218750</v>
      </c>
      <c r="D145" s="157">
        <v>183783</v>
      </c>
      <c r="E145" s="157">
        <f t="shared" si="8"/>
        <v>-34967</v>
      </c>
      <c r="F145" s="161">
        <f t="shared" si="9"/>
        <v>-0.15984914285714286</v>
      </c>
    </row>
    <row r="146" spans="1:6" ht="15" customHeight="1" x14ac:dyDescent="0.2">
      <c r="A146" s="147">
        <v>14</v>
      </c>
      <c r="B146" s="169" t="s">
        <v>273</v>
      </c>
      <c r="C146" s="157">
        <v>195316</v>
      </c>
      <c r="D146" s="157">
        <v>156915</v>
      </c>
      <c r="E146" s="157">
        <f t="shared" si="8"/>
        <v>-38401</v>
      </c>
      <c r="F146" s="161">
        <f t="shared" si="9"/>
        <v>-0.19660959675602613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90484</v>
      </c>
      <c r="D148" s="157">
        <v>95107</v>
      </c>
      <c r="E148" s="157">
        <f t="shared" si="8"/>
        <v>4623</v>
      </c>
      <c r="F148" s="161">
        <f t="shared" si="9"/>
        <v>5.1091905751293049E-2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0</v>
      </c>
      <c r="D150" s="157">
        <v>0</v>
      </c>
      <c r="E150" s="157">
        <f t="shared" si="8"/>
        <v>0</v>
      </c>
      <c r="F150" s="161">
        <f t="shared" si="9"/>
        <v>0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4534783</v>
      </c>
      <c r="D154" s="157">
        <v>4769299</v>
      </c>
      <c r="E154" s="157">
        <f t="shared" si="8"/>
        <v>234516</v>
      </c>
      <c r="F154" s="161">
        <f t="shared" si="9"/>
        <v>5.1714933217311611E-2</v>
      </c>
    </row>
    <row r="155" spans="1:6" ht="15" customHeight="1" x14ac:dyDescent="0.2">
      <c r="A155" s="147">
        <v>23</v>
      </c>
      <c r="B155" s="169" t="s">
        <v>282</v>
      </c>
      <c r="C155" s="157">
        <v>185682</v>
      </c>
      <c r="D155" s="157">
        <v>175518</v>
      </c>
      <c r="E155" s="157">
        <f t="shared" si="8"/>
        <v>-10164</v>
      </c>
      <c r="F155" s="161">
        <f t="shared" si="9"/>
        <v>-5.4738746889843926E-2</v>
      </c>
    </row>
    <row r="156" spans="1:6" ht="15" customHeight="1" x14ac:dyDescent="0.2">
      <c r="A156" s="147">
        <v>24</v>
      </c>
      <c r="B156" s="169" t="s">
        <v>283</v>
      </c>
      <c r="C156" s="157">
        <v>10106781</v>
      </c>
      <c r="D156" s="157">
        <v>10115566</v>
      </c>
      <c r="E156" s="157">
        <f t="shared" si="8"/>
        <v>8785</v>
      </c>
      <c r="F156" s="161">
        <f t="shared" si="9"/>
        <v>8.6921839901349396E-4</v>
      </c>
    </row>
    <row r="157" spans="1:6" ht="15" customHeight="1" x14ac:dyDescent="0.2">
      <c r="A157" s="147">
        <v>25</v>
      </c>
      <c r="B157" s="169" t="s">
        <v>284</v>
      </c>
      <c r="C157" s="157">
        <v>223935</v>
      </c>
      <c r="D157" s="157">
        <v>223469</v>
      </c>
      <c r="E157" s="157">
        <f t="shared" si="8"/>
        <v>-466</v>
      </c>
      <c r="F157" s="161">
        <f t="shared" si="9"/>
        <v>-2.0809609931453322E-3</v>
      </c>
    </row>
    <row r="158" spans="1:6" ht="15" customHeight="1" x14ac:dyDescent="0.2">
      <c r="A158" s="147">
        <v>26</v>
      </c>
      <c r="B158" s="169" t="s">
        <v>285</v>
      </c>
      <c r="C158" s="157">
        <v>498822</v>
      </c>
      <c r="D158" s="157">
        <v>414175</v>
      </c>
      <c r="E158" s="157">
        <f t="shared" si="8"/>
        <v>-84647</v>
      </c>
      <c r="F158" s="161">
        <f t="shared" si="9"/>
        <v>-0.16969379858947681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1731832</v>
      </c>
      <c r="D160" s="157">
        <v>2206103</v>
      </c>
      <c r="E160" s="157">
        <f t="shared" si="8"/>
        <v>474271</v>
      </c>
      <c r="F160" s="161">
        <f t="shared" si="9"/>
        <v>0.27385508525076335</v>
      </c>
    </row>
    <row r="161" spans="1:6" ht="15" customHeight="1" x14ac:dyDescent="0.2">
      <c r="A161" s="147">
        <v>29</v>
      </c>
      <c r="B161" s="169" t="s">
        <v>288</v>
      </c>
      <c r="C161" s="157">
        <v>786871</v>
      </c>
      <c r="D161" s="157">
        <v>601343</v>
      </c>
      <c r="E161" s="157">
        <f t="shared" si="8"/>
        <v>-185528</v>
      </c>
      <c r="F161" s="161">
        <f t="shared" si="9"/>
        <v>-0.23577943525685913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1971872</v>
      </c>
      <c r="D164" s="157">
        <v>1936676</v>
      </c>
      <c r="E164" s="157">
        <f t="shared" si="8"/>
        <v>-35196</v>
      </c>
      <c r="F164" s="161">
        <f t="shared" si="9"/>
        <v>-1.7849028740202205E-2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6968148</v>
      </c>
      <c r="D166" s="157">
        <v>6892454</v>
      </c>
      <c r="E166" s="157">
        <f t="shared" si="8"/>
        <v>-75694</v>
      </c>
      <c r="F166" s="161">
        <f t="shared" si="9"/>
        <v>-1.0862857677534978E-2</v>
      </c>
    </row>
    <row r="167" spans="1:6" ht="15.75" customHeight="1" x14ac:dyDescent="0.25">
      <c r="A167" s="147"/>
      <c r="B167" s="165" t="s">
        <v>294</v>
      </c>
      <c r="C167" s="158">
        <f>SUM(C133:C166)</f>
        <v>64540877</v>
      </c>
      <c r="D167" s="158">
        <f>SUM(D133:D166)</f>
        <v>65008728</v>
      </c>
      <c r="E167" s="158">
        <f t="shared" si="8"/>
        <v>467851</v>
      </c>
      <c r="F167" s="159">
        <f t="shared" si="9"/>
        <v>7.2489098652935872E-3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7428351</v>
      </c>
      <c r="D170" s="157">
        <v>6973713</v>
      </c>
      <c r="E170" s="157">
        <f t="shared" ref="E170:E183" si="10">D170-C170</f>
        <v>-454638</v>
      </c>
      <c r="F170" s="161">
        <f t="shared" ref="F170:F183" si="11">IF(C170=0,0,E170/C170)</f>
        <v>-6.1203085314627703E-2</v>
      </c>
    </row>
    <row r="171" spans="1:6" ht="15" customHeight="1" x14ac:dyDescent="0.2">
      <c r="A171" s="147">
        <v>2</v>
      </c>
      <c r="B171" s="169" t="s">
        <v>297</v>
      </c>
      <c r="C171" s="157">
        <v>7595288</v>
      </c>
      <c r="D171" s="157">
        <v>7925279</v>
      </c>
      <c r="E171" s="157">
        <f t="shared" si="10"/>
        <v>329991</v>
      </c>
      <c r="F171" s="161">
        <f t="shared" si="11"/>
        <v>4.3446805440425694E-2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4272962</v>
      </c>
      <c r="D173" s="157">
        <v>4303667</v>
      </c>
      <c r="E173" s="157">
        <f t="shared" si="10"/>
        <v>30705</v>
      </c>
      <c r="F173" s="161">
        <f t="shared" si="11"/>
        <v>7.1858818309172888E-3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1345793</v>
      </c>
      <c r="D175" s="157">
        <v>1414572</v>
      </c>
      <c r="E175" s="157">
        <f t="shared" si="10"/>
        <v>68779</v>
      </c>
      <c r="F175" s="161">
        <f t="shared" si="11"/>
        <v>5.110667093676368E-2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1315932</v>
      </c>
      <c r="D179" s="157">
        <v>1338003</v>
      </c>
      <c r="E179" s="157">
        <f t="shared" si="10"/>
        <v>22071</v>
      </c>
      <c r="F179" s="161">
        <f t="shared" si="11"/>
        <v>1.6772143241444087E-2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1335773</v>
      </c>
      <c r="D182" s="157">
        <v>1586466</v>
      </c>
      <c r="E182" s="157">
        <f t="shared" si="10"/>
        <v>250693</v>
      </c>
      <c r="F182" s="161">
        <f t="shared" si="11"/>
        <v>0.18767634920005122</v>
      </c>
    </row>
    <row r="183" spans="1:6" ht="15.75" customHeight="1" x14ac:dyDescent="0.25">
      <c r="A183" s="147"/>
      <c r="B183" s="165" t="s">
        <v>309</v>
      </c>
      <c r="C183" s="158">
        <f>SUM(C170:C182)</f>
        <v>23294099</v>
      </c>
      <c r="D183" s="158">
        <f>SUM(D170:D182)</f>
        <v>23541700</v>
      </c>
      <c r="E183" s="158">
        <f t="shared" si="10"/>
        <v>247601</v>
      </c>
      <c r="F183" s="159">
        <f t="shared" si="11"/>
        <v>1.0629344367429709E-2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188335086</v>
      </c>
      <c r="D188" s="158">
        <f>+D186+D183+D167+D130+D121</f>
        <v>185309559</v>
      </c>
      <c r="E188" s="158">
        <f>D188-C188</f>
        <v>-3025527</v>
      </c>
      <c r="F188" s="159">
        <f>IF(C188=0,0,E188/C188)</f>
        <v>-1.6064595632488788E-2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FILING&amp;RMANCHESTER MEMORIAL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175217566</v>
      </c>
      <c r="D11" s="183">
        <v>170299621</v>
      </c>
      <c r="E11" s="76">
        <v>172204267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19861936</v>
      </c>
      <c r="D12" s="185">
        <v>19289474</v>
      </c>
      <c r="E12" s="185">
        <v>17340796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195079502</v>
      </c>
      <c r="D13" s="76">
        <f>+D11+D12</f>
        <v>189589095</v>
      </c>
      <c r="E13" s="76">
        <f>+E11+E12</f>
        <v>189545063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184446001</v>
      </c>
      <c r="D14" s="185">
        <v>188335086</v>
      </c>
      <c r="E14" s="185">
        <v>185309559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10633501</v>
      </c>
      <c r="D15" s="76">
        <f>+D13-D14</f>
        <v>1254009</v>
      </c>
      <c r="E15" s="76">
        <f>+E13-E14</f>
        <v>4235504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-868637</v>
      </c>
      <c r="D16" s="185">
        <v>-1466699</v>
      </c>
      <c r="E16" s="185">
        <v>-1743322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9764864</v>
      </c>
      <c r="D17" s="76">
        <f>D15+D16</f>
        <v>-212690</v>
      </c>
      <c r="E17" s="76">
        <f>E15+E16</f>
        <v>2492182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5.4752348690687312E-2</v>
      </c>
      <c r="D20" s="189">
        <f>IF(+D27=0,0,+D24/+D27)</f>
        <v>6.6659208401747124E-3</v>
      </c>
      <c r="E20" s="189">
        <f>IF(+E27=0,0,+E24/+E27)</f>
        <v>2.2553060357411704E-2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-4.4726488397031751E-3</v>
      </c>
      <c r="D21" s="189">
        <f>IF(D27=0,0,+D26/D27)</f>
        <v>-7.7965145627849645E-3</v>
      </c>
      <c r="E21" s="189">
        <f>IF(E27=0,0,+E26/E27)</f>
        <v>-9.2827786937289356E-3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5.0279699850984134E-2</v>
      </c>
      <c r="D22" s="189">
        <f>IF(D27=0,0,+D28/D27)</f>
        <v>-1.1305937226102521E-3</v>
      </c>
      <c r="E22" s="189">
        <f>IF(E27=0,0,+E28/E27)</f>
        <v>1.3270281663682767E-2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10633501</v>
      </c>
      <c r="D24" s="76">
        <f>+D15</f>
        <v>1254009</v>
      </c>
      <c r="E24" s="76">
        <f>+E15</f>
        <v>4235504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195079502</v>
      </c>
      <c r="D25" s="76">
        <f>+D13</f>
        <v>189589095</v>
      </c>
      <c r="E25" s="76">
        <f>+E13</f>
        <v>189545063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-868637</v>
      </c>
      <c r="D26" s="76">
        <f>+D16</f>
        <v>-1466699</v>
      </c>
      <c r="E26" s="76">
        <f>+E16</f>
        <v>-1743322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194210865</v>
      </c>
      <c r="D27" s="76">
        <f>+D25+D26</f>
        <v>188122396</v>
      </c>
      <c r="E27" s="76">
        <f>+E25+E26</f>
        <v>187801741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9764864</v>
      </c>
      <c r="D28" s="76">
        <f>+D17</f>
        <v>-212690</v>
      </c>
      <c r="E28" s="76">
        <f>+E17</f>
        <v>2492182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4925515</v>
      </c>
      <c r="D31" s="76">
        <v>27759929</v>
      </c>
      <c r="E31" s="76">
        <v>11344473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15005773</v>
      </c>
      <c r="D32" s="76">
        <v>37731740</v>
      </c>
      <c r="E32" s="76">
        <v>24798417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2864131</v>
      </c>
      <c r="D33" s="76">
        <f>+D32-C32</f>
        <v>22725967</v>
      </c>
      <c r="E33" s="76">
        <f>+E32-D32</f>
        <v>-12933323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1.2358</v>
      </c>
      <c r="D34" s="193">
        <f>IF(C32=0,0,+D33/C32)</f>
        <v>1.5144815931841697</v>
      </c>
      <c r="E34" s="193">
        <f>IF(D32=0,0,+E33/D32)</f>
        <v>-0.3427703837670884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0.36041240491007664</v>
      </c>
      <c r="D38" s="195">
        <f>IF((D40+D41)=0,0,+D39/(D40+D41))</f>
        <v>0.32342537059621679</v>
      </c>
      <c r="E38" s="195">
        <f>IF((E40+E41)=0,0,+E39/(E40+E41))</f>
        <v>0.29922399509133907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184446001</v>
      </c>
      <c r="D39" s="76">
        <v>188335086</v>
      </c>
      <c r="E39" s="196">
        <v>185309559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491901806</v>
      </c>
      <c r="D40" s="76">
        <v>563024417</v>
      </c>
      <c r="E40" s="196">
        <v>601959668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19861936</v>
      </c>
      <c r="D41" s="76">
        <v>19289474</v>
      </c>
      <c r="E41" s="196">
        <v>17340796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1.3382484568445903</v>
      </c>
      <c r="D43" s="197">
        <f>IF(D38=0,0,IF((D46-D47)=0,0,((+D44-D45)/(D46-D47)/D38)))</f>
        <v>1.3505563500127604</v>
      </c>
      <c r="E43" s="197">
        <f>IF(E38=0,0,IF((E46-E47)=0,0,((+E44-E45)/(E46-E47)/E38)))</f>
        <v>1.36814802887894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87693923</v>
      </c>
      <c r="D44" s="76">
        <v>88413152</v>
      </c>
      <c r="E44" s="196">
        <v>85464345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355294</v>
      </c>
      <c r="D45" s="76">
        <v>476710</v>
      </c>
      <c r="E45" s="196">
        <v>408998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192665512</v>
      </c>
      <c r="D46" s="76">
        <v>211134171</v>
      </c>
      <c r="E46" s="196">
        <v>216312756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11585761</v>
      </c>
      <c r="D47" s="76">
        <v>9816408</v>
      </c>
      <c r="E47" s="76">
        <v>8547887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0.77798002059428106</v>
      </c>
      <c r="D49" s="198">
        <f>IF(D38=0,0,IF(D51=0,0,(D50/D51)/D38))</f>
        <v>0.75998632627273688</v>
      </c>
      <c r="E49" s="198">
        <f>IF(E38=0,0,IF(E51=0,0,(E50/E51)/E38))</f>
        <v>0.81643074846935715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59414363</v>
      </c>
      <c r="D50" s="199">
        <v>60507116</v>
      </c>
      <c r="E50" s="199">
        <v>62692532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211896250</v>
      </c>
      <c r="D51" s="199">
        <v>246165162</v>
      </c>
      <c r="E51" s="199">
        <v>256625637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0.69413738902728617</v>
      </c>
      <c r="D53" s="198">
        <f>IF(D38=0,0,IF(D55=0,0,(D54/D55)/D38))</f>
        <v>0.69121111559703396</v>
      </c>
      <c r="E53" s="198">
        <f>IF(E38=0,0,IF(E55=0,0,(E54/E55)/E38))</f>
        <v>0.72131877557365465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21429106</v>
      </c>
      <c r="D54" s="199">
        <v>23251760</v>
      </c>
      <c r="E54" s="199">
        <v>27287201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85656216</v>
      </c>
      <c r="D55" s="199">
        <v>104009027</v>
      </c>
      <c r="E55" s="199">
        <v>126425691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4085613.3973163343</v>
      </c>
      <c r="D57" s="88">
        <f>+D60*D38</f>
        <v>3049041.9035126502</v>
      </c>
      <c r="E57" s="88">
        <f>+E60*E38</f>
        <v>2463730.4827753967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4953633</v>
      </c>
      <c r="D58" s="199">
        <v>3908882</v>
      </c>
      <c r="E58" s="199">
        <v>2411263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6382307</v>
      </c>
      <c r="D59" s="199">
        <v>5518461</v>
      </c>
      <c r="E59" s="199">
        <v>5822470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11335940</v>
      </c>
      <c r="D60" s="76">
        <v>9427343</v>
      </c>
      <c r="E60" s="201">
        <v>8233733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2.2150729076074325E-2</v>
      </c>
      <c r="D62" s="202">
        <f>IF(D63=0,0,+D57/D63)</f>
        <v>1.6189452365305158E-2</v>
      </c>
      <c r="E62" s="202">
        <f>IF(E63=0,0,+E57/E63)</f>
        <v>1.3295215293105287E-2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184446001</v>
      </c>
      <c r="D63" s="199">
        <v>188335086</v>
      </c>
      <c r="E63" s="199">
        <v>185309559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1.3114270425416319</v>
      </c>
      <c r="D67" s="203">
        <f>IF(D69=0,0,D68/D69)</f>
        <v>1.1865868171863634</v>
      </c>
      <c r="E67" s="203">
        <f>IF(E69=0,0,E68/E69)</f>
        <v>1.137136464486636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46454149</v>
      </c>
      <c r="D68" s="204">
        <v>49732057</v>
      </c>
      <c r="E68" s="204">
        <v>44942062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35422595</v>
      </c>
      <c r="D69" s="204">
        <v>41911857</v>
      </c>
      <c r="E69" s="204">
        <v>39522136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13.187110390011412</v>
      </c>
      <c r="D71" s="203">
        <f>IF((D77/365)=0,0,+D74/(D77/365))</f>
        <v>24.65190621792155</v>
      </c>
      <c r="E71" s="203">
        <f>IF((E77/365)=0,0,+E74/(E77/365))</f>
        <v>19.175455094798689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6414687</v>
      </c>
      <c r="D72" s="183">
        <v>12239488</v>
      </c>
      <c r="E72" s="183">
        <v>9361439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6414687</v>
      </c>
      <c r="D74" s="204">
        <f>+D72+D73</f>
        <v>12239488</v>
      </c>
      <c r="E74" s="204">
        <f>+E72+E73</f>
        <v>9361439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184446001</v>
      </c>
      <c r="D75" s="204">
        <f>+D14</f>
        <v>188335086</v>
      </c>
      <c r="E75" s="204">
        <f>+E14</f>
        <v>185309559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6896812</v>
      </c>
      <c r="D76" s="204">
        <v>7115302</v>
      </c>
      <c r="E76" s="204">
        <v>7116905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177549189</v>
      </c>
      <c r="D77" s="204">
        <f>+D75-D76</f>
        <v>181219784</v>
      </c>
      <c r="E77" s="204">
        <f>+E75-E76</f>
        <v>178192654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59.87127840253185</v>
      </c>
      <c r="D79" s="203">
        <f>IF((D84/365)=0,0,+D83/(D84/365))</f>
        <v>58.548352876252146</v>
      </c>
      <c r="E79" s="203">
        <f>IF((E84/365)=0,0,+E83/(E84/365))</f>
        <v>51.439809589619522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26534856</v>
      </c>
      <c r="D80" s="212">
        <v>27182276</v>
      </c>
      <c r="E80" s="212">
        <v>25099884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3549365</v>
      </c>
      <c r="D81" s="212">
        <v>3078822</v>
      </c>
      <c r="E81" s="212">
        <v>3454150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1343126</v>
      </c>
      <c r="D82" s="212">
        <v>2943941</v>
      </c>
      <c r="E82" s="212">
        <v>4285117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28741095</v>
      </c>
      <c r="D83" s="212">
        <f>+D80+D81-D82</f>
        <v>27317157</v>
      </c>
      <c r="E83" s="212">
        <f>+E80+E81-E82</f>
        <v>24268917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175217566</v>
      </c>
      <c r="D84" s="204">
        <f>+D11</f>
        <v>170299621</v>
      </c>
      <c r="E84" s="204">
        <f>+E11</f>
        <v>172204267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72.820649014623214</v>
      </c>
      <c r="D86" s="203">
        <f>IF((D90/365)=0,0,+D87/(D90/365))</f>
        <v>84.415881463582366</v>
      </c>
      <c r="E86" s="203">
        <f>IF((E90/365)=0,0,+E87/(E90/365))</f>
        <v>80.9549625990755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35422595</v>
      </c>
      <c r="D87" s="76">
        <f>+D69</f>
        <v>41911857</v>
      </c>
      <c r="E87" s="76">
        <f>+E69</f>
        <v>39522136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184446001</v>
      </c>
      <c r="D88" s="76">
        <f t="shared" si="0"/>
        <v>188335086</v>
      </c>
      <c r="E88" s="76">
        <f t="shared" si="0"/>
        <v>185309559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6896812</v>
      </c>
      <c r="D89" s="201">
        <f t="shared" si="0"/>
        <v>7115302</v>
      </c>
      <c r="E89" s="201">
        <f t="shared" si="0"/>
        <v>7116905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177549189</v>
      </c>
      <c r="D90" s="76">
        <f>+D88-D89</f>
        <v>181219784</v>
      </c>
      <c r="E90" s="76">
        <f>+E88-E89</f>
        <v>178192654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8.8232203719821563</v>
      </c>
      <c r="D94" s="214">
        <f>IF(D96=0,0,(D95/D96)*100)</f>
        <v>21.665636337939262</v>
      </c>
      <c r="E94" s="214">
        <f>IF(E96=0,0,(E95/E96)*100)</f>
        <v>15.330908080263491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15005773</v>
      </c>
      <c r="D95" s="76">
        <f>+D32</f>
        <v>37731740</v>
      </c>
      <c r="E95" s="76">
        <f>+E32</f>
        <v>24798417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170071384</v>
      </c>
      <c r="D96" s="76">
        <v>174154774</v>
      </c>
      <c r="E96" s="76">
        <v>161754391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19.130412058855853</v>
      </c>
      <c r="D98" s="214">
        <f>IF(D104=0,0,(D101/D104)*100)</f>
        <v>7.445727968958102</v>
      </c>
      <c r="E98" s="214">
        <f>IF(E104=0,0,(E101/E104)*100)</f>
        <v>10.683510207440671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9764864</v>
      </c>
      <c r="D99" s="76">
        <f>+D28</f>
        <v>-212690</v>
      </c>
      <c r="E99" s="76">
        <f>+E28</f>
        <v>2492182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6896812</v>
      </c>
      <c r="D100" s="201">
        <f>+D76</f>
        <v>7115302</v>
      </c>
      <c r="E100" s="201">
        <f>+E76</f>
        <v>7116905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16661676</v>
      </c>
      <c r="D101" s="76">
        <f>+D99+D100</f>
        <v>6902612</v>
      </c>
      <c r="E101" s="76">
        <f>+E99+E100</f>
        <v>9609087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35422595</v>
      </c>
      <c r="D102" s="204">
        <f>+D69</f>
        <v>41911857</v>
      </c>
      <c r="E102" s="204">
        <f>+E69</f>
        <v>39522136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51672633</v>
      </c>
      <c r="D103" s="216">
        <v>50793813</v>
      </c>
      <c r="E103" s="216">
        <v>50421027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87095228</v>
      </c>
      <c r="D104" s="204">
        <f>+D102+D103</f>
        <v>92705670</v>
      </c>
      <c r="E104" s="204">
        <f>+E102+E103</f>
        <v>89943163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77.495303352032735</v>
      </c>
      <c r="D106" s="214">
        <f>IF(D109=0,0,(D107/D109)*100)</f>
        <v>57.377572100566269</v>
      </c>
      <c r="E106" s="214">
        <f>IF(E109=0,0,(E107/E109)*100)</f>
        <v>67.031906005580154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51672633</v>
      </c>
      <c r="D107" s="204">
        <f>+D103</f>
        <v>50793813</v>
      </c>
      <c r="E107" s="204">
        <f>+E103</f>
        <v>50421027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15005773</v>
      </c>
      <c r="D108" s="204">
        <f>+D32</f>
        <v>37731740</v>
      </c>
      <c r="E108" s="204">
        <f>+E32</f>
        <v>24798417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66678406</v>
      </c>
      <c r="D109" s="204">
        <f>+D107+D108</f>
        <v>88525553</v>
      </c>
      <c r="E109" s="204">
        <f>+E107+E108</f>
        <v>75219444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1.519931344800969</v>
      </c>
      <c r="D111" s="214">
        <f>IF((+D113+D115)=0,0,((+D112+D113+D114)/(+D113+D115)))</f>
        <v>0.72439947788175207</v>
      </c>
      <c r="E111" s="214">
        <f>IF((+E113+E115)=0,0,((+E112+E113+E114)/(+E113+E115)))</f>
        <v>1.8111501140442332</v>
      </c>
    </row>
    <row r="112" spans="1:6" ht="24" customHeight="1" x14ac:dyDescent="0.2">
      <c r="A112" s="85">
        <v>16</v>
      </c>
      <c r="B112" s="75" t="s">
        <v>373</v>
      </c>
      <c r="C112" s="218">
        <f>+C17</f>
        <v>9764864</v>
      </c>
      <c r="D112" s="76">
        <f>+D17</f>
        <v>-212690</v>
      </c>
      <c r="E112" s="76">
        <f>+E17</f>
        <v>2492182</v>
      </c>
    </row>
    <row r="113" spans="1:8" ht="24" customHeight="1" x14ac:dyDescent="0.2">
      <c r="A113" s="85">
        <v>17</v>
      </c>
      <c r="B113" s="75" t="s">
        <v>88</v>
      </c>
      <c r="C113" s="218">
        <v>2714044</v>
      </c>
      <c r="D113" s="76">
        <v>2685044</v>
      </c>
      <c r="E113" s="76">
        <v>2589201</v>
      </c>
    </row>
    <row r="114" spans="1:8" ht="24" customHeight="1" x14ac:dyDescent="0.2">
      <c r="A114" s="85">
        <v>18</v>
      </c>
      <c r="B114" s="75" t="s">
        <v>374</v>
      </c>
      <c r="C114" s="218">
        <v>6896812</v>
      </c>
      <c r="D114" s="76">
        <v>7115302</v>
      </c>
      <c r="E114" s="76">
        <v>7116905</v>
      </c>
    </row>
    <row r="115" spans="1:8" ht="24" customHeight="1" x14ac:dyDescent="0.2">
      <c r="A115" s="85">
        <v>19</v>
      </c>
      <c r="B115" s="75" t="s">
        <v>104</v>
      </c>
      <c r="C115" s="218">
        <v>10033716</v>
      </c>
      <c r="D115" s="76">
        <v>10550272</v>
      </c>
      <c r="E115" s="76">
        <v>4145905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20.820256373524462</v>
      </c>
      <c r="D119" s="214">
        <f>IF(+D121=0,0,(+D120)/(+D121))</f>
        <v>18.941568045881962</v>
      </c>
      <c r="E119" s="214">
        <f>IF(+E121=0,0,(+E120)/(+E121))</f>
        <v>19.879552839331144</v>
      </c>
    </row>
    <row r="120" spans="1:8" ht="24" customHeight="1" x14ac:dyDescent="0.2">
      <c r="A120" s="85">
        <v>21</v>
      </c>
      <c r="B120" s="75" t="s">
        <v>378</v>
      </c>
      <c r="C120" s="218">
        <v>143593394</v>
      </c>
      <c r="D120" s="218">
        <v>134774977</v>
      </c>
      <c r="E120" s="218">
        <v>141480889</v>
      </c>
    </row>
    <row r="121" spans="1:8" ht="24" customHeight="1" x14ac:dyDescent="0.2">
      <c r="A121" s="85">
        <v>22</v>
      </c>
      <c r="B121" s="75" t="s">
        <v>374</v>
      </c>
      <c r="C121" s="218">
        <v>6896812</v>
      </c>
      <c r="D121" s="218">
        <v>7115302</v>
      </c>
      <c r="E121" s="218">
        <v>7116905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45545</v>
      </c>
      <c r="D124" s="218">
        <v>46662</v>
      </c>
      <c r="E124" s="218">
        <v>44106</v>
      </c>
    </row>
    <row r="125" spans="1:8" ht="24" customHeight="1" x14ac:dyDescent="0.2">
      <c r="A125" s="85">
        <v>2</v>
      </c>
      <c r="B125" s="75" t="s">
        <v>381</v>
      </c>
      <c r="C125" s="218">
        <v>8831</v>
      </c>
      <c r="D125" s="218">
        <v>9342</v>
      </c>
      <c r="E125" s="218">
        <v>9110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5.1574000679424756</v>
      </c>
      <c r="D126" s="219">
        <f>IF(D125=0,0,D124/D125)</f>
        <v>4.9948619139370587</v>
      </c>
      <c r="E126" s="219">
        <f>IF(E125=0,0,E124/E125)</f>
        <v>4.8414928649835343</v>
      </c>
    </row>
    <row r="127" spans="1:8" ht="24" customHeight="1" x14ac:dyDescent="0.2">
      <c r="A127" s="85">
        <v>4</v>
      </c>
      <c r="B127" s="75" t="s">
        <v>383</v>
      </c>
      <c r="C127" s="218">
        <v>171</v>
      </c>
      <c r="D127" s="218">
        <v>171</v>
      </c>
      <c r="E127" s="218">
        <v>171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283</v>
      </c>
      <c r="E128" s="218">
        <v>283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283</v>
      </c>
      <c r="D129" s="218">
        <v>283</v>
      </c>
      <c r="E129" s="218">
        <v>283</v>
      </c>
    </row>
    <row r="130" spans="1:7" ht="24" customHeight="1" x14ac:dyDescent="0.2">
      <c r="A130" s="85">
        <v>7</v>
      </c>
      <c r="B130" s="75" t="s">
        <v>386</v>
      </c>
      <c r="C130" s="193">
        <v>0.72970000000000002</v>
      </c>
      <c r="D130" s="193">
        <v>0.74760000000000004</v>
      </c>
      <c r="E130" s="193">
        <v>0.70660000000000001</v>
      </c>
    </row>
    <row r="131" spans="1:7" ht="24" customHeight="1" x14ac:dyDescent="0.2">
      <c r="A131" s="85">
        <v>8</v>
      </c>
      <c r="B131" s="75" t="s">
        <v>387</v>
      </c>
      <c r="C131" s="193">
        <v>0.44090000000000001</v>
      </c>
      <c r="D131" s="193">
        <v>0.45169999999999999</v>
      </c>
      <c r="E131" s="193">
        <v>0.4269</v>
      </c>
    </row>
    <row r="132" spans="1:7" ht="24" customHeight="1" x14ac:dyDescent="0.2">
      <c r="A132" s="85">
        <v>9</v>
      </c>
      <c r="B132" s="75" t="s">
        <v>388</v>
      </c>
      <c r="C132" s="219">
        <v>1075.8</v>
      </c>
      <c r="D132" s="219">
        <v>1108.7</v>
      </c>
      <c r="E132" s="219">
        <v>1152.7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0.36812174460689012</v>
      </c>
      <c r="D135" s="227">
        <f>IF(D149=0,0,D143/D149)</f>
        <v>0.3575648887000224</v>
      </c>
      <c r="E135" s="227">
        <f>IF(E149=0,0,E143/E149)</f>
        <v>0.34514749084485175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0.43076940847824413</v>
      </c>
      <c r="D136" s="227">
        <f>IF(D149=0,0,D144/D149)</f>
        <v>0.43721933643954203</v>
      </c>
      <c r="E136" s="227">
        <f>IF(E149=0,0,E144/E149)</f>
        <v>0.42631699537717199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0.17413275364148592</v>
      </c>
      <c r="D137" s="227">
        <f>IF(D149=0,0,D145/D149)</f>
        <v>0.18473271115700121</v>
      </c>
      <c r="E137" s="227">
        <f>IF(E149=0,0,E145/E149)</f>
        <v>0.21002352436675209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2.355299545291769E-2</v>
      </c>
      <c r="D139" s="227">
        <f>IF(D149=0,0,D147/D149)</f>
        <v>1.7435137275760459E-2</v>
      </c>
      <c r="E139" s="227">
        <f>IF(E149=0,0,E147/E149)</f>
        <v>1.4200099200001553E-2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3.4230978204621595E-3</v>
      </c>
      <c r="D140" s="227">
        <f>IF(D149=0,0,D148/D149)</f>
        <v>3.0479264276739174E-3</v>
      </c>
      <c r="E140" s="227">
        <f>IF(E149=0,0,E148/E149)</f>
        <v>4.3118902112225894E-3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181079751</v>
      </c>
      <c r="D143" s="229">
        <f>+D46-D147</f>
        <v>201317763</v>
      </c>
      <c r="E143" s="229">
        <f>+E46-E147</f>
        <v>207764869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211896250</v>
      </c>
      <c r="D144" s="229">
        <f>+D51</f>
        <v>246165162</v>
      </c>
      <c r="E144" s="229">
        <f>+E51</f>
        <v>256625637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85656216</v>
      </c>
      <c r="D145" s="229">
        <f>+D55</f>
        <v>104009027</v>
      </c>
      <c r="E145" s="229">
        <f>+E55</f>
        <v>126425691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11585761</v>
      </c>
      <c r="D147" s="229">
        <f>+D47</f>
        <v>9816408</v>
      </c>
      <c r="E147" s="229">
        <f>+E47</f>
        <v>8547887</v>
      </c>
    </row>
    <row r="148" spans="1:7" ht="20.100000000000001" customHeight="1" x14ac:dyDescent="0.2">
      <c r="A148" s="226">
        <v>13</v>
      </c>
      <c r="B148" s="224" t="s">
        <v>402</v>
      </c>
      <c r="C148" s="230">
        <v>1683828</v>
      </c>
      <c r="D148" s="229">
        <v>1716057</v>
      </c>
      <c r="E148" s="229">
        <v>2595584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491901806</v>
      </c>
      <c r="D149" s="229">
        <f>SUM(D143:D148)</f>
        <v>563024417</v>
      </c>
      <c r="E149" s="229">
        <f>SUM(E143:E148)</f>
        <v>601959668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0.51513044559199894</v>
      </c>
      <c r="D152" s="227">
        <f>IF(D166=0,0,D160/D166)</f>
        <v>0.50883008974201416</v>
      </c>
      <c r="E152" s="227">
        <f>IF(E166=0,0,E160/E166)</f>
        <v>0.48299136287426042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0.35043081895360156</v>
      </c>
      <c r="D153" s="227">
        <f>IF(D166=0,0,D161/D166)</f>
        <v>0.35011470289314706</v>
      </c>
      <c r="E153" s="227">
        <f>IF(E166=0,0,E161/E166)</f>
        <v>0.3560029150515156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0.12639063663820713</v>
      </c>
      <c r="D154" s="227">
        <f>IF(D166=0,0,D162/D166)</f>
        <v>0.13454257254870255</v>
      </c>
      <c r="E154" s="227">
        <f>IF(E166=0,0,E162/E166)</f>
        <v>0.15495183859533113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2.0955533494367504E-3</v>
      </c>
      <c r="D156" s="227">
        <f>IF(D166=0,0,D164/D166)</f>
        <v>2.7584058049666777E-3</v>
      </c>
      <c r="E156" s="227">
        <f>IF(E166=0,0,E164/E166)</f>
        <v>2.3225171420774614E-3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5.9525454667555579E-3</v>
      </c>
      <c r="D157" s="227">
        <f>IF(D166=0,0,D165/D166)</f>
        <v>3.7542290111695271E-3</v>
      </c>
      <c r="E157" s="227">
        <f>IF(E166=0,0,E165/E166)</f>
        <v>3.7313663368153771E-3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87338629</v>
      </c>
      <c r="D160" s="229">
        <f>+D44-D164</f>
        <v>87936442</v>
      </c>
      <c r="E160" s="229">
        <f>+E44-E164</f>
        <v>85055347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59414363</v>
      </c>
      <c r="D161" s="229">
        <f>+D50</f>
        <v>60507116</v>
      </c>
      <c r="E161" s="229">
        <f>+E50</f>
        <v>62692532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21429106</v>
      </c>
      <c r="D162" s="229">
        <f>+D54</f>
        <v>23251760</v>
      </c>
      <c r="E162" s="229">
        <f>+E54</f>
        <v>27287201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355294</v>
      </c>
      <c r="D164" s="229">
        <f>+D45</f>
        <v>476710</v>
      </c>
      <c r="E164" s="229">
        <f>+E45</f>
        <v>408998</v>
      </c>
    </row>
    <row r="165" spans="1:6" ht="20.100000000000001" customHeight="1" x14ac:dyDescent="0.2">
      <c r="A165" s="226">
        <v>13</v>
      </c>
      <c r="B165" s="224" t="s">
        <v>417</v>
      </c>
      <c r="C165" s="230">
        <v>1009234</v>
      </c>
      <c r="D165" s="229">
        <v>648809</v>
      </c>
      <c r="E165" s="229">
        <v>657098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169546626</v>
      </c>
      <c r="D166" s="229">
        <f>SUM(D160:D165)</f>
        <v>172820837</v>
      </c>
      <c r="E166" s="229">
        <f>SUM(E160:E165)</f>
        <v>176101176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3296</v>
      </c>
      <c r="D169" s="218">
        <v>3395</v>
      </c>
      <c r="E169" s="218">
        <v>3214</v>
      </c>
    </row>
    <row r="170" spans="1:6" ht="20.100000000000001" customHeight="1" x14ac:dyDescent="0.2">
      <c r="A170" s="226">
        <v>2</v>
      </c>
      <c r="B170" s="224" t="s">
        <v>420</v>
      </c>
      <c r="C170" s="218">
        <v>3537</v>
      </c>
      <c r="D170" s="218">
        <v>3821</v>
      </c>
      <c r="E170" s="218">
        <v>3676</v>
      </c>
    </row>
    <row r="171" spans="1:6" ht="20.100000000000001" customHeight="1" x14ac:dyDescent="0.2">
      <c r="A171" s="226">
        <v>3</v>
      </c>
      <c r="B171" s="224" t="s">
        <v>421</v>
      </c>
      <c r="C171" s="218">
        <v>1957</v>
      </c>
      <c r="D171" s="218">
        <v>2085</v>
      </c>
      <c r="E171" s="218">
        <v>2180</v>
      </c>
    </row>
    <row r="172" spans="1:6" ht="20.100000000000001" customHeight="1" x14ac:dyDescent="0.2">
      <c r="A172" s="226">
        <v>4</v>
      </c>
      <c r="B172" s="224" t="s">
        <v>422</v>
      </c>
      <c r="C172" s="218">
        <v>1957</v>
      </c>
      <c r="D172" s="218">
        <v>2085</v>
      </c>
      <c r="E172" s="218">
        <v>2180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41</v>
      </c>
      <c r="D174" s="218">
        <v>41</v>
      </c>
      <c r="E174" s="218">
        <v>40</v>
      </c>
    </row>
    <row r="175" spans="1:6" ht="20.100000000000001" customHeight="1" x14ac:dyDescent="0.2">
      <c r="A175" s="226">
        <v>7</v>
      </c>
      <c r="B175" s="224" t="s">
        <v>425</v>
      </c>
      <c r="C175" s="218">
        <v>182</v>
      </c>
      <c r="D175" s="218">
        <v>218</v>
      </c>
      <c r="E175" s="218">
        <v>101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8831</v>
      </c>
      <c r="D176" s="218">
        <f>+D169+D170+D171+D174</f>
        <v>9342</v>
      </c>
      <c r="E176" s="218">
        <f>+E169+E170+E171+E174</f>
        <v>9110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0.98934999999999995</v>
      </c>
      <c r="D179" s="231">
        <v>0.98411999999999999</v>
      </c>
      <c r="E179" s="231">
        <v>1.0006200000000001</v>
      </c>
    </row>
    <row r="180" spans="1:6" ht="20.100000000000001" customHeight="1" x14ac:dyDescent="0.2">
      <c r="A180" s="226">
        <v>2</v>
      </c>
      <c r="B180" s="224" t="s">
        <v>420</v>
      </c>
      <c r="C180" s="231">
        <v>1.43563</v>
      </c>
      <c r="D180" s="231">
        <v>1.5048900000000001</v>
      </c>
      <c r="E180" s="231">
        <v>1.46454</v>
      </c>
    </row>
    <row r="181" spans="1:6" ht="20.100000000000001" customHeight="1" x14ac:dyDescent="0.2">
      <c r="A181" s="226">
        <v>3</v>
      </c>
      <c r="B181" s="224" t="s">
        <v>421</v>
      </c>
      <c r="C181" s="231">
        <v>0.92262999999999995</v>
      </c>
      <c r="D181" s="231">
        <v>0.96306000000000003</v>
      </c>
      <c r="E181" s="231">
        <v>1.0111699999999999</v>
      </c>
    </row>
    <row r="182" spans="1:6" ht="20.100000000000001" customHeight="1" x14ac:dyDescent="0.2">
      <c r="A182" s="226">
        <v>4</v>
      </c>
      <c r="B182" s="224" t="s">
        <v>422</v>
      </c>
      <c r="C182" s="231">
        <v>0.92262999999999995</v>
      </c>
      <c r="D182" s="231">
        <v>0.96306000000000003</v>
      </c>
      <c r="E182" s="231">
        <v>1.0111699999999999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0.90251000000000003</v>
      </c>
      <c r="D184" s="231">
        <v>1.0127900000000001</v>
      </c>
      <c r="E184" s="231">
        <v>1.1261000000000001</v>
      </c>
    </row>
    <row r="185" spans="1:6" ht="20.100000000000001" customHeight="1" x14ac:dyDescent="0.2">
      <c r="A185" s="226">
        <v>7</v>
      </c>
      <c r="B185" s="224" t="s">
        <v>425</v>
      </c>
      <c r="C185" s="231">
        <v>1.0105299999999999</v>
      </c>
      <c r="D185" s="231">
        <v>1.0421400000000001</v>
      </c>
      <c r="E185" s="231">
        <v>1.0187999999999999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1.1529050000000001</v>
      </c>
      <c r="D186" s="231">
        <v>1.192547</v>
      </c>
      <c r="E186" s="231">
        <v>1.190893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5028</v>
      </c>
      <c r="D189" s="218">
        <v>6189</v>
      </c>
      <c r="E189" s="218">
        <v>5484</v>
      </c>
    </row>
    <row r="190" spans="1:6" ht="20.100000000000001" customHeight="1" x14ac:dyDescent="0.2">
      <c r="A190" s="226">
        <v>2</v>
      </c>
      <c r="B190" s="224" t="s">
        <v>433</v>
      </c>
      <c r="C190" s="218">
        <v>41475</v>
      </c>
      <c r="D190" s="218">
        <v>40876</v>
      </c>
      <c r="E190" s="218">
        <v>35557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46503</v>
      </c>
      <c r="D191" s="218">
        <f>+D190+D189</f>
        <v>47065</v>
      </c>
      <c r="E191" s="218">
        <f>+E190+E189</f>
        <v>41041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FILING&amp;RMANCHESTER MEMORIAL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1461633</v>
      </c>
      <c r="D14" s="258">
        <v>696595</v>
      </c>
      <c r="E14" s="258">
        <f t="shared" ref="E14:E24" si="0">D14-C14</f>
        <v>-765038</v>
      </c>
      <c r="F14" s="259">
        <f t="shared" ref="F14:F24" si="1">IF(C14=0,0,E14/C14)</f>
        <v>-0.52341319606221259</v>
      </c>
    </row>
    <row r="15" spans="1:7" ht="20.25" customHeight="1" x14ac:dyDescent="0.3">
      <c r="A15" s="256">
        <v>2</v>
      </c>
      <c r="B15" s="257" t="s">
        <v>442</v>
      </c>
      <c r="C15" s="258">
        <v>461345</v>
      </c>
      <c r="D15" s="258">
        <v>143489</v>
      </c>
      <c r="E15" s="258">
        <f t="shared" si="0"/>
        <v>-317856</v>
      </c>
      <c r="F15" s="259">
        <f t="shared" si="1"/>
        <v>-0.68897679610703488</v>
      </c>
    </row>
    <row r="16" spans="1:7" ht="20.25" customHeight="1" x14ac:dyDescent="0.3">
      <c r="A16" s="256">
        <v>3</v>
      </c>
      <c r="B16" s="257" t="s">
        <v>443</v>
      </c>
      <c r="C16" s="258">
        <v>1337674</v>
      </c>
      <c r="D16" s="258">
        <v>1119304</v>
      </c>
      <c r="E16" s="258">
        <f t="shared" si="0"/>
        <v>-218370</v>
      </c>
      <c r="F16" s="259">
        <f t="shared" si="1"/>
        <v>-0.16324605247616386</v>
      </c>
    </row>
    <row r="17" spans="1:6" ht="20.25" customHeight="1" x14ac:dyDescent="0.3">
      <c r="A17" s="256">
        <v>4</v>
      </c>
      <c r="B17" s="257" t="s">
        <v>444</v>
      </c>
      <c r="C17" s="258">
        <v>252812</v>
      </c>
      <c r="D17" s="258">
        <v>275715</v>
      </c>
      <c r="E17" s="258">
        <f t="shared" si="0"/>
        <v>22903</v>
      </c>
      <c r="F17" s="259">
        <f t="shared" si="1"/>
        <v>9.0593009825482962E-2</v>
      </c>
    </row>
    <row r="18" spans="1:6" ht="20.25" customHeight="1" x14ac:dyDescent="0.3">
      <c r="A18" s="256">
        <v>5</v>
      </c>
      <c r="B18" s="257" t="s">
        <v>381</v>
      </c>
      <c r="C18" s="260">
        <v>32</v>
      </c>
      <c r="D18" s="260">
        <v>19</v>
      </c>
      <c r="E18" s="260">
        <f t="shared" si="0"/>
        <v>-13</v>
      </c>
      <c r="F18" s="259">
        <f t="shared" si="1"/>
        <v>-0.40625</v>
      </c>
    </row>
    <row r="19" spans="1:6" ht="20.25" customHeight="1" x14ac:dyDescent="0.3">
      <c r="A19" s="256">
        <v>6</v>
      </c>
      <c r="B19" s="257" t="s">
        <v>380</v>
      </c>
      <c r="C19" s="260">
        <v>240</v>
      </c>
      <c r="D19" s="260">
        <v>111</v>
      </c>
      <c r="E19" s="260">
        <f t="shared" si="0"/>
        <v>-129</v>
      </c>
      <c r="F19" s="259">
        <f t="shared" si="1"/>
        <v>-0.53749999999999998</v>
      </c>
    </row>
    <row r="20" spans="1:6" ht="20.25" customHeight="1" x14ac:dyDescent="0.3">
      <c r="A20" s="256">
        <v>7</v>
      </c>
      <c r="B20" s="257" t="s">
        <v>445</v>
      </c>
      <c r="C20" s="260">
        <v>1162</v>
      </c>
      <c r="D20" s="260">
        <v>664</v>
      </c>
      <c r="E20" s="260">
        <f t="shared" si="0"/>
        <v>-498</v>
      </c>
      <c r="F20" s="259">
        <f t="shared" si="1"/>
        <v>-0.42857142857142855</v>
      </c>
    </row>
    <row r="21" spans="1:6" ht="20.25" customHeight="1" x14ac:dyDescent="0.3">
      <c r="A21" s="256">
        <v>8</v>
      </c>
      <c r="B21" s="257" t="s">
        <v>446</v>
      </c>
      <c r="C21" s="260">
        <v>81</v>
      </c>
      <c r="D21" s="260">
        <v>53</v>
      </c>
      <c r="E21" s="260">
        <f t="shared" si="0"/>
        <v>-28</v>
      </c>
      <c r="F21" s="259">
        <f t="shared" si="1"/>
        <v>-0.34567901234567899</v>
      </c>
    </row>
    <row r="22" spans="1:6" ht="20.25" customHeight="1" x14ac:dyDescent="0.3">
      <c r="A22" s="256">
        <v>9</v>
      </c>
      <c r="B22" s="257" t="s">
        <v>447</v>
      </c>
      <c r="C22" s="260">
        <v>22</v>
      </c>
      <c r="D22" s="260">
        <v>17</v>
      </c>
      <c r="E22" s="260">
        <f t="shared" si="0"/>
        <v>-5</v>
      </c>
      <c r="F22" s="259">
        <f t="shared" si="1"/>
        <v>-0.22727272727272727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2799307</v>
      </c>
      <c r="D23" s="263">
        <f>+D14+D16</f>
        <v>1815899</v>
      </c>
      <c r="E23" s="263">
        <f t="shared" si="0"/>
        <v>-983408</v>
      </c>
      <c r="F23" s="264">
        <f t="shared" si="1"/>
        <v>-0.35130409061957119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714157</v>
      </c>
      <c r="D24" s="263">
        <f>+D15+D17</f>
        <v>419204</v>
      </c>
      <c r="E24" s="263">
        <f t="shared" si="0"/>
        <v>-294953</v>
      </c>
      <c r="F24" s="264">
        <f t="shared" si="1"/>
        <v>-0.41300862415407258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11791158</v>
      </c>
      <c r="D40" s="258">
        <v>10570966</v>
      </c>
      <c r="E40" s="258">
        <f t="shared" ref="E40:E50" si="4">D40-C40</f>
        <v>-1220192</v>
      </c>
      <c r="F40" s="259">
        <f t="shared" ref="F40:F50" si="5">IF(C40=0,0,E40/C40)</f>
        <v>-0.10348364426971464</v>
      </c>
    </row>
    <row r="41" spans="1:6" ht="20.25" customHeight="1" x14ac:dyDescent="0.3">
      <c r="A41" s="256">
        <v>2</v>
      </c>
      <c r="B41" s="257" t="s">
        <v>442</v>
      </c>
      <c r="C41" s="258">
        <v>3633169</v>
      </c>
      <c r="D41" s="258">
        <v>3085329</v>
      </c>
      <c r="E41" s="258">
        <f t="shared" si="4"/>
        <v>-547840</v>
      </c>
      <c r="F41" s="259">
        <f t="shared" si="5"/>
        <v>-0.15078847144187346</v>
      </c>
    </row>
    <row r="42" spans="1:6" ht="20.25" customHeight="1" x14ac:dyDescent="0.3">
      <c r="A42" s="256">
        <v>3</v>
      </c>
      <c r="B42" s="257" t="s">
        <v>443</v>
      </c>
      <c r="C42" s="258">
        <v>15290256</v>
      </c>
      <c r="D42" s="258">
        <v>16947962</v>
      </c>
      <c r="E42" s="258">
        <f t="shared" si="4"/>
        <v>1657706</v>
      </c>
      <c r="F42" s="259">
        <f t="shared" si="5"/>
        <v>0.10841584339725902</v>
      </c>
    </row>
    <row r="43" spans="1:6" ht="20.25" customHeight="1" x14ac:dyDescent="0.3">
      <c r="A43" s="256">
        <v>4</v>
      </c>
      <c r="B43" s="257" t="s">
        <v>444</v>
      </c>
      <c r="C43" s="258">
        <v>3077728</v>
      </c>
      <c r="D43" s="258">
        <v>3374001</v>
      </c>
      <c r="E43" s="258">
        <f t="shared" si="4"/>
        <v>296273</v>
      </c>
      <c r="F43" s="259">
        <f t="shared" si="5"/>
        <v>9.6263542457293169E-2</v>
      </c>
    </row>
    <row r="44" spans="1:6" ht="20.25" customHeight="1" x14ac:dyDescent="0.3">
      <c r="A44" s="256">
        <v>5</v>
      </c>
      <c r="B44" s="257" t="s">
        <v>381</v>
      </c>
      <c r="C44" s="260">
        <v>365</v>
      </c>
      <c r="D44" s="260">
        <v>333</v>
      </c>
      <c r="E44" s="260">
        <f t="shared" si="4"/>
        <v>-32</v>
      </c>
      <c r="F44" s="259">
        <f t="shared" si="5"/>
        <v>-8.7671232876712329E-2</v>
      </c>
    </row>
    <row r="45" spans="1:6" ht="20.25" customHeight="1" x14ac:dyDescent="0.3">
      <c r="A45" s="256">
        <v>6</v>
      </c>
      <c r="B45" s="257" t="s">
        <v>380</v>
      </c>
      <c r="C45" s="260">
        <v>1950</v>
      </c>
      <c r="D45" s="260">
        <v>1792</v>
      </c>
      <c r="E45" s="260">
        <f t="shared" si="4"/>
        <v>-158</v>
      </c>
      <c r="F45" s="259">
        <f t="shared" si="5"/>
        <v>-8.1025641025641026E-2</v>
      </c>
    </row>
    <row r="46" spans="1:6" ht="20.25" customHeight="1" x14ac:dyDescent="0.3">
      <c r="A46" s="256">
        <v>7</v>
      </c>
      <c r="B46" s="257" t="s">
        <v>445</v>
      </c>
      <c r="C46" s="260">
        <v>13409</v>
      </c>
      <c r="D46" s="260">
        <v>12674</v>
      </c>
      <c r="E46" s="260">
        <f t="shared" si="4"/>
        <v>-735</v>
      </c>
      <c r="F46" s="259">
        <f t="shared" si="5"/>
        <v>-5.481393094190469E-2</v>
      </c>
    </row>
    <row r="47" spans="1:6" ht="20.25" customHeight="1" x14ac:dyDescent="0.3">
      <c r="A47" s="256">
        <v>8</v>
      </c>
      <c r="B47" s="257" t="s">
        <v>446</v>
      </c>
      <c r="C47" s="260">
        <v>709</v>
      </c>
      <c r="D47" s="260">
        <v>689</v>
      </c>
      <c r="E47" s="260">
        <f t="shared" si="4"/>
        <v>-20</v>
      </c>
      <c r="F47" s="259">
        <f t="shared" si="5"/>
        <v>-2.8208744710860368E-2</v>
      </c>
    </row>
    <row r="48" spans="1:6" ht="20.25" customHeight="1" x14ac:dyDescent="0.3">
      <c r="A48" s="256">
        <v>9</v>
      </c>
      <c r="B48" s="257" t="s">
        <v>447</v>
      </c>
      <c r="C48" s="260">
        <v>302</v>
      </c>
      <c r="D48" s="260">
        <v>282</v>
      </c>
      <c r="E48" s="260">
        <f t="shared" si="4"/>
        <v>-20</v>
      </c>
      <c r="F48" s="259">
        <f t="shared" si="5"/>
        <v>-6.6225165562913912E-2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27081414</v>
      </c>
      <c r="D49" s="263">
        <f>+D40+D42</f>
        <v>27518928</v>
      </c>
      <c r="E49" s="263">
        <f t="shared" si="4"/>
        <v>437514</v>
      </c>
      <c r="F49" s="264">
        <f t="shared" si="5"/>
        <v>1.6155507980491712E-2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6710897</v>
      </c>
      <c r="D50" s="263">
        <f>+D41+D43</f>
        <v>6459330</v>
      </c>
      <c r="E50" s="263">
        <f t="shared" si="4"/>
        <v>-251567</v>
      </c>
      <c r="F50" s="264">
        <f t="shared" si="5"/>
        <v>-3.7486344969979421E-2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162594</v>
      </c>
      <c r="D66" s="258">
        <v>324766</v>
      </c>
      <c r="E66" s="258">
        <f t="shared" ref="E66:E76" si="8">D66-C66</f>
        <v>162172</v>
      </c>
      <c r="F66" s="259">
        <f t="shared" ref="F66:F76" si="9">IF(C66=0,0,E66/C66)</f>
        <v>0.99740457827472107</v>
      </c>
    </row>
    <row r="67" spans="1:6" ht="20.25" customHeight="1" x14ac:dyDescent="0.3">
      <c r="A67" s="256">
        <v>2</v>
      </c>
      <c r="B67" s="257" t="s">
        <v>442</v>
      </c>
      <c r="C67" s="258">
        <v>53530</v>
      </c>
      <c r="D67" s="258">
        <v>77097</v>
      </c>
      <c r="E67" s="258">
        <f t="shared" si="8"/>
        <v>23567</v>
      </c>
      <c r="F67" s="259">
        <f t="shared" si="9"/>
        <v>0.44025779936484216</v>
      </c>
    </row>
    <row r="68" spans="1:6" ht="20.25" customHeight="1" x14ac:dyDescent="0.3">
      <c r="A68" s="256">
        <v>3</v>
      </c>
      <c r="B68" s="257" t="s">
        <v>443</v>
      </c>
      <c r="C68" s="258">
        <v>153906</v>
      </c>
      <c r="D68" s="258">
        <v>192811</v>
      </c>
      <c r="E68" s="258">
        <f t="shared" si="8"/>
        <v>38905</v>
      </c>
      <c r="F68" s="259">
        <f t="shared" si="9"/>
        <v>0.25278416695905292</v>
      </c>
    </row>
    <row r="69" spans="1:6" ht="20.25" customHeight="1" x14ac:dyDescent="0.3">
      <c r="A69" s="256">
        <v>4</v>
      </c>
      <c r="B69" s="257" t="s">
        <v>444</v>
      </c>
      <c r="C69" s="258">
        <v>30707</v>
      </c>
      <c r="D69" s="258">
        <v>24004</v>
      </c>
      <c r="E69" s="258">
        <f t="shared" si="8"/>
        <v>-6703</v>
      </c>
      <c r="F69" s="259">
        <f t="shared" si="9"/>
        <v>-0.21828898948122577</v>
      </c>
    </row>
    <row r="70" spans="1:6" ht="20.25" customHeight="1" x14ac:dyDescent="0.3">
      <c r="A70" s="256">
        <v>5</v>
      </c>
      <c r="B70" s="257" t="s">
        <v>381</v>
      </c>
      <c r="C70" s="260">
        <v>7</v>
      </c>
      <c r="D70" s="260">
        <v>6</v>
      </c>
      <c r="E70" s="260">
        <f t="shared" si="8"/>
        <v>-1</v>
      </c>
      <c r="F70" s="259">
        <f t="shared" si="9"/>
        <v>-0.14285714285714285</v>
      </c>
    </row>
    <row r="71" spans="1:6" ht="20.25" customHeight="1" x14ac:dyDescent="0.3">
      <c r="A71" s="256">
        <v>6</v>
      </c>
      <c r="B71" s="257" t="s">
        <v>380</v>
      </c>
      <c r="C71" s="260">
        <v>31</v>
      </c>
      <c r="D71" s="260">
        <v>43</v>
      </c>
      <c r="E71" s="260">
        <f t="shared" si="8"/>
        <v>12</v>
      </c>
      <c r="F71" s="259">
        <f t="shared" si="9"/>
        <v>0.38709677419354838</v>
      </c>
    </row>
    <row r="72" spans="1:6" ht="20.25" customHeight="1" x14ac:dyDescent="0.3">
      <c r="A72" s="256">
        <v>7</v>
      </c>
      <c r="B72" s="257" t="s">
        <v>445</v>
      </c>
      <c r="C72" s="260">
        <v>32</v>
      </c>
      <c r="D72" s="260">
        <v>64</v>
      </c>
      <c r="E72" s="260">
        <f t="shared" si="8"/>
        <v>32</v>
      </c>
      <c r="F72" s="259">
        <f t="shared" si="9"/>
        <v>1</v>
      </c>
    </row>
    <row r="73" spans="1:6" ht="20.25" customHeight="1" x14ac:dyDescent="0.3">
      <c r="A73" s="256">
        <v>8</v>
      </c>
      <c r="B73" s="257" t="s">
        <v>446</v>
      </c>
      <c r="C73" s="260">
        <v>30</v>
      </c>
      <c r="D73" s="260">
        <v>26</v>
      </c>
      <c r="E73" s="260">
        <f t="shared" si="8"/>
        <v>-4</v>
      </c>
      <c r="F73" s="259">
        <f t="shared" si="9"/>
        <v>-0.13333333333333333</v>
      </c>
    </row>
    <row r="74" spans="1:6" ht="20.25" customHeight="1" x14ac:dyDescent="0.3">
      <c r="A74" s="256">
        <v>9</v>
      </c>
      <c r="B74" s="257" t="s">
        <v>447</v>
      </c>
      <c r="C74" s="260">
        <v>7</v>
      </c>
      <c r="D74" s="260">
        <v>7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316500</v>
      </c>
      <c r="D75" s="263">
        <f>+D66+D68</f>
        <v>517577</v>
      </c>
      <c r="E75" s="263">
        <f t="shared" si="8"/>
        <v>201077</v>
      </c>
      <c r="F75" s="264">
        <f t="shared" si="9"/>
        <v>0.63531437598736173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84237</v>
      </c>
      <c r="D76" s="263">
        <f>+D67+D69</f>
        <v>101101</v>
      </c>
      <c r="E76" s="263">
        <f t="shared" si="8"/>
        <v>16864</v>
      </c>
      <c r="F76" s="264">
        <f t="shared" si="9"/>
        <v>0.2001970630483042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8231183</v>
      </c>
      <c r="D92" s="258">
        <v>8437412</v>
      </c>
      <c r="E92" s="258">
        <f t="shared" ref="E92:E102" si="12">D92-C92</f>
        <v>206229</v>
      </c>
      <c r="F92" s="259">
        <f t="shared" ref="F92:F102" si="13">IF(C92=0,0,E92/C92)</f>
        <v>2.5054600292570339E-2</v>
      </c>
    </row>
    <row r="93" spans="1:6" ht="20.25" customHeight="1" x14ac:dyDescent="0.3">
      <c r="A93" s="256">
        <v>2</v>
      </c>
      <c r="B93" s="257" t="s">
        <v>442</v>
      </c>
      <c r="C93" s="258">
        <v>2118940</v>
      </c>
      <c r="D93" s="258">
        <v>2285113</v>
      </c>
      <c r="E93" s="258">
        <f t="shared" si="12"/>
        <v>166173</v>
      </c>
      <c r="F93" s="259">
        <f t="shared" si="13"/>
        <v>7.842270191699624E-2</v>
      </c>
    </row>
    <row r="94" spans="1:6" ht="20.25" customHeight="1" x14ac:dyDescent="0.3">
      <c r="A94" s="256">
        <v>3</v>
      </c>
      <c r="B94" s="257" t="s">
        <v>443</v>
      </c>
      <c r="C94" s="258">
        <v>6922361</v>
      </c>
      <c r="D94" s="258">
        <v>8684304</v>
      </c>
      <c r="E94" s="258">
        <f t="shared" si="12"/>
        <v>1761943</v>
      </c>
      <c r="F94" s="259">
        <f t="shared" si="13"/>
        <v>0.25452919892504883</v>
      </c>
    </row>
    <row r="95" spans="1:6" ht="20.25" customHeight="1" x14ac:dyDescent="0.3">
      <c r="A95" s="256">
        <v>4</v>
      </c>
      <c r="B95" s="257" t="s">
        <v>444</v>
      </c>
      <c r="C95" s="258">
        <v>1179526</v>
      </c>
      <c r="D95" s="258">
        <v>1689002</v>
      </c>
      <c r="E95" s="258">
        <f t="shared" si="12"/>
        <v>509476</v>
      </c>
      <c r="F95" s="259">
        <f t="shared" si="13"/>
        <v>0.43193282725433774</v>
      </c>
    </row>
    <row r="96" spans="1:6" ht="20.25" customHeight="1" x14ac:dyDescent="0.3">
      <c r="A96" s="256">
        <v>5</v>
      </c>
      <c r="B96" s="257" t="s">
        <v>381</v>
      </c>
      <c r="C96" s="260">
        <v>232</v>
      </c>
      <c r="D96" s="260">
        <v>247</v>
      </c>
      <c r="E96" s="260">
        <f t="shared" si="12"/>
        <v>15</v>
      </c>
      <c r="F96" s="259">
        <f t="shared" si="13"/>
        <v>6.4655172413793108E-2</v>
      </c>
    </row>
    <row r="97" spans="1:6" ht="20.25" customHeight="1" x14ac:dyDescent="0.3">
      <c r="A97" s="256">
        <v>6</v>
      </c>
      <c r="B97" s="257" t="s">
        <v>380</v>
      </c>
      <c r="C97" s="260">
        <v>1365</v>
      </c>
      <c r="D97" s="260">
        <v>1342</v>
      </c>
      <c r="E97" s="260">
        <f t="shared" si="12"/>
        <v>-23</v>
      </c>
      <c r="F97" s="259">
        <f t="shared" si="13"/>
        <v>-1.6849816849816849E-2</v>
      </c>
    </row>
    <row r="98" spans="1:6" ht="20.25" customHeight="1" x14ac:dyDescent="0.3">
      <c r="A98" s="256">
        <v>7</v>
      </c>
      <c r="B98" s="257" t="s">
        <v>445</v>
      </c>
      <c r="C98" s="260">
        <v>5825</v>
      </c>
      <c r="D98" s="260">
        <v>5981</v>
      </c>
      <c r="E98" s="260">
        <f t="shared" si="12"/>
        <v>156</v>
      </c>
      <c r="F98" s="259">
        <f t="shared" si="13"/>
        <v>2.6781115879828326E-2</v>
      </c>
    </row>
    <row r="99" spans="1:6" ht="20.25" customHeight="1" x14ac:dyDescent="0.3">
      <c r="A99" s="256">
        <v>8</v>
      </c>
      <c r="B99" s="257" t="s">
        <v>446</v>
      </c>
      <c r="C99" s="260">
        <v>529</v>
      </c>
      <c r="D99" s="260">
        <v>508</v>
      </c>
      <c r="E99" s="260">
        <f t="shared" si="12"/>
        <v>-21</v>
      </c>
      <c r="F99" s="259">
        <f t="shared" si="13"/>
        <v>-3.9697542533081283E-2</v>
      </c>
    </row>
    <row r="100" spans="1:6" ht="20.25" customHeight="1" x14ac:dyDescent="0.3">
      <c r="A100" s="256">
        <v>9</v>
      </c>
      <c r="B100" s="257" t="s">
        <v>447</v>
      </c>
      <c r="C100" s="260">
        <v>209</v>
      </c>
      <c r="D100" s="260">
        <v>223</v>
      </c>
      <c r="E100" s="260">
        <f t="shared" si="12"/>
        <v>14</v>
      </c>
      <c r="F100" s="259">
        <f t="shared" si="13"/>
        <v>6.6985645933014357E-2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15153544</v>
      </c>
      <c r="D101" s="263">
        <f>+D92+D94</f>
        <v>17121716</v>
      </c>
      <c r="E101" s="263">
        <f t="shared" si="12"/>
        <v>1968172</v>
      </c>
      <c r="F101" s="264">
        <f t="shared" si="13"/>
        <v>0.12988196028598986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3298466</v>
      </c>
      <c r="D102" s="263">
        <f>+D93+D95</f>
        <v>3974115</v>
      </c>
      <c r="E102" s="263">
        <f t="shared" si="12"/>
        <v>675649</v>
      </c>
      <c r="F102" s="264">
        <f t="shared" si="13"/>
        <v>0.20483733953904634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1458407</v>
      </c>
      <c r="D105" s="258">
        <v>2324790</v>
      </c>
      <c r="E105" s="258">
        <f t="shared" ref="E105:E115" si="14">D105-C105</f>
        <v>866383</v>
      </c>
      <c r="F105" s="259">
        <f t="shared" ref="F105:F115" si="15">IF(C105=0,0,E105/C105)</f>
        <v>0.59406119142324465</v>
      </c>
    </row>
    <row r="106" spans="1:6" ht="20.25" customHeight="1" x14ac:dyDescent="0.3">
      <c r="A106" s="256">
        <v>2</v>
      </c>
      <c r="B106" s="257" t="s">
        <v>442</v>
      </c>
      <c r="C106" s="258">
        <v>389556</v>
      </c>
      <c r="D106" s="258">
        <v>660677</v>
      </c>
      <c r="E106" s="258">
        <f t="shared" si="14"/>
        <v>271121</v>
      </c>
      <c r="F106" s="259">
        <f t="shared" si="15"/>
        <v>0.69597439135836692</v>
      </c>
    </row>
    <row r="107" spans="1:6" ht="20.25" customHeight="1" x14ac:dyDescent="0.3">
      <c r="A107" s="256">
        <v>3</v>
      </c>
      <c r="B107" s="257" t="s">
        <v>443</v>
      </c>
      <c r="C107" s="258">
        <v>1927165</v>
      </c>
      <c r="D107" s="258">
        <v>3418472</v>
      </c>
      <c r="E107" s="258">
        <f t="shared" si="14"/>
        <v>1491307</v>
      </c>
      <c r="F107" s="259">
        <f t="shared" si="15"/>
        <v>0.77383462235978762</v>
      </c>
    </row>
    <row r="108" spans="1:6" ht="20.25" customHeight="1" x14ac:dyDescent="0.3">
      <c r="A108" s="256">
        <v>4</v>
      </c>
      <c r="B108" s="257" t="s">
        <v>444</v>
      </c>
      <c r="C108" s="258">
        <v>343473</v>
      </c>
      <c r="D108" s="258">
        <v>570955</v>
      </c>
      <c r="E108" s="258">
        <f t="shared" si="14"/>
        <v>227482</v>
      </c>
      <c r="F108" s="259">
        <f t="shared" si="15"/>
        <v>0.66229951116972807</v>
      </c>
    </row>
    <row r="109" spans="1:6" ht="20.25" customHeight="1" x14ac:dyDescent="0.3">
      <c r="A109" s="256">
        <v>5</v>
      </c>
      <c r="B109" s="257" t="s">
        <v>381</v>
      </c>
      <c r="C109" s="260">
        <v>57</v>
      </c>
      <c r="D109" s="260">
        <v>70</v>
      </c>
      <c r="E109" s="260">
        <f t="shared" si="14"/>
        <v>13</v>
      </c>
      <c r="F109" s="259">
        <f t="shared" si="15"/>
        <v>0.22807017543859648</v>
      </c>
    </row>
    <row r="110" spans="1:6" ht="20.25" customHeight="1" x14ac:dyDescent="0.3">
      <c r="A110" s="256">
        <v>6</v>
      </c>
      <c r="B110" s="257" t="s">
        <v>380</v>
      </c>
      <c r="C110" s="260">
        <v>304</v>
      </c>
      <c r="D110" s="260">
        <v>429</v>
      </c>
      <c r="E110" s="260">
        <f t="shared" si="14"/>
        <v>125</v>
      </c>
      <c r="F110" s="259">
        <f t="shared" si="15"/>
        <v>0.41118421052631576</v>
      </c>
    </row>
    <row r="111" spans="1:6" ht="20.25" customHeight="1" x14ac:dyDescent="0.3">
      <c r="A111" s="256">
        <v>7</v>
      </c>
      <c r="B111" s="257" t="s">
        <v>445</v>
      </c>
      <c r="C111" s="260">
        <v>1365</v>
      </c>
      <c r="D111" s="260">
        <v>2022</v>
      </c>
      <c r="E111" s="260">
        <f t="shared" si="14"/>
        <v>657</v>
      </c>
      <c r="F111" s="259">
        <f t="shared" si="15"/>
        <v>0.48131868131868133</v>
      </c>
    </row>
    <row r="112" spans="1:6" ht="20.25" customHeight="1" x14ac:dyDescent="0.3">
      <c r="A112" s="256">
        <v>8</v>
      </c>
      <c r="B112" s="257" t="s">
        <v>446</v>
      </c>
      <c r="C112" s="260">
        <v>240</v>
      </c>
      <c r="D112" s="260">
        <v>282</v>
      </c>
      <c r="E112" s="260">
        <f t="shared" si="14"/>
        <v>42</v>
      </c>
      <c r="F112" s="259">
        <f t="shared" si="15"/>
        <v>0.17499999999999999</v>
      </c>
    </row>
    <row r="113" spans="1:6" ht="20.25" customHeight="1" x14ac:dyDescent="0.3">
      <c r="A113" s="256">
        <v>9</v>
      </c>
      <c r="B113" s="257" t="s">
        <v>447</v>
      </c>
      <c r="C113" s="260">
        <v>48</v>
      </c>
      <c r="D113" s="260">
        <v>61</v>
      </c>
      <c r="E113" s="260">
        <f t="shared" si="14"/>
        <v>13</v>
      </c>
      <c r="F113" s="259">
        <f t="shared" si="15"/>
        <v>0.27083333333333331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3385572</v>
      </c>
      <c r="D114" s="263">
        <f>+D105+D107</f>
        <v>5743262</v>
      </c>
      <c r="E114" s="263">
        <f t="shared" si="14"/>
        <v>2357690</v>
      </c>
      <c r="F114" s="264">
        <f t="shared" si="15"/>
        <v>0.69639340117415904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733029</v>
      </c>
      <c r="D115" s="263">
        <f>+D106+D108</f>
        <v>1231632</v>
      </c>
      <c r="E115" s="263">
        <f t="shared" si="14"/>
        <v>498603</v>
      </c>
      <c r="F115" s="264">
        <f t="shared" si="15"/>
        <v>0.68019546293529998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3661096</v>
      </c>
      <c r="D118" s="258">
        <v>4954845</v>
      </c>
      <c r="E118" s="258">
        <f t="shared" ref="E118:E128" si="16">D118-C118</f>
        <v>1293749</v>
      </c>
      <c r="F118" s="259">
        <f t="shared" ref="F118:F128" si="17">IF(C118=0,0,E118/C118)</f>
        <v>0.35337751318184502</v>
      </c>
    </row>
    <row r="119" spans="1:6" ht="20.25" customHeight="1" x14ac:dyDescent="0.3">
      <c r="A119" s="256">
        <v>2</v>
      </c>
      <c r="B119" s="257" t="s">
        <v>442</v>
      </c>
      <c r="C119" s="258">
        <v>878920</v>
      </c>
      <c r="D119" s="258">
        <v>1328545</v>
      </c>
      <c r="E119" s="258">
        <f t="shared" si="16"/>
        <v>449625</v>
      </c>
      <c r="F119" s="259">
        <f t="shared" si="17"/>
        <v>0.5115653301779457</v>
      </c>
    </row>
    <row r="120" spans="1:6" ht="20.25" customHeight="1" x14ac:dyDescent="0.3">
      <c r="A120" s="256">
        <v>3</v>
      </c>
      <c r="B120" s="257" t="s">
        <v>443</v>
      </c>
      <c r="C120" s="258">
        <v>3614492</v>
      </c>
      <c r="D120" s="258">
        <v>4653150</v>
      </c>
      <c r="E120" s="258">
        <f t="shared" si="16"/>
        <v>1038658</v>
      </c>
      <c r="F120" s="259">
        <f t="shared" si="17"/>
        <v>0.2873593301631322</v>
      </c>
    </row>
    <row r="121" spans="1:6" ht="20.25" customHeight="1" x14ac:dyDescent="0.3">
      <c r="A121" s="256">
        <v>4</v>
      </c>
      <c r="B121" s="257" t="s">
        <v>444</v>
      </c>
      <c r="C121" s="258">
        <v>737680</v>
      </c>
      <c r="D121" s="258">
        <v>900178</v>
      </c>
      <c r="E121" s="258">
        <f t="shared" si="16"/>
        <v>162498</v>
      </c>
      <c r="F121" s="259">
        <f t="shared" si="17"/>
        <v>0.22028250732024726</v>
      </c>
    </row>
    <row r="122" spans="1:6" ht="20.25" customHeight="1" x14ac:dyDescent="0.3">
      <c r="A122" s="256">
        <v>5</v>
      </c>
      <c r="B122" s="257" t="s">
        <v>381</v>
      </c>
      <c r="C122" s="260">
        <v>112</v>
      </c>
      <c r="D122" s="260">
        <v>121</v>
      </c>
      <c r="E122" s="260">
        <f t="shared" si="16"/>
        <v>9</v>
      </c>
      <c r="F122" s="259">
        <f t="shared" si="17"/>
        <v>8.0357142857142863E-2</v>
      </c>
    </row>
    <row r="123" spans="1:6" ht="20.25" customHeight="1" x14ac:dyDescent="0.3">
      <c r="A123" s="256">
        <v>6</v>
      </c>
      <c r="B123" s="257" t="s">
        <v>380</v>
      </c>
      <c r="C123" s="260">
        <v>672</v>
      </c>
      <c r="D123" s="260">
        <v>755</v>
      </c>
      <c r="E123" s="260">
        <f t="shared" si="16"/>
        <v>83</v>
      </c>
      <c r="F123" s="259">
        <f t="shared" si="17"/>
        <v>0.12351190476190477</v>
      </c>
    </row>
    <row r="124" spans="1:6" ht="20.25" customHeight="1" x14ac:dyDescent="0.3">
      <c r="A124" s="256">
        <v>7</v>
      </c>
      <c r="B124" s="257" t="s">
        <v>445</v>
      </c>
      <c r="C124" s="260">
        <v>3110</v>
      </c>
      <c r="D124" s="260">
        <v>3114</v>
      </c>
      <c r="E124" s="260">
        <f t="shared" si="16"/>
        <v>4</v>
      </c>
      <c r="F124" s="259">
        <f t="shared" si="17"/>
        <v>1.2861736334405145E-3</v>
      </c>
    </row>
    <row r="125" spans="1:6" ht="20.25" customHeight="1" x14ac:dyDescent="0.3">
      <c r="A125" s="256">
        <v>8</v>
      </c>
      <c r="B125" s="257" t="s">
        <v>446</v>
      </c>
      <c r="C125" s="260">
        <v>206</v>
      </c>
      <c r="D125" s="260">
        <v>229</v>
      </c>
      <c r="E125" s="260">
        <f t="shared" si="16"/>
        <v>23</v>
      </c>
      <c r="F125" s="259">
        <f t="shared" si="17"/>
        <v>0.11165048543689321</v>
      </c>
    </row>
    <row r="126" spans="1:6" ht="20.25" customHeight="1" x14ac:dyDescent="0.3">
      <c r="A126" s="256">
        <v>9</v>
      </c>
      <c r="B126" s="257" t="s">
        <v>447</v>
      </c>
      <c r="C126" s="260">
        <v>96</v>
      </c>
      <c r="D126" s="260">
        <v>109</v>
      </c>
      <c r="E126" s="260">
        <f t="shared" si="16"/>
        <v>13</v>
      </c>
      <c r="F126" s="259">
        <f t="shared" si="17"/>
        <v>0.13541666666666666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7275588</v>
      </c>
      <c r="D127" s="263">
        <f>+D118+D120</f>
        <v>9607995</v>
      </c>
      <c r="E127" s="263">
        <f t="shared" si="16"/>
        <v>2332407</v>
      </c>
      <c r="F127" s="264">
        <f t="shared" si="17"/>
        <v>0.32057986241112058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1616600</v>
      </c>
      <c r="D128" s="263">
        <f>+D119+D121</f>
        <v>2228723</v>
      </c>
      <c r="E128" s="263">
        <f t="shared" si="16"/>
        <v>612123</v>
      </c>
      <c r="F128" s="264">
        <f t="shared" si="17"/>
        <v>0.37864839787207721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117060</v>
      </c>
      <c r="D131" s="258">
        <v>77422</v>
      </c>
      <c r="E131" s="258">
        <f t="shared" ref="E131:E141" si="18">D131-C131</f>
        <v>-39638</v>
      </c>
      <c r="F131" s="259">
        <f t="shared" ref="F131:F141" si="19">IF(C131=0,0,E131/C131)</f>
        <v>-0.33861267725952504</v>
      </c>
    </row>
    <row r="132" spans="1:6" ht="20.25" customHeight="1" x14ac:dyDescent="0.3">
      <c r="A132" s="256">
        <v>2</v>
      </c>
      <c r="B132" s="257" t="s">
        <v>442</v>
      </c>
      <c r="C132" s="258">
        <v>38204</v>
      </c>
      <c r="D132" s="258">
        <v>23128</v>
      </c>
      <c r="E132" s="258">
        <f t="shared" si="18"/>
        <v>-15076</v>
      </c>
      <c r="F132" s="259">
        <f t="shared" si="19"/>
        <v>-0.39461836456915506</v>
      </c>
    </row>
    <row r="133" spans="1:6" ht="20.25" customHeight="1" x14ac:dyDescent="0.3">
      <c r="A133" s="256">
        <v>3</v>
      </c>
      <c r="B133" s="257" t="s">
        <v>443</v>
      </c>
      <c r="C133" s="258">
        <v>96624</v>
      </c>
      <c r="D133" s="258">
        <v>141925</v>
      </c>
      <c r="E133" s="258">
        <f t="shared" si="18"/>
        <v>45301</v>
      </c>
      <c r="F133" s="259">
        <f t="shared" si="19"/>
        <v>0.46883796986256004</v>
      </c>
    </row>
    <row r="134" spans="1:6" ht="20.25" customHeight="1" x14ac:dyDescent="0.3">
      <c r="A134" s="256">
        <v>4</v>
      </c>
      <c r="B134" s="257" t="s">
        <v>444</v>
      </c>
      <c r="C134" s="258">
        <v>22018</v>
      </c>
      <c r="D134" s="258">
        <v>26539</v>
      </c>
      <c r="E134" s="258">
        <f t="shared" si="18"/>
        <v>4521</v>
      </c>
      <c r="F134" s="259">
        <f t="shared" si="19"/>
        <v>0.20533200109001726</v>
      </c>
    </row>
    <row r="135" spans="1:6" ht="20.25" customHeight="1" x14ac:dyDescent="0.3">
      <c r="A135" s="256">
        <v>5</v>
      </c>
      <c r="B135" s="257" t="s">
        <v>381</v>
      </c>
      <c r="C135" s="260">
        <v>3</v>
      </c>
      <c r="D135" s="260">
        <v>4</v>
      </c>
      <c r="E135" s="260">
        <f t="shared" si="18"/>
        <v>1</v>
      </c>
      <c r="F135" s="259">
        <f t="shared" si="19"/>
        <v>0.33333333333333331</v>
      </c>
    </row>
    <row r="136" spans="1:6" ht="20.25" customHeight="1" x14ac:dyDescent="0.3">
      <c r="A136" s="256">
        <v>6</v>
      </c>
      <c r="B136" s="257" t="s">
        <v>380</v>
      </c>
      <c r="C136" s="260">
        <v>10</v>
      </c>
      <c r="D136" s="260">
        <v>15</v>
      </c>
      <c r="E136" s="260">
        <f t="shared" si="18"/>
        <v>5</v>
      </c>
      <c r="F136" s="259">
        <f t="shared" si="19"/>
        <v>0.5</v>
      </c>
    </row>
    <row r="137" spans="1:6" ht="20.25" customHeight="1" x14ac:dyDescent="0.3">
      <c r="A137" s="256">
        <v>7</v>
      </c>
      <c r="B137" s="257" t="s">
        <v>445</v>
      </c>
      <c r="C137" s="260">
        <v>79</v>
      </c>
      <c r="D137" s="260">
        <v>133</v>
      </c>
      <c r="E137" s="260">
        <f t="shared" si="18"/>
        <v>54</v>
      </c>
      <c r="F137" s="259">
        <f t="shared" si="19"/>
        <v>0.68354430379746833</v>
      </c>
    </row>
    <row r="138" spans="1:6" ht="20.25" customHeight="1" x14ac:dyDescent="0.3">
      <c r="A138" s="256">
        <v>8</v>
      </c>
      <c r="B138" s="257" t="s">
        <v>446</v>
      </c>
      <c r="C138" s="260">
        <v>4</v>
      </c>
      <c r="D138" s="260">
        <v>8</v>
      </c>
      <c r="E138" s="260">
        <f t="shared" si="18"/>
        <v>4</v>
      </c>
      <c r="F138" s="259">
        <f t="shared" si="19"/>
        <v>1</v>
      </c>
    </row>
    <row r="139" spans="1:6" ht="20.25" customHeight="1" x14ac:dyDescent="0.3">
      <c r="A139" s="256">
        <v>9</v>
      </c>
      <c r="B139" s="257" t="s">
        <v>447</v>
      </c>
      <c r="C139" s="260">
        <v>3</v>
      </c>
      <c r="D139" s="260">
        <v>5</v>
      </c>
      <c r="E139" s="260">
        <f t="shared" si="18"/>
        <v>2</v>
      </c>
      <c r="F139" s="259">
        <f t="shared" si="19"/>
        <v>0.66666666666666663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213684</v>
      </c>
      <c r="D140" s="263">
        <f>+D131+D133</f>
        <v>219347</v>
      </c>
      <c r="E140" s="263">
        <f t="shared" si="18"/>
        <v>5663</v>
      </c>
      <c r="F140" s="264">
        <f t="shared" si="19"/>
        <v>2.6501750248029803E-2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60222</v>
      </c>
      <c r="D141" s="263">
        <f>+D132+D134</f>
        <v>49667</v>
      </c>
      <c r="E141" s="263">
        <f t="shared" si="18"/>
        <v>-10555</v>
      </c>
      <c r="F141" s="264">
        <f t="shared" si="19"/>
        <v>-0.17526817442130782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26883131</v>
      </c>
      <c r="D198" s="263">
        <f t="shared" si="28"/>
        <v>27386796</v>
      </c>
      <c r="E198" s="263">
        <f t="shared" ref="E198:E208" si="29">D198-C198</f>
        <v>503665</v>
      </c>
      <c r="F198" s="273">
        <f t="shared" ref="F198:F208" si="30">IF(C198=0,0,E198/C198)</f>
        <v>1.8735354895975474E-2</v>
      </c>
    </row>
    <row r="199" spans="1:9" ht="20.25" customHeight="1" x14ac:dyDescent="0.3">
      <c r="A199" s="271"/>
      <c r="B199" s="272" t="s">
        <v>466</v>
      </c>
      <c r="C199" s="263">
        <f t="shared" si="28"/>
        <v>7573664</v>
      </c>
      <c r="D199" s="263">
        <f t="shared" si="28"/>
        <v>7603378</v>
      </c>
      <c r="E199" s="263">
        <f t="shared" si="29"/>
        <v>29714</v>
      </c>
      <c r="F199" s="273">
        <f t="shared" si="30"/>
        <v>3.9233322207058562E-3</v>
      </c>
    </row>
    <row r="200" spans="1:9" ht="20.25" customHeight="1" x14ac:dyDescent="0.3">
      <c r="A200" s="271"/>
      <c r="B200" s="272" t="s">
        <v>467</v>
      </c>
      <c r="C200" s="263">
        <f t="shared" si="28"/>
        <v>29342478</v>
      </c>
      <c r="D200" s="263">
        <f t="shared" si="28"/>
        <v>35157928</v>
      </c>
      <c r="E200" s="263">
        <f t="shared" si="29"/>
        <v>5815450</v>
      </c>
      <c r="F200" s="273">
        <f t="shared" si="30"/>
        <v>0.19819219085722753</v>
      </c>
    </row>
    <row r="201" spans="1:9" ht="20.25" customHeight="1" x14ac:dyDescent="0.3">
      <c r="A201" s="271"/>
      <c r="B201" s="272" t="s">
        <v>468</v>
      </c>
      <c r="C201" s="263">
        <f t="shared" si="28"/>
        <v>5643944</v>
      </c>
      <c r="D201" s="263">
        <f t="shared" si="28"/>
        <v>6860394</v>
      </c>
      <c r="E201" s="263">
        <f t="shared" si="29"/>
        <v>1216450</v>
      </c>
      <c r="F201" s="273">
        <f t="shared" si="30"/>
        <v>0.21553190463973421</v>
      </c>
    </row>
    <row r="202" spans="1:9" ht="20.25" customHeight="1" x14ac:dyDescent="0.3">
      <c r="A202" s="271"/>
      <c r="B202" s="272" t="s">
        <v>138</v>
      </c>
      <c r="C202" s="274">
        <f t="shared" si="28"/>
        <v>808</v>
      </c>
      <c r="D202" s="274">
        <f t="shared" si="28"/>
        <v>800</v>
      </c>
      <c r="E202" s="274">
        <f t="shared" si="29"/>
        <v>-8</v>
      </c>
      <c r="F202" s="273">
        <f t="shared" si="30"/>
        <v>-9.9009900990099011E-3</v>
      </c>
    </row>
    <row r="203" spans="1:9" ht="20.25" customHeight="1" x14ac:dyDescent="0.3">
      <c r="A203" s="271"/>
      <c r="B203" s="272" t="s">
        <v>140</v>
      </c>
      <c r="C203" s="274">
        <f t="shared" si="28"/>
        <v>4572</v>
      </c>
      <c r="D203" s="274">
        <f t="shared" si="28"/>
        <v>4487</v>
      </c>
      <c r="E203" s="274">
        <f t="shared" si="29"/>
        <v>-85</v>
      </c>
      <c r="F203" s="273">
        <f t="shared" si="30"/>
        <v>-1.8591426071741031E-2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24982</v>
      </c>
      <c r="D204" s="274">
        <f t="shared" si="28"/>
        <v>24652</v>
      </c>
      <c r="E204" s="274">
        <f t="shared" si="29"/>
        <v>-330</v>
      </c>
      <c r="F204" s="273">
        <f t="shared" si="30"/>
        <v>-1.3209510847810423E-2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1799</v>
      </c>
      <c r="D205" s="274">
        <f t="shared" si="28"/>
        <v>1795</v>
      </c>
      <c r="E205" s="274">
        <f t="shared" si="29"/>
        <v>-4</v>
      </c>
      <c r="F205" s="273">
        <f t="shared" si="30"/>
        <v>-2.2234574763757642E-3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687</v>
      </c>
      <c r="D206" s="274">
        <f t="shared" si="28"/>
        <v>704</v>
      </c>
      <c r="E206" s="274">
        <f t="shared" si="29"/>
        <v>17</v>
      </c>
      <c r="F206" s="273">
        <f t="shared" si="30"/>
        <v>2.4745269286754003E-2</v>
      </c>
    </row>
    <row r="207" spans="1:9" ht="20.25" customHeight="1" x14ac:dyDescent="0.3">
      <c r="A207" s="271"/>
      <c r="B207" s="262" t="s">
        <v>471</v>
      </c>
      <c r="C207" s="263">
        <f>+C198+C200</f>
        <v>56225609</v>
      </c>
      <c r="D207" s="263">
        <f>+D198+D200</f>
        <v>62544724</v>
      </c>
      <c r="E207" s="263">
        <f t="shared" si="29"/>
        <v>6319115</v>
      </c>
      <c r="F207" s="273">
        <f t="shared" si="30"/>
        <v>0.1123885558980784</v>
      </c>
    </row>
    <row r="208" spans="1:9" ht="20.25" customHeight="1" x14ac:dyDescent="0.3">
      <c r="A208" s="271"/>
      <c r="B208" s="262" t="s">
        <v>472</v>
      </c>
      <c r="C208" s="263">
        <f>+C199+C201</f>
        <v>13217608</v>
      </c>
      <c r="D208" s="263">
        <f>+D199+D201</f>
        <v>14463772</v>
      </c>
      <c r="E208" s="263">
        <f t="shared" si="29"/>
        <v>1246164</v>
      </c>
      <c r="F208" s="273">
        <f t="shared" si="30"/>
        <v>9.4280599031231677E-2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FILING&amp;RMANCHESTER MEMORIAL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FILING&amp;RMANCHESTER MEMORIAL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22439356</v>
      </c>
      <c r="D13" s="22">
        <v>20733601</v>
      </c>
      <c r="E13" s="22">
        <f t="shared" ref="E13:E22" si="0">D13-C13</f>
        <v>-1705755</v>
      </c>
      <c r="F13" s="306">
        <f t="shared" ref="F13:F22" si="1">IF(C13=0,0,E13/C13)</f>
        <v>-7.601621900378959E-2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46524143</v>
      </c>
      <c r="D15" s="22">
        <v>44610272</v>
      </c>
      <c r="E15" s="22">
        <f t="shared" si="0"/>
        <v>-1913871</v>
      </c>
      <c r="F15" s="306">
        <f t="shared" si="1"/>
        <v>-4.1137157539903532E-2</v>
      </c>
    </row>
    <row r="16" spans="1:8" ht="35.1" customHeight="1" x14ac:dyDescent="0.2">
      <c r="A16" s="304">
        <v>4</v>
      </c>
      <c r="B16" s="305" t="s">
        <v>19</v>
      </c>
      <c r="C16" s="22">
        <v>1850531</v>
      </c>
      <c r="D16" s="22">
        <v>1163916</v>
      </c>
      <c r="E16" s="22">
        <f t="shared" si="0"/>
        <v>-686615</v>
      </c>
      <c r="F16" s="306">
        <f t="shared" si="1"/>
        <v>-0.37103674566921602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3463096</v>
      </c>
      <c r="D18" s="22">
        <v>3602585</v>
      </c>
      <c r="E18" s="22">
        <f t="shared" si="0"/>
        <v>139489</v>
      </c>
      <c r="F18" s="306">
        <f t="shared" si="1"/>
        <v>4.0278698598017498E-2</v>
      </c>
    </row>
    <row r="19" spans="1:11" ht="24" customHeight="1" x14ac:dyDescent="0.2">
      <c r="A19" s="304">
        <v>7</v>
      </c>
      <c r="B19" s="305" t="s">
        <v>22</v>
      </c>
      <c r="C19" s="22">
        <v>5065716</v>
      </c>
      <c r="D19" s="22">
        <v>5437285</v>
      </c>
      <c r="E19" s="22">
        <f t="shared" si="0"/>
        <v>371569</v>
      </c>
      <c r="F19" s="306">
        <f t="shared" si="1"/>
        <v>7.334974957143274E-2</v>
      </c>
    </row>
    <row r="20" spans="1:11" ht="24" customHeight="1" x14ac:dyDescent="0.2">
      <c r="A20" s="304">
        <v>8</v>
      </c>
      <c r="B20" s="305" t="s">
        <v>23</v>
      </c>
      <c r="C20" s="22">
        <v>5046865</v>
      </c>
      <c r="D20" s="22">
        <v>5686236</v>
      </c>
      <c r="E20" s="22">
        <f t="shared" si="0"/>
        <v>639371</v>
      </c>
      <c r="F20" s="306">
        <f t="shared" si="1"/>
        <v>0.12668676495210393</v>
      </c>
    </row>
    <row r="21" spans="1:11" ht="24" customHeight="1" x14ac:dyDescent="0.2">
      <c r="A21" s="304">
        <v>9</v>
      </c>
      <c r="B21" s="305" t="s">
        <v>24</v>
      </c>
      <c r="C21" s="22">
        <v>0</v>
      </c>
      <c r="D21" s="22">
        <v>0</v>
      </c>
      <c r="E21" s="22">
        <f t="shared" si="0"/>
        <v>0</v>
      </c>
      <c r="F21" s="306">
        <f t="shared" si="1"/>
        <v>0</v>
      </c>
    </row>
    <row r="22" spans="1:11" ht="24" customHeight="1" x14ac:dyDescent="0.25">
      <c r="A22" s="307"/>
      <c r="B22" s="308" t="s">
        <v>25</v>
      </c>
      <c r="C22" s="309">
        <f>SUM(C13:C21)</f>
        <v>84389707</v>
      </c>
      <c r="D22" s="309">
        <f>SUM(D13:D21)</f>
        <v>81233895</v>
      </c>
      <c r="E22" s="309">
        <f t="shared" si="0"/>
        <v>-3155812</v>
      </c>
      <c r="F22" s="310">
        <f t="shared" si="1"/>
        <v>-3.7395698032225658E-2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12824429</v>
      </c>
      <c r="D25" s="22">
        <v>16980766</v>
      </c>
      <c r="E25" s="22">
        <f>D25-C25</f>
        <v>4156337</v>
      </c>
      <c r="F25" s="306">
        <f>IF(C25=0,0,E25/C25)</f>
        <v>0.32409528720537967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42139177</v>
      </c>
      <c r="D28" s="22">
        <v>49083777</v>
      </c>
      <c r="E28" s="22">
        <f>D28-C28</f>
        <v>6944600</v>
      </c>
      <c r="F28" s="306">
        <f>IF(C28=0,0,E28/C28)</f>
        <v>0.16480151000576021</v>
      </c>
    </row>
    <row r="29" spans="1:11" ht="35.1" customHeight="1" x14ac:dyDescent="0.25">
      <c r="A29" s="307"/>
      <c r="B29" s="308" t="s">
        <v>32</v>
      </c>
      <c r="C29" s="309">
        <f>SUM(C25:C28)</f>
        <v>54963606</v>
      </c>
      <c r="D29" s="309">
        <f>SUM(D25:D28)</f>
        <v>66064543</v>
      </c>
      <c r="E29" s="309">
        <f>D29-C29</f>
        <v>11100937</v>
      </c>
      <c r="F29" s="310">
        <f>IF(C29=0,0,E29/C29)</f>
        <v>0.20196886281442306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26741383</v>
      </c>
      <c r="D32" s="22">
        <v>21701079</v>
      </c>
      <c r="E32" s="22">
        <f>D32-C32</f>
        <v>-5040304</v>
      </c>
      <c r="F32" s="306">
        <f>IF(C32=0,0,E32/C32)</f>
        <v>-0.18848329572184055</v>
      </c>
    </row>
    <row r="33" spans="1:8" ht="24" customHeight="1" x14ac:dyDescent="0.2">
      <c r="A33" s="304">
        <v>7</v>
      </c>
      <c r="B33" s="305" t="s">
        <v>35</v>
      </c>
      <c r="C33" s="22">
        <v>20183543</v>
      </c>
      <c r="D33" s="22">
        <v>13022113</v>
      </c>
      <c r="E33" s="22">
        <f>D33-C33</f>
        <v>-7161430</v>
      </c>
      <c r="F33" s="306">
        <f>IF(C33=0,0,E33/C33)</f>
        <v>-0.35481530670804429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302185099</v>
      </c>
      <c r="D36" s="22">
        <v>309457919</v>
      </c>
      <c r="E36" s="22">
        <f>D36-C36</f>
        <v>7272820</v>
      </c>
      <c r="F36" s="306">
        <f>IF(C36=0,0,E36/C36)</f>
        <v>2.4067434244995647E-2</v>
      </c>
    </row>
    <row r="37" spans="1:8" ht="24" customHeight="1" x14ac:dyDescent="0.2">
      <c r="A37" s="304">
        <v>2</v>
      </c>
      <c r="B37" s="305" t="s">
        <v>39</v>
      </c>
      <c r="C37" s="22">
        <v>206928185</v>
      </c>
      <c r="D37" s="22">
        <v>218033560</v>
      </c>
      <c r="E37" s="22">
        <f>D37-C37</f>
        <v>11105375</v>
      </c>
      <c r="F37" s="22">
        <f>IF(C37=0,0,E37/C37)</f>
        <v>5.3667773677133448E-2</v>
      </c>
    </row>
    <row r="38" spans="1:8" ht="24" customHeight="1" x14ac:dyDescent="0.25">
      <c r="A38" s="307"/>
      <c r="B38" s="308" t="s">
        <v>40</v>
      </c>
      <c r="C38" s="309">
        <f>C36-C37</f>
        <v>95256914</v>
      </c>
      <c r="D38" s="309">
        <f>D36-D37</f>
        <v>91424359</v>
      </c>
      <c r="E38" s="309">
        <f>D38-C38</f>
        <v>-3832555</v>
      </c>
      <c r="F38" s="310">
        <f>IF(C38=0,0,E38/C38)</f>
        <v>-4.0233877406526106E-2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931583</v>
      </c>
      <c r="D40" s="22">
        <v>2641200</v>
      </c>
      <c r="E40" s="22">
        <f>D40-C40</f>
        <v>1709617</v>
      </c>
      <c r="F40" s="306">
        <f>IF(C40=0,0,E40/C40)</f>
        <v>1.8351741068697045</v>
      </c>
    </row>
    <row r="41" spans="1:8" ht="24" customHeight="1" x14ac:dyDescent="0.25">
      <c r="A41" s="307"/>
      <c r="B41" s="308" t="s">
        <v>42</v>
      </c>
      <c r="C41" s="309">
        <f>+C38+C40</f>
        <v>96188497</v>
      </c>
      <c r="D41" s="309">
        <f>+D38+D40</f>
        <v>94065559</v>
      </c>
      <c r="E41" s="309">
        <f>D41-C41</f>
        <v>-2122938</v>
      </c>
      <c r="F41" s="310">
        <f>IF(C41=0,0,E41/C41)</f>
        <v>-2.2070601643770355E-2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282466736</v>
      </c>
      <c r="D43" s="309">
        <f>D22+D29+D31+D32+D33+D41</f>
        <v>276087189</v>
      </c>
      <c r="E43" s="309">
        <f>D43-C43</f>
        <v>-6379547</v>
      </c>
      <c r="F43" s="310">
        <f>IF(C43=0,0,E43/C43)</f>
        <v>-2.2585126625317042E-2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29240555</v>
      </c>
      <c r="D49" s="22">
        <v>30917763</v>
      </c>
      <c r="E49" s="22">
        <f t="shared" ref="E49:E56" si="2">D49-C49</f>
        <v>1677208</v>
      </c>
      <c r="F49" s="306">
        <f t="shared" ref="F49:F56" si="3">IF(C49=0,0,E49/C49)</f>
        <v>5.7358965997738418E-2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5634280</v>
      </c>
      <c r="D50" s="22">
        <v>5046852</v>
      </c>
      <c r="E50" s="22">
        <f t="shared" si="2"/>
        <v>-587428</v>
      </c>
      <c r="F50" s="306">
        <f t="shared" si="3"/>
        <v>-0.10425963920855903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4512361</v>
      </c>
      <c r="D51" s="22">
        <v>5743160</v>
      </c>
      <c r="E51" s="22">
        <f t="shared" si="2"/>
        <v>1230799</v>
      </c>
      <c r="F51" s="306">
        <f t="shared" si="3"/>
        <v>0.27276164296252009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8925357</v>
      </c>
      <c r="D53" s="22">
        <v>8123279</v>
      </c>
      <c r="E53" s="22">
        <f t="shared" si="2"/>
        <v>-802078</v>
      </c>
      <c r="F53" s="306">
        <f t="shared" si="3"/>
        <v>-8.9865088869834561E-2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4406965</v>
      </c>
      <c r="D54" s="22">
        <v>3941203</v>
      </c>
      <c r="E54" s="22">
        <f t="shared" si="2"/>
        <v>-465762</v>
      </c>
      <c r="F54" s="306">
        <f t="shared" si="3"/>
        <v>-0.10568770117302952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11625999</v>
      </c>
      <c r="D55" s="22">
        <v>7180735</v>
      </c>
      <c r="E55" s="22">
        <f t="shared" si="2"/>
        <v>-4445264</v>
      </c>
      <c r="F55" s="306">
        <f t="shared" si="3"/>
        <v>-0.38235544317524883</v>
      </c>
    </row>
    <row r="56" spans="1:6" ht="24" customHeight="1" x14ac:dyDescent="0.25">
      <c r="A56" s="307"/>
      <c r="B56" s="308" t="s">
        <v>54</v>
      </c>
      <c r="C56" s="309">
        <f>SUM(C49:C55)</f>
        <v>64345517</v>
      </c>
      <c r="D56" s="309">
        <f>SUM(D49:D55)</f>
        <v>60952992</v>
      </c>
      <c r="E56" s="309">
        <f t="shared" si="2"/>
        <v>-3392525</v>
      </c>
      <c r="F56" s="310">
        <f t="shared" si="3"/>
        <v>-5.2723564253901324E-2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72082455</v>
      </c>
      <c r="D59" s="22">
        <v>69571034</v>
      </c>
      <c r="E59" s="22">
        <f>D59-C59</f>
        <v>-2511421</v>
      </c>
      <c r="F59" s="306">
        <f>IF(C59=0,0,E59/C59)</f>
        <v>-3.4840947079285797E-2</v>
      </c>
    </row>
    <row r="60" spans="1:6" ht="24" customHeight="1" x14ac:dyDescent="0.2">
      <c r="A60" s="304">
        <v>2</v>
      </c>
      <c r="B60" s="305" t="s">
        <v>57</v>
      </c>
      <c r="C60" s="22">
        <v>12333551</v>
      </c>
      <c r="D60" s="22">
        <v>13024380</v>
      </c>
      <c r="E60" s="22">
        <f>D60-C60</f>
        <v>690829</v>
      </c>
      <c r="F60" s="306">
        <f>IF(C60=0,0,E60/C60)</f>
        <v>5.6012173622989846E-2</v>
      </c>
    </row>
    <row r="61" spans="1:6" ht="24" customHeight="1" x14ac:dyDescent="0.25">
      <c r="A61" s="307"/>
      <c r="B61" s="308" t="s">
        <v>58</v>
      </c>
      <c r="C61" s="309">
        <f>SUM(C59:C60)</f>
        <v>84416006</v>
      </c>
      <c r="D61" s="309">
        <f>SUM(D59:D60)</f>
        <v>82595414</v>
      </c>
      <c r="E61" s="309">
        <f>D61-C61</f>
        <v>-1820592</v>
      </c>
      <c r="F61" s="310">
        <f>IF(C61=0,0,E61/C61)</f>
        <v>-2.1566905214634297E-2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38111463</v>
      </c>
      <c r="D63" s="22">
        <v>44676486</v>
      </c>
      <c r="E63" s="22">
        <f>D63-C63</f>
        <v>6565023</v>
      </c>
      <c r="F63" s="306">
        <f>IF(C63=0,0,E63/C63)</f>
        <v>0.17225848821390036</v>
      </c>
    </row>
    <row r="64" spans="1:6" ht="24" customHeight="1" x14ac:dyDescent="0.2">
      <c r="A64" s="304">
        <v>4</v>
      </c>
      <c r="B64" s="305" t="s">
        <v>60</v>
      </c>
      <c r="C64" s="22">
        <v>9744601</v>
      </c>
      <c r="D64" s="22">
        <v>10168508</v>
      </c>
      <c r="E64" s="22">
        <f>D64-C64</f>
        <v>423907</v>
      </c>
      <c r="F64" s="306">
        <f>IF(C64=0,0,E64/C64)</f>
        <v>4.3501729829676969E-2</v>
      </c>
    </row>
    <row r="65" spans="1:6" ht="24" customHeight="1" x14ac:dyDescent="0.25">
      <c r="A65" s="307"/>
      <c r="B65" s="308" t="s">
        <v>61</v>
      </c>
      <c r="C65" s="309">
        <f>SUM(C61:C64)</f>
        <v>132272070</v>
      </c>
      <c r="D65" s="309">
        <f>SUM(D61:D64)</f>
        <v>137440408</v>
      </c>
      <c r="E65" s="309">
        <f>D65-C65</f>
        <v>5168338</v>
      </c>
      <c r="F65" s="310">
        <f>IF(C65=0,0,E65/C65)</f>
        <v>3.907353986370668E-2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70965928</v>
      </c>
      <c r="D70" s="22">
        <v>59544873</v>
      </c>
      <c r="E70" s="22">
        <f>D70-C70</f>
        <v>-11421055</v>
      </c>
      <c r="F70" s="306">
        <f>IF(C70=0,0,E70/C70)</f>
        <v>-0.16093716128111507</v>
      </c>
    </row>
    <row r="71" spans="1:6" ht="24" customHeight="1" x14ac:dyDescent="0.2">
      <c r="A71" s="304">
        <v>2</v>
      </c>
      <c r="B71" s="305" t="s">
        <v>65</v>
      </c>
      <c r="C71" s="22">
        <v>2587301</v>
      </c>
      <c r="D71" s="22">
        <v>2096313</v>
      </c>
      <c r="E71" s="22">
        <f>D71-C71</f>
        <v>-490988</v>
      </c>
      <c r="F71" s="306">
        <f>IF(C71=0,0,E71/C71)</f>
        <v>-0.18976841117442461</v>
      </c>
    </row>
    <row r="72" spans="1:6" ht="24" customHeight="1" x14ac:dyDescent="0.2">
      <c r="A72" s="304">
        <v>3</v>
      </c>
      <c r="B72" s="305" t="s">
        <v>66</v>
      </c>
      <c r="C72" s="22">
        <v>12295920</v>
      </c>
      <c r="D72" s="22">
        <v>16052603</v>
      </c>
      <c r="E72" s="22">
        <f>D72-C72</f>
        <v>3756683</v>
      </c>
      <c r="F72" s="306">
        <f>IF(C72=0,0,E72/C72)</f>
        <v>0.30552272623764631</v>
      </c>
    </row>
    <row r="73" spans="1:6" ht="24" customHeight="1" x14ac:dyDescent="0.25">
      <c r="A73" s="304"/>
      <c r="B73" s="308" t="s">
        <v>67</v>
      </c>
      <c r="C73" s="309">
        <f>SUM(C70:C72)</f>
        <v>85849149</v>
      </c>
      <c r="D73" s="309">
        <f>SUM(D70:D72)</f>
        <v>77693789</v>
      </c>
      <c r="E73" s="309">
        <f>D73-C73</f>
        <v>-8155360</v>
      </c>
      <c r="F73" s="310">
        <f>IF(C73=0,0,E73/C73)</f>
        <v>-9.4996398857721931E-2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282466736</v>
      </c>
      <c r="D75" s="309">
        <f>D56+D65+D67+D73</f>
        <v>276087189</v>
      </c>
      <c r="E75" s="309">
        <f>D75-C75</f>
        <v>-6379547</v>
      </c>
      <c r="F75" s="310">
        <f>IF(C75=0,0,E75/C75)</f>
        <v>-2.2585126625317042E-2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FILING&amp;REASTERN CONNECTICUT HEALTH NETWORK,INC.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900707906</v>
      </c>
      <c r="D11" s="76">
        <v>925914801</v>
      </c>
      <c r="E11" s="76">
        <f t="shared" ref="E11:E20" si="0">D11-C11</f>
        <v>25206895</v>
      </c>
      <c r="F11" s="77">
        <f t="shared" ref="F11:F20" si="1">IF(C11=0,0,E11/C11)</f>
        <v>2.7985648657113043E-2</v>
      </c>
    </row>
    <row r="12" spans="1:7" ht="23.1" customHeight="1" x14ac:dyDescent="0.2">
      <c r="A12" s="74">
        <v>2</v>
      </c>
      <c r="B12" s="75" t="s">
        <v>72</v>
      </c>
      <c r="C12" s="76">
        <v>585405098</v>
      </c>
      <c r="D12" s="76">
        <v>612343685</v>
      </c>
      <c r="E12" s="76">
        <f t="shared" si="0"/>
        <v>26938587</v>
      </c>
      <c r="F12" s="77">
        <f t="shared" si="1"/>
        <v>4.6017001034042923E-2</v>
      </c>
    </row>
    <row r="13" spans="1:7" ht="23.1" customHeight="1" x14ac:dyDescent="0.2">
      <c r="A13" s="74">
        <v>3</v>
      </c>
      <c r="B13" s="75" t="s">
        <v>73</v>
      </c>
      <c r="C13" s="76">
        <v>5180649</v>
      </c>
      <c r="D13" s="76">
        <v>3599806</v>
      </c>
      <c r="E13" s="76">
        <f t="shared" si="0"/>
        <v>-1580843</v>
      </c>
      <c r="F13" s="77">
        <f t="shared" si="1"/>
        <v>-0.30514381499306359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310122159</v>
      </c>
      <c r="D15" s="79">
        <f>D11-D12-D13-D14</f>
        <v>309971310</v>
      </c>
      <c r="E15" s="79">
        <f t="shared" si="0"/>
        <v>-150849</v>
      </c>
      <c r="F15" s="80">
        <f t="shared" si="1"/>
        <v>-4.8641799891506623E-4</v>
      </c>
    </row>
    <row r="16" spans="1:7" ht="23.1" customHeight="1" x14ac:dyDescent="0.2">
      <c r="A16" s="74">
        <v>5</v>
      </c>
      <c r="B16" s="75" t="s">
        <v>76</v>
      </c>
      <c r="C16" s="76">
        <v>11142202</v>
      </c>
      <c r="D16" s="76">
        <v>10216094</v>
      </c>
      <c r="E16" s="76">
        <f t="shared" si="0"/>
        <v>-926108</v>
      </c>
      <c r="F16" s="77">
        <f t="shared" si="1"/>
        <v>-8.3117143272039049E-2</v>
      </c>
      <c r="G16" s="65"/>
    </row>
    <row r="17" spans="1:7" ht="31.5" customHeight="1" x14ac:dyDescent="0.25">
      <c r="A17" s="71"/>
      <c r="B17" s="81" t="s">
        <v>77</v>
      </c>
      <c r="C17" s="79">
        <f>C15-C16</f>
        <v>298979957</v>
      </c>
      <c r="D17" s="79">
        <f>D15-D16</f>
        <v>299755216</v>
      </c>
      <c r="E17" s="79">
        <f t="shared" si="0"/>
        <v>775259</v>
      </c>
      <c r="F17" s="80">
        <f t="shared" si="1"/>
        <v>2.5930132834957897E-3</v>
      </c>
    </row>
    <row r="18" spans="1:7" ht="23.1" customHeight="1" x14ac:dyDescent="0.2">
      <c r="A18" s="74">
        <v>6</v>
      </c>
      <c r="B18" s="75" t="s">
        <v>78</v>
      </c>
      <c r="C18" s="76">
        <v>27116509</v>
      </c>
      <c r="D18" s="76">
        <v>28166459</v>
      </c>
      <c r="E18" s="76">
        <f t="shared" si="0"/>
        <v>1049950</v>
      </c>
      <c r="F18" s="77">
        <f t="shared" si="1"/>
        <v>3.8719954696233204E-2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1871227</v>
      </c>
      <c r="D19" s="76">
        <v>833650</v>
      </c>
      <c r="E19" s="76">
        <f t="shared" si="0"/>
        <v>-1037577</v>
      </c>
      <c r="F19" s="77">
        <f t="shared" si="1"/>
        <v>-0.55449018211045475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327967693</v>
      </c>
      <c r="D20" s="79">
        <f>SUM(D17:D19)</f>
        <v>328755325</v>
      </c>
      <c r="E20" s="79">
        <f t="shared" si="0"/>
        <v>787632</v>
      </c>
      <c r="F20" s="80">
        <f t="shared" si="1"/>
        <v>2.4015536188803817E-3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163729402</v>
      </c>
      <c r="D23" s="76">
        <v>162727445</v>
      </c>
      <c r="E23" s="76">
        <f t="shared" ref="E23:E32" si="2">D23-C23</f>
        <v>-1001957</v>
      </c>
      <c r="F23" s="77">
        <f t="shared" ref="F23:F32" si="3">IF(C23=0,0,E23/C23)</f>
        <v>-6.1195911532126645E-3</v>
      </c>
    </row>
    <row r="24" spans="1:7" ht="23.1" customHeight="1" x14ac:dyDescent="0.2">
      <c r="A24" s="74">
        <v>2</v>
      </c>
      <c r="B24" s="75" t="s">
        <v>83</v>
      </c>
      <c r="C24" s="76">
        <v>47592094</v>
      </c>
      <c r="D24" s="76">
        <v>43859398</v>
      </c>
      <c r="E24" s="76">
        <f t="shared" si="2"/>
        <v>-3732696</v>
      </c>
      <c r="F24" s="77">
        <f t="shared" si="3"/>
        <v>-7.8431009990861084E-2</v>
      </c>
    </row>
    <row r="25" spans="1:7" ht="23.1" customHeight="1" x14ac:dyDescent="0.2">
      <c r="A25" s="74">
        <v>3</v>
      </c>
      <c r="B25" s="75" t="s">
        <v>84</v>
      </c>
      <c r="C25" s="76">
        <v>11330248</v>
      </c>
      <c r="D25" s="76">
        <v>14478331</v>
      </c>
      <c r="E25" s="76">
        <f t="shared" si="2"/>
        <v>3148083</v>
      </c>
      <c r="F25" s="77">
        <f t="shared" si="3"/>
        <v>0.2778476693537511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36699785</v>
      </c>
      <c r="D26" s="76">
        <v>34194649</v>
      </c>
      <c r="E26" s="76">
        <f t="shared" si="2"/>
        <v>-2505136</v>
      </c>
      <c r="F26" s="77">
        <f t="shared" si="3"/>
        <v>-6.826023640192988E-2</v>
      </c>
    </row>
    <row r="27" spans="1:7" ht="23.1" customHeight="1" x14ac:dyDescent="0.2">
      <c r="A27" s="74">
        <v>5</v>
      </c>
      <c r="B27" s="75" t="s">
        <v>86</v>
      </c>
      <c r="C27" s="76">
        <v>12290822</v>
      </c>
      <c r="D27" s="76">
        <v>12196877</v>
      </c>
      <c r="E27" s="76">
        <f t="shared" si="2"/>
        <v>-93945</v>
      </c>
      <c r="F27" s="77">
        <f t="shared" si="3"/>
        <v>-7.6435083023739178E-3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3907765</v>
      </c>
      <c r="D29" s="76">
        <v>3764488</v>
      </c>
      <c r="E29" s="76">
        <f t="shared" si="2"/>
        <v>-143277</v>
      </c>
      <c r="F29" s="77">
        <f t="shared" si="3"/>
        <v>-3.6664691965867954E-2</v>
      </c>
    </row>
    <row r="30" spans="1:7" ht="23.1" customHeight="1" x14ac:dyDescent="0.2">
      <c r="A30" s="74">
        <v>8</v>
      </c>
      <c r="B30" s="75" t="s">
        <v>89</v>
      </c>
      <c r="C30" s="76">
        <v>8373093</v>
      </c>
      <c r="D30" s="76">
        <v>3807147</v>
      </c>
      <c r="E30" s="76">
        <f t="shared" si="2"/>
        <v>-4565946</v>
      </c>
      <c r="F30" s="77">
        <f t="shared" si="3"/>
        <v>-0.54531175038901392</v>
      </c>
    </row>
    <row r="31" spans="1:7" ht="23.1" customHeight="1" x14ac:dyDescent="0.2">
      <c r="A31" s="74">
        <v>9</v>
      </c>
      <c r="B31" s="75" t="s">
        <v>90</v>
      </c>
      <c r="C31" s="76">
        <v>43931989</v>
      </c>
      <c r="D31" s="76">
        <v>51554269</v>
      </c>
      <c r="E31" s="76">
        <f t="shared" si="2"/>
        <v>7622280</v>
      </c>
      <c r="F31" s="77">
        <f t="shared" si="3"/>
        <v>0.17350181891377603</v>
      </c>
    </row>
    <row r="32" spans="1:7" ht="23.1" customHeight="1" x14ac:dyDescent="0.25">
      <c r="A32" s="71"/>
      <c r="B32" s="78" t="s">
        <v>91</v>
      </c>
      <c r="C32" s="79">
        <f>SUM(C23:C31)</f>
        <v>327855198</v>
      </c>
      <c r="D32" s="79">
        <f>SUM(D23:D31)</f>
        <v>326582604</v>
      </c>
      <c r="E32" s="79">
        <f t="shared" si="2"/>
        <v>-1272594</v>
      </c>
      <c r="F32" s="80">
        <f t="shared" si="3"/>
        <v>-3.8815733523919912E-3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112495</v>
      </c>
      <c r="D34" s="79">
        <f>+D20-D32</f>
        <v>2172721</v>
      </c>
      <c r="E34" s="79">
        <f>D34-C34</f>
        <v>2060226</v>
      </c>
      <c r="F34" s="80">
        <f>IF(C34=0,0,E34/C34)</f>
        <v>18.313933952620115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2784</v>
      </c>
      <c r="D37" s="76">
        <v>645</v>
      </c>
      <c r="E37" s="76">
        <f>D37-C37</f>
        <v>-2139</v>
      </c>
      <c r="F37" s="77">
        <f>IF(C37=0,0,E37/C37)</f>
        <v>-0.76831896551724133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-2141373</v>
      </c>
      <c r="D39" s="76">
        <v>-2126396</v>
      </c>
      <c r="E39" s="76">
        <f>D39-C39</f>
        <v>14977</v>
      </c>
      <c r="F39" s="77">
        <f>IF(C39=0,0,E39/C39)</f>
        <v>-6.9941107877982958E-3</v>
      </c>
    </row>
    <row r="40" spans="1:6" ht="23.1" customHeight="1" x14ac:dyDescent="0.25">
      <c r="A40" s="83"/>
      <c r="B40" s="78" t="s">
        <v>97</v>
      </c>
      <c r="C40" s="79">
        <f>SUM(C37:C39)</f>
        <v>-2138589</v>
      </c>
      <c r="D40" s="79">
        <f>SUM(D37:D39)</f>
        <v>-2125751</v>
      </c>
      <c r="E40" s="79">
        <f>D40-C40</f>
        <v>12838</v>
      </c>
      <c r="F40" s="80">
        <f>IF(C40=0,0,E40/C40)</f>
        <v>-6.0030234888517617E-3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-2026094</v>
      </c>
      <c r="D42" s="79">
        <f>D34+D40</f>
        <v>46970</v>
      </c>
      <c r="E42" s="79">
        <f>D42-C42</f>
        <v>2073064</v>
      </c>
      <c r="F42" s="80">
        <f>IF(C42=0,0,E42/C42)</f>
        <v>-1.0231825374340973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-2026094</v>
      </c>
      <c r="D49" s="79">
        <f>D42+D47</f>
        <v>46970</v>
      </c>
      <c r="E49" s="79">
        <f>D49-C49</f>
        <v>2073064</v>
      </c>
      <c r="F49" s="80">
        <f>IF(C49=0,0,E49/C49)</f>
        <v>-1.0231825374340973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FILING&amp;R&amp;8EASTERN CONNECTICUT HEALTH NETWORK,INC.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2015-07-07T13:01:46Z</cp:lastPrinted>
  <dcterms:created xsi:type="dcterms:W3CDTF">2015-07-07T12:54:35Z</dcterms:created>
  <dcterms:modified xsi:type="dcterms:W3CDTF">2015-07-07T13:01:54Z</dcterms:modified>
</cp:coreProperties>
</file>