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5AR12M\Excel downloads\"/>
    </mc:Choice>
  </mc:AlternateContent>
  <bookViews>
    <workbookView xWindow="0" yWindow="0" windowWidth="21570" windowHeight="951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 fullCalcOnLoad="1"/>
</workbook>
</file>

<file path=xl/calcChain.xml><?xml version="1.0" encoding="utf-8"?>
<calcChain xmlns="http://schemas.openxmlformats.org/spreadsheetml/2006/main">
  <c r="E97" i="22" l="1"/>
  <c r="D97" i="22"/>
  <c r="C97" i="22"/>
  <c r="C98" i="22"/>
  <c r="E96" i="22"/>
  <c r="E98" i="22"/>
  <c r="D96" i="22"/>
  <c r="D98" i="22"/>
  <c r="C96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C88" i="22"/>
  <c r="E86" i="22"/>
  <c r="E88" i="22"/>
  <c r="D86" i="22"/>
  <c r="D88" i="22"/>
  <c r="C86" i="22"/>
  <c r="E83" i="22"/>
  <c r="E101" i="22"/>
  <c r="D83" i="22"/>
  <c r="D102" i="22"/>
  <c r="D101" i="22"/>
  <c r="D103" i="22"/>
  <c r="C83" i="22"/>
  <c r="C101" i="22"/>
  <c r="E76" i="22"/>
  <c r="E77" i="22"/>
  <c r="D76" i="22"/>
  <c r="C76" i="22"/>
  <c r="E75" i="22"/>
  <c r="D75" i="22"/>
  <c r="D77" i="22"/>
  <c r="D109" i="22"/>
  <c r="C75" i="22"/>
  <c r="C77" i="22"/>
  <c r="C109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D34" i="22"/>
  <c r="E28" i="22"/>
  <c r="D28" i="22"/>
  <c r="C28" i="22"/>
  <c r="E27" i="22"/>
  <c r="D27" i="22"/>
  <c r="C27" i="22"/>
  <c r="E21" i="22"/>
  <c r="D21" i="22"/>
  <c r="C21" i="22"/>
  <c r="E12" i="22"/>
  <c r="E33" i="22"/>
  <c r="D12" i="22"/>
  <c r="C12" i="22"/>
  <c r="D21" i="21"/>
  <c r="C21" i="21"/>
  <c r="D19" i="21"/>
  <c r="E19" i="21"/>
  <c r="F19" i="21"/>
  <c r="C19" i="21"/>
  <c r="F17" i="21"/>
  <c r="E17" i="21"/>
  <c r="E15" i="21"/>
  <c r="F15" i="21"/>
  <c r="D45" i="20"/>
  <c r="E45" i="20"/>
  <c r="F45" i="20"/>
  <c r="C45" i="20"/>
  <c r="D44" i="20"/>
  <c r="C44" i="20"/>
  <c r="D43" i="20"/>
  <c r="C43" i="20"/>
  <c r="D36" i="20"/>
  <c r="D40" i="20"/>
  <c r="E40" i="20"/>
  <c r="F40" i="20"/>
  <c r="C36" i="20"/>
  <c r="C40" i="20"/>
  <c r="E35" i="20"/>
  <c r="F35" i="20"/>
  <c r="E34" i="20"/>
  <c r="F34" i="20"/>
  <c r="E33" i="20"/>
  <c r="F33" i="20"/>
  <c r="E36" i="20"/>
  <c r="F36" i="20"/>
  <c r="E30" i="20"/>
  <c r="F30" i="20"/>
  <c r="E29" i="20"/>
  <c r="F29" i="20"/>
  <c r="E28" i="20"/>
  <c r="F28" i="20"/>
  <c r="E27" i="20"/>
  <c r="F27" i="20"/>
  <c r="D25" i="20"/>
  <c r="D39" i="20"/>
  <c r="C25" i="20"/>
  <c r="C39" i="20"/>
  <c r="C41" i="20"/>
  <c r="E24" i="20"/>
  <c r="F24" i="20"/>
  <c r="E23" i="20"/>
  <c r="F23" i="20"/>
  <c r="E22" i="20"/>
  <c r="D19" i="20"/>
  <c r="D20" i="20"/>
  <c r="C19" i="20"/>
  <c r="C20" i="20"/>
  <c r="F18" i="20"/>
  <c r="E18" i="20"/>
  <c r="D16" i="20"/>
  <c r="C16" i="20"/>
  <c r="F15" i="20"/>
  <c r="E15" i="20"/>
  <c r="F13" i="20"/>
  <c r="E13" i="20"/>
  <c r="F12" i="20"/>
  <c r="E12" i="20"/>
  <c r="C115" i="19"/>
  <c r="C105" i="19"/>
  <c r="C137" i="19"/>
  <c r="C139" i="19"/>
  <c r="C143" i="19"/>
  <c r="C96" i="19"/>
  <c r="C95" i="19"/>
  <c r="C89" i="19"/>
  <c r="C88" i="19"/>
  <c r="C83" i="19"/>
  <c r="C77" i="19"/>
  <c r="C78" i="19"/>
  <c r="C63" i="19"/>
  <c r="C59" i="19"/>
  <c r="C48" i="19"/>
  <c r="C49" i="19"/>
  <c r="C36" i="19"/>
  <c r="C32" i="19"/>
  <c r="C33" i="19"/>
  <c r="C21" i="19"/>
  <c r="E328" i="18"/>
  <c r="E325" i="18"/>
  <c r="D324" i="18"/>
  <c r="D326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C301" i="18"/>
  <c r="E301" i="18"/>
  <c r="D293" i="18"/>
  <c r="E293" i="18"/>
  <c r="C293" i="18"/>
  <c r="D292" i="18"/>
  <c r="E292" i="18"/>
  <c r="C292" i="18"/>
  <c r="D291" i="18"/>
  <c r="E291" i="18"/>
  <c r="C291" i="18"/>
  <c r="D290" i="18"/>
  <c r="C290" i="18"/>
  <c r="E290" i="18"/>
  <c r="D288" i="18"/>
  <c r="E288" i="18"/>
  <c r="C288" i="18"/>
  <c r="D287" i="18"/>
  <c r="C287" i="18"/>
  <c r="D282" i="18"/>
  <c r="C282" i="18"/>
  <c r="D281" i="18"/>
  <c r="E281" i="18"/>
  <c r="C281" i="18"/>
  <c r="D280" i="18"/>
  <c r="C280" i="18"/>
  <c r="E280" i="18"/>
  <c r="D279" i="18"/>
  <c r="E279" i="18"/>
  <c r="C279" i="18"/>
  <c r="D278" i="18"/>
  <c r="C278" i="18"/>
  <c r="D277" i="18"/>
  <c r="E277" i="18"/>
  <c r="C277" i="18"/>
  <c r="D276" i="18"/>
  <c r="C276" i="18"/>
  <c r="E270" i="18"/>
  <c r="D265" i="18"/>
  <c r="D302" i="18"/>
  <c r="C265" i="18"/>
  <c r="D262" i="18"/>
  <c r="C262" i="18"/>
  <c r="D251" i="18"/>
  <c r="E251" i="18"/>
  <c r="C251" i="18"/>
  <c r="D233" i="18"/>
  <c r="C233" i="18"/>
  <c r="D232" i="18"/>
  <c r="E232" i="18"/>
  <c r="C232" i="18"/>
  <c r="D231" i="18"/>
  <c r="E231" i="18"/>
  <c r="C231" i="18"/>
  <c r="D230" i="18"/>
  <c r="E230" i="18"/>
  <c r="C230" i="18"/>
  <c r="D228" i="18"/>
  <c r="C228" i="18"/>
  <c r="D227" i="18"/>
  <c r="C227" i="18"/>
  <c r="E227" i="18"/>
  <c r="D221" i="18"/>
  <c r="C221" i="18"/>
  <c r="C245" i="18"/>
  <c r="D220" i="18"/>
  <c r="C220" i="18"/>
  <c r="C244" i="18"/>
  <c r="D219" i="18"/>
  <c r="D243" i="18"/>
  <c r="C219" i="18"/>
  <c r="C243" i="18"/>
  <c r="D218" i="18"/>
  <c r="D242" i="18"/>
  <c r="C218" i="18"/>
  <c r="C242" i="18"/>
  <c r="E242" i="18"/>
  <c r="D217" i="18"/>
  <c r="D241" i="18"/>
  <c r="D216" i="18"/>
  <c r="D240" i="18"/>
  <c r="C216" i="18"/>
  <c r="C240" i="18"/>
  <c r="D215" i="18"/>
  <c r="D239" i="18"/>
  <c r="E239" i="18"/>
  <c r="C215" i="18"/>
  <c r="C239" i="18"/>
  <c r="E209" i="18"/>
  <c r="E208" i="18"/>
  <c r="E207" i="18"/>
  <c r="E206" i="18"/>
  <c r="D205" i="18"/>
  <c r="C205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8" i="18"/>
  <c r="C188" i="18"/>
  <c r="E186" i="18"/>
  <c r="E185" i="18"/>
  <c r="D179" i="18"/>
  <c r="C179" i="18"/>
  <c r="E179" i="18"/>
  <c r="D178" i="18"/>
  <c r="C178" i="18"/>
  <c r="D177" i="18"/>
  <c r="C177" i="18"/>
  <c r="D176" i="18"/>
  <c r="E176" i="18"/>
  <c r="C176" i="18"/>
  <c r="D174" i="18"/>
  <c r="E174" i="18"/>
  <c r="C174" i="18"/>
  <c r="D173" i="18"/>
  <c r="C173" i="18"/>
  <c r="E173" i="18"/>
  <c r="D167" i="18"/>
  <c r="E167" i="18"/>
  <c r="C167" i="18"/>
  <c r="D166" i="18"/>
  <c r="C166" i="18"/>
  <c r="E166" i="18"/>
  <c r="D165" i="18"/>
  <c r="E165" i="18"/>
  <c r="C165" i="18"/>
  <c r="D164" i="18"/>
  <c r="E164" i="18"/>
  <c r="C164" i="18"/>
  <c r="D162" i="18"/>
  <c r="E162" i="18"/>
  <c r="C162" i="18"/>
  <c r="D161" i="18"/>
  <c r="C161" i="18"/>
  <c r="E161" i="18"/>
  <c r="E155" i="18"/>
  <c r="E154" i="18"/>
  <c r="E153" i="18"/>
  <c r="E152" i="18"/>
  <c r="D151" i="18"/>
  <c r="C151" i="18"/>
  <c r="E150" i="18"/>
  <c r="E149" i="18"/>
  <c r="C144" i="18"/>
  <c r="E143" i="18"/>
  <c r="E142" i="18"/>
  <c r="E141" i="18"/>
  <c r="E140" i="18"/>
  <c r="D139" i="18"/>
  <c r="D163" i="18"/>
  <c r="C139" i="18"/>
  <c r="E138" i="18"/>
  <c r="E137" i="18"/>
  <c r="D75" i="18"/>
  <c r="C75" i="18"/>
  <c r="D74" i="18"/>
  <c r="C74" i="18"/>
  <c r="D73" i="18"/>
  <c r="C73" i="18"/>
  <c r="E73" i="18"/>
  <c r="D72" i="18"/>
  <c r="E72" i="18"/>
  <c r="C72" i="18"/>
  <c r="D70" i="18"/>
  <c r="E70" i="18"/>
  <c r="C70" i="18"/>
  <c r="D69" i="18"/>
  <c r="E69" i="18"/>
  <c r="C69" i="18"/>
  <c r="E64" i="18"/>
  <c r="E63" i="18"/>
  <c r="E62" i="18"/>
  <c r="E61" i="18"/>
  <c r="D60" i="18"/>
  <c r="C60" i="18"/>
  <c r="E59" i="18"/>
  <c r="E58" i="18"/>
  <c r="C55" i="18"/>
  <c r="D54" i="18"/>
  <c r="D55" i="18"/>
  <c r="E55" i="18"/>
  <c r="C54" i="18"/>
  <c r="E53" i="18"/>
  <c r="E52" i="18"/>
  <c r="E51" i="18"/>
  <c r="E50" i="18"/>
  <c r="E49" i="18"/>
  <c r="E48" i="18"/>
  <c r="E47" i="18"/>
  <c r="D42" i="18"/>
  <c r="C42" i="18"/>
  <c r="D41" i="18"/>
  <c r="C41" i="18"/>
  <c r="D40" i="18"/>
  <c r="E40" i="18"/>
  <c r="C40" i="18"/>
  <c r="D39" i="18"/>
  <c r="E39" i="18"/>
  <c r="C39" i="18"/>
  <c r="D38" i="18"/>
  <c r="E38" i="18"/>
  <c r="C38" i="18"/>
  <c r="D37" i="18"/>
  <c r="D43" i="18"/>
  <c r="C37" i="18"/>
  <c r="C43" i="18"/>
  <c r="D36" i="18"/>
  <c r="C36" i="18"/>
  <c r="C44" i="18"/>
  <c r="D32" i="18"/>
  <c r="D33" i="18"/>
  <c r="C32" i="18"/>
  <c r="E31" i="18"/>
  <c r="E30" i="18"/>
  <c r="E29" i="18"/>
  <c r="E28" i="18"/>
  <c r="E27" i="18"/>
  <c r="E26" i="18"/>
  <c r="E25" i="18"/>
  <c r="D22" i="18"/>
  <c r="D284" i="18"/>
  <c r="E284" i="18"/>
  <c r="D21" i="18"/>
  <c r="C21" i="18"/>
  <c r="C283" i="18"/>
  <c r="E20" i="18"/>
  <c r="E19" i="18"/>
  <c r="E18" i="18"/>
  <c r="E17" i="18"/>
  <c r="E16" i="18"/>
  <c r="E15" i="18"/>
  <c r="E14" i="18"/>
  <c r="E335" i="17"/>
  <c r="F335" i="17"/>
  <c r="F334" i="17"/>
  <c r="E334" i="17"/>
  <c r="E333" i="17"/>
  <c r="F333" i="17"/>
  <c r="F332" i="17"/>
  <c r="E332" i="17"/>
  <c r="E331" i="17"/>
  <c r="F331" i="17"/>
  <c r="E330" i="17"/>
  <c r="F330" i="17"/>
  <c r="F329" i="17"/>
  <c r="E329" i="17"/>
  <c r="F316" i="17"/>
  <c r="E316" i="17"/>
  <c r="D311" i="17"/>
  <c r="C311" i="17"/>
  <c r="F311" i="17"/>
  <c r="F308" i="17"/>
  <c r="E308" i="17"/>
  <c r="D307" i="17"/>
  <c r="E307" i="17"/>
  <c r="F307" i="17"/>
  <c r="C307" i="17"/>
  <c r="D299" i="17"/>
  <c r="C299" i="17"/>
  <c r="E299" i="17"/>
  <c r="D298" i="17"/>
  <c r="C298" i="17"/>
  <c r="E298" i="17"/>
  <c r="D297" i="17"/>
  <c r="E297" i="17"/>
  <c r="F297" i="17"/>
  <c r="C297" i="17"/>
  <c r="D296" i="17"/>
  <c r="E296" i="17"/>
  <c r="C296" i="17"/>
  <c r="D295" i="17"/>
  <c r="C295" i="17"/>
  <c r="E295" i="17"/>
  <c r="D294" i="17"/>
  <c r="E294" i="17"/>
  <c r="C294" i="17"/>
  <c r="D250" i="17"/>
  <c r="D306" i="17"/>
  <c r="C250" i="17"/>
  <c r="C306" i="17"/>
  <c r="E249" i="17"/>
  <c r="F249" i="17"/>
  <c r="E248" i="17"/>
  <c r="F248" i="17"/>
  <c r="F245" i="17"/>
  <c r="E245" i="17"/>
  <c r="E244" i="17"/>
  <c r="F244" i="17"/>
  <c r="E243" i="17"/>
  <c r="F243" i="17"/>
  <c r="D238" i="17"/>
  <c r="C238" i="17"/>
  <c r="E238" i="17"/>
  <c r="D237" i="17"/>
  <c r="D239" i="17"/>
  <c r="E239" i="17"/>
  <c r="C237" i="17"/>
  <c r="C239" i="17"/>
  <c r="E234" i="17"/>
  <c r="F234" i="17"/>
  <c r="E233" i="17"/>
  <c r="F233" i="17"/>
  <c r="D230" i="17"/>
  <c r="C230" i="17"/>
  <c r="D229" i="17"/>
  <c r="C229" i="17"/>
  <c r="E228" i="17"/>
  <c r="F228" i="17"/>
  <c r="D226" i="17"/>
  <c r="C226" i="17"/>
  <c r="E225" i="17"/>
  <c r="F225" i="17"/>
  <c r="E224" i="17"/>
  <c r="F224" i="17"/>
  <c r="D223" i="17"/>
  <c r="E223" i="17"/>
  <c r="F223" i="17"/>
  <c r="C223" i="17"/>
  <c r="E222" i="17"/>
  <c r="F222" i="17"/>
  <c r="E221" i="17"/>
  <c r="F221" i="17"/>
  <c r="D204" i="17"/>
  <c r="C204" i="17"/>
  <c r="D203" i="17"/>
  <c r="D283" i="17"/>
  <c r="C203" i="17"/>
  <c r="C283" i="17"/>
  <c r="D198" i="17"/>
  <c r="C198" i="17"/>
  <c r="D191" i="17"/>
  <c r="C191" i="17"/>
  <c r="D189" i="17"/>
  <c r="E189" i="17"/>
  <c r="C189" i="17"/>
  <c r="F189" i="17"/>
  <c r="D188" i="17"/>
  <c r="C188" i="17"/>
  <c r="D180" i="17"/>
  <c r="E180" i="17"/>
  <c r="C180" i="17"/>
  <c r="F180" i="17"/>
  <c r="D179" i="17"/>
  <c r="C179" i="17"/>
  <c r="D171" i="17"/>
  <c r="C171" i="17"/>
  <c r="F170" i="17"/>
  <c r="D170" i="17"/>
  <c r="C170" i="17"/>
  <c r="E170" i="17"/>
  <c r="F169" i="17"/>
  <c r="E169" i="17"/>
  <c r="F168" i="17"/>
  <c r="E168" i="17"/>
  <c r="F165" i="17"/>
  <c r="D165" i="17"/>
  <c r="C165" i="17"/>
  <c r="E165" i="17"/>
  <c r="F164" i="17"/>
  <c r="D164" i="17"/>
  <c r="E164" i="17"/>
  <c r="C164" i="17"/>
  <c r="F163" i="17"/>
  <c r="E163" i="17"/>
  <c r="D158" i="17"/>
  <c r="D159" i="17"/>
  <c r="E159" i="17"/>
  <c r="C158" i="17"/>
  <c r="C159" i="17"/>
  <c r="F159" i="17"/>
  <c r="F157" i="17"/>
  <c r="E157" i="17"/>
  <c r="F156" i="17"/>
  <c r="E156" i="17"/>
  <c r="D155" i="17"/>
  <c r="C155" i="17"/>
  <c r="F155" i="17"/>
  <c r="F154" i="17"/>
  <c r="E154" i="17"/>
  <c r="F153" i="17"/>
  <c r="E153" i="17"/>
  <c r="D145" i="17"/>
  <c r="C145" i="17"/>
  <c r="D144" i="17"/>
  <c r="D146" i="17"/>
  <c r="C144" i="17"/>
  <c r="C146" i="17"/>
  <c r="D136" i="17"/>
  <c r="D137" i="17"/>
  <c r="C136" i="17"/>
  <c r="C137" i="17"/>
  <c r="D135" i="17"/>
  <c r="C135" i="17"/>
  <c r="E135" i="17"/>
  <c r="E134" i="17"/>
  <c r="F134" i="17"/>
  <c r="E133" i="17"/>
  <c r="F133" i="17"/>
  <c r="D130" i="17"/>
  <c r="E130" i="17"/>
  <c r="F130" i="17"/>
  <c r="C130" i="17"/>
  <c r="D129" i="17"/>
  <c r="C129" i="17"/>
  <c r="E128" i="17"/>
  <c r="F128" i="17"/>
  <c r="D123" i="17"/>
  <c r="D124" i="17"/>
  <c r="C123" i="17"/>
  <c r="F122" i="17"/>
  <c r="E122" i="17"/>
  <c r="F121" i="17"/>
  <c r="E121" i="17"/>
  <c r="D120" i="17"/>
  <c r="E120" i="17"/>
  <c r="F120" i="17"/>
  <c r="C120" i="17"/>
  <c r="F119" i="17"/>
  <c r="E119" i="17"/>
  <c r="F118" i="17"/>
  <c r="E118" i="17"/>
  <c r="D110" i="17"/>
  <c r="E110" i="17"/>
  <c r="F110" i="17"/>
  <c r="C110" i="17"/>
  <c r="D109" i="17"/>
  <c r="C109" i="17"/>
  <c r="C111" i="17"/>
  <c r="D101" i="17"/>
  <c r="D102" i="17"/>
  <c r="D103" i="17"/>
  <c r="C101" i="17"/>
  <c r="D100" i="17"/>
  <c r="E100" i="17"/>
  <c r="F100" i="17"/>
  <c r="C100" i="17"/>
  <c r="E99" i="17"/>
  <c r="F99" i="17"/>
  <c r="F98" i="17"/>
  <c r="E98" i="17"/>
  <c r="D95" i="17"/>
  <c r="E95" i="17"/>
  <c r="F95" i="17"/>
  <c r="C95" i="17"/>
  <c r="D94" i="17"/>
  <c r="E94" i="17"/>
  <c r="F94" i="17"/>
  <c r="C94" i="17"/>
  <c r="F93" i="17"/>
  <c r="E93" i="17"/>
  <c r="D88" i="17"/>
  <c r="D89" i="17"/>
  <c r="C88" i="17"/>
  <c r="E87" i="17"/>
  <c r="F87" i="17"/>
  <c r="E86" i="17"/>
  <c r="F86" i="17"/>
  <c r="D85" i="17"/>
  <c r="E85" i="17"/>
  <c r="C85" i="17"/>
  <c r="E84" i="17"/>
  <c r="F84" i="17"/>
  <c r="E83" i="17"/>
  <c r="F83" i="17"/>
  <c r="D76" i="17"/>
  <c r="D77" i="17"/>
  <c r="E77" i="17"/>
  <c r="C76" i="17"/>
  <c r="C77" i="17"/>
  <c r="E74" i="17"/>
  <c r="F74" i="17"/>
  <c r="E73" i="17"/>
  <c r="F73" i="17"/>
  <c r="D67" i="17"/>
  <c r="C67" i="17"/>
  <c r="D66" i="17"/>
  <c r="D68" i="17"/>
  <c r="E68" i="17"/>
  <c r="F68" i="17"/>
  <c r="C66" i="17"/>
  <c r="C68" i="17"/>
  <c r="D59" i="17"/>
  <c r="D60" i="17"/>
  <c r="C59" i="17"/>
  <c r="C60" i="17"/>
  <c r="D58" i="17"/>
  <c r="C58" i="17"/>
  <c r="E58" i="17"/>
  <c r="E57" i="17"/>
  <c r="F57" i="17"/>
  <c r="E56" i="17"/>
  <c r="F56" i="17"/>
  <c r="D53" i="17"/>
  <c r="C53" i="17"/>
  <c r="D52" i="17"/>
  <c r="C52" i="17"/>
  <c r="E52" i="17"/>
  <c r="E51" i="17"/>
  <c r="F51" i="17"/>
  <c r="D47" i="17"/>
  <c r="D48" i="17"/>
  <c r="C47" i="17"/>
  <c r="C48" i="17"/>
  <c r="E46" i="17"/>
  <c r="F46" i="17"/>
  <c r="E45" i="17"/>
  <c r="F45" i="17"/>
  <c r="D44" i="17"/>
  <c r="C44" i="17"/>
  <c r="E44" i="17"/>
  <c r="E43" i="17"/>
  <c r="F43" i="17"/>
  <c r="E42" i="17"/>
  <c r="F42" i="17"/>
  <c r="D36" i="17"/>
  <c r="D37" i="17"/>
  <c r="C36" i="17"/>
  <c r="E36" i="17"/>
  <c r="F36" i="17"/>
  <c r="D35" i="17"/>
  <c r="C35" i="17"/>
  <c r="D30" i="17"/>
  <c r="D31" i="17"/>
  <c r="C30" i="17"/>
  <c r="C31" i="17"/>
  <c r="D29" i="17"/>
  <c r="C29" i="17"/>
  <c r="E29" i="17"/>
  <c r="E28" i="17"/>
  <c r="F28" i="17"/>
  <c r="E27" i="17"/>
  <c r="F27" i="17"/>
  <c r="D24" i="17"/>
  <c r="C24" i="17"/>
  <c r="E24" i="17"/>
  <c r="F24" i="17"/>
  <c r="D23" i="17"/>
  <c r="E23" i="17"/>
  <c r="F23" i="17"/>
  <c r="C23" i="17"/>
  <c r="E22" i="17"/>
  <c r="F22" i="17"/>
  <c r="D20" i="17"/>
  <c r="C20" i="17"/>
  <c r="E19" i="17"/>
  <c r="F19" i="17"/>
  <c r="E18" i="17"/>
  <c r="F18" i="17"/>
  <c r="D17" i="17"/>
  <c r="C17" i="17"/>
  <c r="E16" i="17"/>
  <c r="F16" i="17"/>
  <c r="E15" i="17"/>
  <c r="F15" i="17"/>
  <c r="D21" i="16"/>
  <c r="C21" i="16"/>
  <c r="E20" i="16"/>
  <c r="F20" i="16"/>
  <c r="D17" i="16"/>
  <c r="C17" i="16"/>
  <c r="E16" i="16"/>
  <c r="F16" i="16"/>
  <c r="D13" i="16"/>
  <c r="E13" i="16"/>
  <c r="C13" i="16"/>
  <c r="E12" i="16"/>
  <c r="F12" i="16"/>
  <c r="D107" i="15"/>
  <c r="C107" i="15"/>
  <c r="F106" i="15"/>
  <c r="E106" i="15"/>
  <c r="F105" i="15"/>
  <c r="E105" i="15"/>
  <c r="E104" i="15"/>
  <c r="F104" i="15"/>
  <c r="D100" i="15"/>
  <c r="C100" i="15"/>
  <c r="E99" i="15"/>
  <c r="F99" i="15"/>
  <c r="E98" i="15"/>
  <c r="F98" i="15"/>
  <c r="E97" i="15"/>
  <c r="F97" i="15"/>
  <c r="F96" i="15"/>
  <c r="E96" i="15"/>
  <c r="E95" i="15"/>
  <c r="F95" i="15"/>
  <c r="D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E81" i="15"/>
  <c r="F81" i="15"/>
  <c r="F80" i="15"/>
  <c r="E80" i="15"/>
  <c r="F79" i="15"/>
  <c r="E79" i="15"/>
  <c r="D75" i="15"/>
  <c r="C75" i="15"/>
  <c r="E74" i="15"/>
  <c r="F74" i="15"/>
  <c r="E73" i="15"/>
  <c r="D70" i="15"/>
  <c r="E70" i="15"/>
  <c r="C70" i="15"/>
  <c r="E69" i="15"/>
  <c r="F69" i="15"/>
  <c r="E68" i="15"/>
  <c r="F68" i="15"/>
  <c r="D65" i="15"/>
  <c r="C65" i="15"/>
  <c r="E64" i="15"/>
  <c r="F64" i="15"/>
  <c r="F63" i="15"/>
  <c r="E63" i="15"/>
  <c r="D60" i="15"/>
  <c r="C60" i="15"/>
  <c r="F60" i="15"/>
  <c r="E59" i="15"/>
  <c r="F59" i="15"/>
  <c r="F58" i="15"/>
  <c r="E58" i="15"/>
  <c r="E60" i="15"/>
  <c r="D55" i="15"/>
  <c r="C55" i="15"/>
  <c r="F55" i="15"/>
  <c r="F54" i="15"/>
  <c r="E54" i="15"/>
  <c r="F53" i="15"/>
  <c r="E53" i="15"/>
  <c r="F50" i="15"/>
  <c r="D50" i="15"/>
  <c r="C50" i="15"/>
  <c r="F49" i="15"/>
  <c r="E49" i="15"/>
  <c r="F48" i="15"/>
  <c r="E48" i="15"/>
  <c r="F45" i="15"/>
  <c r="D45" i="15"/>
  <c r="E45" i="15"/>
  <c r="C45" i="15"/>
  <c r="F44" i="15"/>
  <c r="E44" i="15"/>
  <c r="F43" i="15"/>
  <c r="E43" i="15"/>
  <c r="D37" i="15"/>
  <c r="E37" i="15"/>
  <c r="C37" i="15"/>
  <c r="F36" i="15"/>
  <c r="E36" i="15"/>
  <c r="F35" i="15"/>
  <c r="E35" i="15"/>
  <c r="E34" i="15"/>
  <c r="F34" i="15"/>
  <c r="E33" i="15"/>
  <c r="F33" i="15"/>
  <c r="D30" i="15"/>
  <c r="E30" i="15"/>
  <c r="C30" i="15"/>
  <c r="F30" i="15"/>
  <c r="F29" i="15"/>
  <c r="E29" i="15"/>
  <c r="F28" i="15"/>
  <c r="E28" i="15"/>
  <c r="F27" i="15"/>
  <c r="E27" i="15"/>
  <c r="F26" i="15"/>
  <c r="E26" i="15"/>
  <c r="D23" i="15"/>
  <c r="E23" i="15"/>
  <c r="C23" i="15"/>
  <c r="F22" i="15"/>
  <c r="E22" i="15"/>
  <c r="F21" i="15"/>
  <c r="E21" i="15"/>
  <c r="E20" i="15"/>
  <c r="F20" i="15"/>
  <c r="E19" i="15"/>
  <c r="F19" i="15"/>
  <c r="D16" i="15"/>
  <c r="E16" i="15"/>
  <c r="F16" i="15"/>
  <c r="C16" i="15"/>
  <c r="F15" i="15"/>
  <c r="E15" i="15"/>
  <c r="E14" i="15"/>
  <c r="F14" i="15"/>
  <c r="E13" i="15"/>
  <c r="F13" i="15"/>
  <c r="E12" i="15"/>
  <c r="F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3" i="14"/>
  <c r="G31" i="14"/>
  <c r="I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C80" i="13"/>
  <c r="E78" i="13"/>
  <c r="E80" i="13"/>
  <c r="E77" i="13"/>
  <c r="D78" i="13"/>
  <c r="D80" i="13"/>
  <c r="D77" i="13"/>
  <c r="C78" i="13"/>
  <c r="C77" i="13"/>
  <c r="C75" i="13"/>
  <c r="E73" i="13"/>
  <c r="E75" i="13"/>
  <c r="D73" i="13"/>
  <c r="D75" i="13"/>
  <c r="C73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C57" i="13"/>
  <c r="E58" i="13"/>
  <c r="D58" i="13"/>
  <c r="C58" i="13"/>
  <c r="E55" i="13"/>
  <c r="D55" i="13"/>
  <c r="D50" i="13"/>
  <c r="C55" i="13"/>
  <c r="E54" i="13"/>
  <c r="E50" i="13"/>
  <c r="D54" i="13"/>
  <c r="C54" i="13"/>
  <c r="C50" i="13"/>
  <c r="C48" i="13"/>
  <c r="C42" i="13"/>
  <c r="E46" i="13"/>
  <c r="D46" i="13"/>
  <c r="C46" i="13"/>
  <c r="C59" i="13"/>
  <c r="C61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15" i="13"/>
  <c r="E24" i="13"/>
  <c r="C15" i="13"/>
  <c r="C24" i="13"/>
  <c r="E13" i="13"/>
  <c r="E25" i="13"/>
  <c r="E27" i="13"/>
  <c r="D13" i="13"/>
  <c r="D25" i="13"/>
  <c r="D27" i="13"/>
  <c r="C13" i="13"/>
  <c r="C25" i="13"/>
  <c r="C27" i="13"/>
  <c r="F47" i="12"/>
  <c r="D47" i="12"/>
  <c r="E47" i="12"/>
  <c r="C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E37" i="12"/>
  <c r="F37" i="12"/>
  <c r="D32" i="12"/>
  <c r="E32" i="12"/>
  <c r="F32" i="12"/>
  <c r="C32" i="12"/>
  <c r="E31" i="12"/>
  <c r="F31" i="12"/>
  <c r="E30" i="12"/>
  <c r="F30" i="12"/>
  <c r="F29" i="12"/>
  <c r="E29" i="12"/>
  <c r="F28" i="12"/>
  <c r="E28" i="12"/>
  <c r="F27" i="12"/>
  <c r="E27" i="12"/>
  <c r="E26" i="12"/>
  <c r="F26" i="12"/>
  <c r="F25" i="12"/>
  <c r="E25" i="12"/>
  <c r="F24" i="12"/>
  <c r="E24" i="12"/>
  <c r="E23" i="12"/>
  <c r="F23" i="12"/>
  <c r="E19" i="12"/>
  <c r="F19" i="12"/>
  <c r="F18" i="12"/>
  <c r="E18" i="12"/>
  <c r="F16" i="12"/>
  <c r="E16" i="12"/>
  <c r="D15" i="12"/>
  <c r="C15" i="12"/>
  <c r="C17" i="12"/>
  <c r="F14" i="12"/>
  <c r="E14" i="12"/>
  <c r="F13" i="12"/>
  <c r="E13" i="12"/>
  <c r="F12" i="12"/>
  <c r="E12" i="12"/>
  <c r="E11" i="12"/>
  <c r="F11" i="12"/>
  <c r="D73" i="11"/>
  <c r="E73" i="11"/>
  <c r="F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F75" i="11"/>
  <c r="C56" i="11"/>
  <c r="C75" i="11"/>
  <c r="F55" i="11"/>
  <c r="E55" i="11"/>
  <c r="E54" i="11"/>
  <c r="F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C38" i="11"/>
  <c r="C41" i="11"/>
  <c r="E37" i="11"/>
  <c r="F37" i="11"/>
  <c r="E36" i="11"/>
  <c r="F36" i="11"/>
  <c r="F33" i="11"/>
  <c r="E33" i="11"/>
  <c r="E32" i="11"/>
  <c r="F32" i="11"/>
  <c r="F31" i="11"/>
  <c r="E31" i="11"/>
  <c r="D29" i="11"/>
  <c r="E29" i="11"/>
  <c r="F29" i="11"/>
  <c r="C29" i="11"/>
  <c r="E28" i="11"/>
  <c r="F28" i="11"/>
  <c r="F27" i="11"/>
  <c r="E27" i="11"/>
  <c r="F26" i="11"/>
  <c r="E26" i="11"/>
  <c r="F25" i="11"/>
  <c r="E25" i="11"/>
  <c r="D22" i="11"/>
  <c r="D43" i="11"/>
  <c r="C22" i="11"/>
  <c r="F21" i="11"/>
  <c r="E21" i="11"/>
  <c r="E20" i="11"/>
  <c r="F20" i="11"/>
  <c r="F19" i="11"/>
  <c r="E19" i="11"/>
  <c r="F18" i="11"/>
  <c r="E18" i="11"/>
  <c r="F17" i="11"/>
  <c r="E17" i="11"/>
  <c r="E16" i="11"/>
  <c r="F16" i="11"/>
  <c r="F15" i="11"/>
  <c r="E15" i="11"/>
  <c r="F14" i="11"/>
  <c r="E14" i="11"/>
  <c r="E13" i="11"/>
  <c r="F13" i="11"/>
  <c r="D120" i="10"/>
  <c r="E120" i="10"/>
  <c r="C120" i="10"/>
  <c r="F120" i="10"/>
  <c r="D119" i="10"/>
  <c r="C119" i="10"/>
  <c r="F119" i="10"/>
  <c r="D118" i="10"/>
  <c r="C118" i="10"/>
  <c r="F118" i="10"/>
  <c r="D117" i="10"/>
  <c r="C117" i="10"/>
  <c r="F117" i="10"/>
  <c r="D116" i="10"/>
  <c r="C116" i="10"/>
  <c r="F116" i="10"/>
  <c r="D115" i="10"/>
  <c r="C115" i="10"/>
  <c r="F115" i="10"/>
  <c r="D114" i="10"/>
  <c r="C114" i="10"/>
  <c r="F114" i="10"/>
  <c r="D113" i="10"/>
  <c r="D122" i="10"/>
  <c r="C113" i="10"/>
  <c r="F113" i="10"/>
  <c r="D112" i="10"/>
  <c r="D121" i="10"/>
  <c r="C112" i="10"/>
  <c r="F112" i="10"/>
  <c r="D108" i="10"/>
  <c r="C108" i="10"/>
  <c r="D107" i="10"/>
  <c r="C107" i="10"/>
  <c r="F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F96" i="10"/>
  <c r="D95" i="10"/>
  <c r="C95" i="10"/>
  <c r="F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/>
  <c r="D83" i="10"/>
  <c r="C83" i="10"/>
  <c r="F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E72" i="10"/>
  <c r="C72" i="10"/>
  <c r="F72" i="10"/>
  <c r="D71" i="10"/>
  <c r="C71" i="10"/>
  <c r="F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/>
  <c r="D59" i="10"/>
  <c r="C59" i="10"/>
  <c r="F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E48" i="10"/>
  <c r="C48" i="10"/>
  <c r="F48" i="10"/>
  <c r="D47" i="10"/>
  <c r="C47" i="10"/>
  <c r="F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6" i="10"/>
  <c r="D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E24" i="10"/>
  <c r="C24" i="10"/>
  <c r="F24" i="10"/>
  <c r="D23" i="10"/>
  <c r="C23" i="10"/>
  <c r="F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C206" i="9"/>
  <c r="D205" i="9"/>
  <c r="E205" i="9"/>
  <c r="F205" i="9"/>
  <c r="C205" i="9"/>
  <c r="D204" i="9"/>
  <c r="E204" i="9"/>
  <c r="C204" i="9"/>
  <c r="D203" i="9"/>
  <c r="E203" i="9"/>
  <c r="C203" i="9"/>
  <c r="D202" i="9"/>
  <c r="E202" i="9"/>
  <c r="C202" i="9"/>
  <c r="D201" i="9"/>
  <c r="C201" i="9"/>
  <c r="D200" i="9"/>
  <c r="C200" i="9"/>
  <c r="D199" i="9"/>
  <c r="C199" i="9"/>
  <c r="D198" i="9"/>
  <c r="D207" i="9"/>
  <c r="C198" i="9"/>
  <c r="D193" i="9"/>
  <c r="C193" i="9"/>
  <c r="F193" i="9"/>
  <c r="D192" i="9"/>
  <c r="C192" i="9"/>
  <c r="F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D180" i="9"/>
  <c r="C180" i="9"/>
  <c r="F180" i="9"/>
  <c r="D179" i="9"/>
  <c r="C179" i="9"/>
  <c r="F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C167" i="9"/>
  <c r="F167" i="9"/>
  <c r="D166" i="9"/>
  <c r="C166" i="9"/>
  <c r="F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F154" i="9"/>
  <c r="D153" i="9"/>
  <c r="C153" i="9"/>
  <c r="F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/>
  <c r="F141" i="9"/>
  <c r="C141" i="9"/>
  <c r="D140" i="9"/>
  <c r="C140" i="9"/>
  <c r="E139" i="9"/>
  <c r="F139" i="9"/>
  <c r="E138" i="9"/>
  <c r="F138" i="9"/>
  <c r="E137" i="9"/>
  <c r="F137" i="9"/>
  <c r="E136" i="9"/>
  <c r="F136" i="9"/>
  <c r="E135" i="9"/>
  <c r="F135" i="9"/>
  <c r="E134" i="9"/>
  <c r="F134" i="9"/>
  <c r="E133" i="9"/>
  <c r="F133" i="9"/>
  <c r="E132" i="9"/>
  <c r="F132" i="9"/>
  <c r="E131" i="9"/>
  <c r="F131" i="9"/>
  <c r="D128" i="9"/>
  <c r="C128" i="9"/>
  <c r="D127" i="9"/>
  <c r="C127" i="9"/>
  <c r="E126" i="9"/>
  <c r="F126" i="9"/>
  <c r="E125" i="9"/>
  <c r="F125" i="9"/>
  <c r="E124" i="9"/>
  <c r="F124" i="9"/>
  <c r="E123" i="9"/>
  <c r="F123" i="9"/>
  <c r="E122" i="9"/>
  <c r="F122" i="9"/>
  <c r="E121" i="9"/>
  <c r="F121" i="9"/>
  <c r="E120" i="9"/>
  <c r="F120" i="9"/>
  <c r="E119" i="9"/>
  <c r="F119" i="9"/>
  <c r="E118" i="9"/>
  <c r="F118" i="9"/>
  <c r="D115" i="9"/>
  <c r="C115" i="9"/>
  <c r="D114" i="9"/>
  <c r="C114" i="9"/>
  <c r="E113" i="9"/>
  <c r="F113" i="9"/>
  <c r="E112" i="9"/>
  <c r="F112" i="9"/>
  <c r="E111" i="9"/>
  <c r="F111" i="9"/>
  <c r="E110" i="9"/>
  <c r="F110" i="9"/>
  <c r="E109" i="9"/>
  <c r="F109" i="9"/>
  <c r="E108" i="9"/>
  <c r="F108" i="9"/>
  <c r="E107" i="9"/>
  <c r="F107" i="9"/>
  <c r="E106" i="9"/>
  <c r="F106" i="9"/>
  <c r="E105" i="9"/>
  <c r="F105" i="9"/>
  <c r="D102" i="9"/>
  <c r="C102" i="9"/>
  <c r="D101" i="9"/>
  <c r="C101" i="9"/>
  <c r="E100" i="9"/>
  <c r="F100" i="9"/>
  <c r="E99" i="9"/>
  <c r="F99" i="9"/>
  <c r="E98" i="9"/>
  <c r="F98" i="9"/>
  <c r="E97" i="9"/>
  <c r="F97" i="9"/>
  <c r="E96" i="9"/>
  <c r="F96" i="9"/>
  <c r="E95" i="9"/>
  <c r="F95" i="9"/>
  <c r="E94" i="9"/>
  <c r="F94" i="9"/>
  <c r="E93" i="9"/>
  <c r="F93" i="9"/>
  <c r="E92" i="9"/>
  <c r="F92" i="9"/>
  <c r="D89" i="9"/>
  <c r="C89" i="9"/>
  <c r="F89" i="9"/>
  <c r="D88" i="9"/>
  <c r="E88" i="9"/>
  <c r="C88" i="9"/>
  <c r="F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C75" i="9"/>
  <c r="E74" i="9"/>
  <c r="F74" i="9"/>
  <c r="E73" i="9"/>
  <c r="F73" i="9"/>
  <c r="E72" i="9"/>
  <c r="F72" i="9"/>
  <c r="E71" i="9"/>
  <c r="F71" i="9"/>
  <c r="E70" i="9"/>
  <c r="F70" i="9"/>
  <c r="E69" i="9"/>
  <c r="F69" i="9"/>
  <c r="E68" i="9"/>
  <c r="F68" i="9"/>
  <c r="E67" i="9"/>
  <c r="F67" i="9"/>
  <c r="E66" i="9"/>
  <c r="F66" i="9"/>
  <c r="D63" i="9"/>
  <c r="C63" i="9"/>
  <c r="F63" i="9"/>
  <c r="D62" i="9"/>
  <c r="C62" i="9"/>
  <c r="F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D49" i="9"/>
  <c r="C49" i="9"/>
  <c r="E49" i="9"/>
  <c r="E48" i="9"/>
  <c r="F48" i="9"/>
  <c r="E47" i="9"/>
  <c r="F47" i="9"/>
  <c r="E46" i="9"/>
  <c r="F46" i="9"/>
  <c r="F45" i="9"/>
  <c r="E45" i="9"/>
  <c r="E44" i="9"/>
  <c r="F44" i="9"/>
  <c r="E43" i="9"/>
  <c r="F43" i="9"/>
  <c r="E42" i="9"/>
  <c r="F42" i="9"/>
  <c r="F41" i="9"/>
  <c r="E41" i="9"/>
  <c r="E40" i="9"/>
  <c r="F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E22" i="9"/>
  <c r="F22" i="9"/>
  <c r="F21" i="9"/>
  <c r="E21" i="9"/>
  <c r="E20" i="9"/>
  <c r="F20" i="9"/>
  <c r="E19" i="9"/>
  <c r="F19" i="9"/>
  <c r="E18" i="9"/>
  <c r="F18" i="9"/>
  <c r="F17" i="9"/>
  <c r="E17" i="9"/>
  <c r="F16" i="9"/>
  <c r="E16" i="9"/>
  <c r="F15" i="9"/>
  <c r="E15" i="9"/>
  <c r="E14" i="9"/>
  <c r="F14" i="9"/>
  <c r="E191" i="8"/>
  <c r="D191" i="8"/>
  <c r="C191" i="8"/>
  <c r="E176" i="8"/>
  <c r="D176" i="8"/>
  <c r="C176" i="8"/>
  <c r="E164" i="8"/>
  <c r="D164" i="8"/>
  <c r="D160" i="8"/>
  <c r="C164" i="8"/>
  <c r="C160" i="8"/>
  <c r="C166" i="8"/>
  <c r="C153" i="8"/>
  <c r="E162" i="8"/>
  <c r="D162" i="8"/>
  <c r="C162" i="8"/>
  <c r="E161" i="8"/>
  <c r="D161" i="8"/>
  <c r="C161" i="8"/>
  <c r="E160" i="8"/>
  <c r="E166" i="8"/>
  <c r="E147" i="8"/>
  <c r="D147" i="8"/>
  <c r="D143" i="8"/>
  <c r="C147" i="8"/>
  <c r="E145" i="8"/>
  <c r="D145" i="8"/>
  <c r="D149" i="8"/>
  <c r="D139" i="8"/>
  <c r="C145" i="8"/>
  <c r="C149" i="8"/>
  <c r="E144" i="8"/>
  <c r="D144" i="8"/>
  <c r="C144" i="8"/>
  <c r="E143" i="8"/>
  <c r="C143" i="8"/>
  <c r="E126" i="8"/>
  <c r="D126" i="8"/>
  <c r="C126" i="8"/>
  <c r="E119" i="8"/>
  <c r="D119" i="8"/>
  <c r="C119" i="8"/>
  <c r="E108" i="8"/>
  <c r="D108" i="8"/>
  <c r="C108" i="8"/>
  <c r="C109" i="8"/>
  <c r="C106" i="8"/>
  <c r="E107" i="8"/>
  <c r="E109" i="8"/>
  <c r="E106" i="8"/>
  <c r="D107" i="8"/>
  <c r="C107" i="8"/>
  <c r="E102" i="8"/>
  <c r="E104" i="8"/>
  <c r="D102" i="8"/>
  <c r="D104" i="8"/>
  <c r="C102" i="8"/>
  <c r="C104" i="8"/>
  <c r="E100" i="8"/>
  <c r="D100" i="8"/>
  <c r="C100" i="8"/>
  <c r="E95" i="8"/>
  <c r="D95" i="8"/>
  <c r="D94" i="8"/>
  <c r="C95" i="8"/>
  <c r="E94" i="8"/>
  <c r="C94" i="8"/>
  <c r="E89" i="8"/>
  <c r="D89" i="8"/>
  <c r="C89" i="8"/>
  <c r="E87" i="8"/>
  <c r="D87" i="8"/>
  <c r="C87" i="8"/>
  <c r="E84" i="8"/>
  <c r="E79" i="8"/>
  <c r="D84" i="8"/>
  <c r="C84" i="8"/>
  <c r="E83" i="8"/>
  <c r="D83" i="8"/>
  <c r="C83" i="8"/>
  <c r="D79" i="8"/>
  <c r="C79" i="8"/>
  <c r="E75" i="8"/>
  <c r="E88" i="8"/>
  <c r="D75" i="8"/>
  <c r="D88" i="8"/>
  <c r="D90" i="8"/>
  <c r="D86" i="8"/>
  <c r="C75" i="8"/>
  <c r="C88" i="8"/>
  <c r="C90" i="8"/>
  <c r="E74" i="8"/>
  <c r="E71" i="8"/>
  <c r="D74" i="8"/>
  <c r="C74" i="8"/>
  <c r="E67" i="8"/>
  <c r="D67" i="8"/>
  <c r="C67" i="8"/>
  <c r="E38" i="8"/>
  <c r="E57" i="8"/>
  <c r="E62" i="8"/>
  <c r="D38" i="8"/>
  <c r="D53" i="8"/>
  <c r="C38" i="8"/>
  <c r="C57" i="8"/>
  <c r="C62" i="8"/>
  <c r="E33" i="8"/>
  <c r="E34" i="8"/>
  <c r="D33" i="8"/>
  <c r="D34" i="8"/>
  <c r="E26" i="8"/>
  <c r="D26" i="8"/>
  <c r="C26" i="8"/>
  <c r="C27" i="8"/>
  <c r="C22" i="8"/>
  <c r="E13" i="8"/>
  <c r="E25" i="8"/>
  <c r="D13" i="8"/>
  <c r="D25" i="8"/>
  <c r="D27" i="8"/>
  <c r="C13" i="8"/>
  <c r="C25" i="8"/>
  <c r="F186" i="7"/>
  <c r="E186" i="7"/>
  <c r="D183" i="7"/>
  <c r="C183" i="7"/>
  <c r="F182" i="7"/>
  <c r="E182" i="7"/>
  <c r="F181" i="7"/>
  <c r="E181" i="7"/>
  <c r="F180" i="7"/>
  <c r="E180" i="7"/>
  <c r="E179" i="7"/>
  <c r="F179" i="7"/>
  <c r="F178" i="7"/>
  <c r="E178" i="7"/>
  <c r="F177" i="7"/>
  <c r="E177" i="7"/>
  <c r="F176" i="7"/>
  <c r="E176" i="7"/>
  <c r="E175" i="7"/>
  <c r="F175" i="7"/>
  <c r="F174" i="7"/>
  <c r="E174" i="7"/>
  <c r="F173" i="7"/>
  <c r="E173" i="7"/>
  <c r="F172" i="7"/>
  <c r="E172" i="7"/>
  <c r="E171" i="7"/>
  <c r="F171" i="7"/>
  <c r="F170" i="7"/>
  <c r="E170" i="7"/>
  <c r="D167" i="7"/>
  <c r="E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E155" i="7"/>
  <c r="F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E148" i="7"/>
  <c r="F148" i="7"/>
  <c r="F147" i="7"/>
  <c r="E147" i="7"/>
  <c r="F146" i="7"/>
  <c r="E146" i="7"/>
  <c r="E145" i="7"/>
  <c r="F145" i="7"/>
  <c r="E144" i="7"/>
  <c r="F144" i="7"/>
  <c r="F143" i="7"/>
  <c r="E143" i="7"/>
  <c r="F142" i="7"/>
  <c r="E142" i="7"/>
  <c r="F141" i="7"/>
  <c r="E141" i="7"/>
  <c r="E140" i="7"/>
  <c r="F140" i="7"/>
  <c r="F139" i="7"/>
  <c r="E139" i="7"/>
  <c r="F138" i="7"/>
  <c r="E138" i="7"/>
  <c r="E137" i="7"/>
  <c r="F137" i="7"/>
  <c r="E136" i="7"/>
  <c r="F136" i="7"/>
  <c r="E135" i="7"/>
  <c r="F135" i="7"/>
  <c r="F134" i="7"/>
  <c r="E134" i="7"/>
  <c r="F133" i="7"/>
  <c r="E133" i="7"/>
  <c r="D130" i="7"/>
  <c r="E130" i="7"/>
  <c r="C130" i="7"/>
  <c r="F130" i="7"/>
  <c r="F129" i="7"/>
  <c r="E129" i="7"/>
  <c r="F128" i="7"/>
  <c r="E128" i="7"/>
  <c r="F127" i="7"/>
  <c r="E127" i="7"/>
  <c r="E126" i="7"/>
  <c r="F126" i="7"/>
  <c r="F125" i="7"/>
  <c r="E125" i="7"/>
  <c r="E124" i="7"/>
  <c r="F124" i="7"/>
  <c r="D121" i="7"/>
  <c r="E121" i="7"/>
  <c r="C121" i="7"/>
  <c r="F120" i="7"/>
  <c r="E120" i="7"/>
  <c r="E119" i="7"/>
  <c r="F119" i="7"/>
  <c r="E118" i="7"/>
  <c r="F118" i="7"/>
  <c r="E117" i="7"/>
  <c r="F117" i="7"/>
  <c r="F116" i="7"/>
  <c r="E116" i="7"/>
  <c r="F115" i="7"/>
  <c r="E115" i="7"/>
  <c r="E114" i="7"/>
  <c r="F114" i="7"/>
  <c r="E113" i="7"/>
  <c r="F113" i="7"/>
  <c r="F112" i="7"/>
  <c r="E112" i="7"/>
  <c r="E111" i="7"/>
  <c r="F111" i="7"/>
  <c r="E110" i="7"/>
  <c r="F110" i="7"/>
  <c r="E109" i="7"/>
  <c r="F109" i="7"/>
  <c r="F108" i="7"/>
  <c r="E108" i="7"/>
  <c r="F107" i="7"/>
  <c r="E107" i="7"/>
  <c r="F106" i="7"/>
  <c r="E106" i="7"/>
  <c r="E105" i="7"/>
  <c r="F105" i="7"/>
  <c r="F104" i="7"/>
  <c r="E104" i="7"/>
  <c r="F103" i="7"/>
  <c r="E103" i="7"/>
  <c r="E93" i="7"/>
  <c r="F93" i="7"/>
  <c r="D90" i="7"/>
  <c r="C90" i="7"/>
  <c r="C95" i="7"/>
  <c r="E89" i="7"/>
  <c r="F89" i="7"/>
  <c r="F88" i="7"/>
  <c r="E88" i="7"/>
  <c r="E87" i="7"/>
  <c r="F87" i="7"/>
  <c r="E86" i="7"/>
  <c r="F86" i="7"/>
  <c r="F85" i="7"/>
  <c r="E85" i="7"/>
  <c r="F84" i="7"/>
  <c r="E84" i="7"/>
  <c r="E83" i="7"/>
  <c r="F83" i="7"/>
  <c r="E82" i="7"/>
  <c r="F82" i="7"/>
  <c r="E81" i="7"/>
  <c r="F81" i="7"/>
  <c r="F80" i="7"/>
  <c r="E80" i="7"/>
  <c r="F79" i="7"/>
  <c r="E79" i="7"/>
  <c r="E78" i="7"/>
  <c r="F78" i="7"/>
  <c r="F77" i="7"/>
  <c r="E77" i="7"/>
  <c r="F76" i="7"/>
  <c r="E76" i="7"/>
  <c r="E75" i="7"/>
  <c r="F75" i="7"/>
  <c r="E74" i="7"/>
  <c r="F74" i="7"/>
  <c r="F73" i="7"/>
  <c r="E73" i="7"/>
  <c r="F72" i="7"/>
  <c r="E72" i="7"/>
  <c r="E71" i="7"/>
  <c r="F71" i="7"/>
  <c r="E70" i="7"/>
  <c r="F70" i="7"/>
  <c r="E69" i="7"/>
  <c r="F69" i="7"/>
  <c r="F68" i="7"/>
  <c r="E68" i="7"/>
  <c r="E67" i="7"/>
  <c r="F67" i="7"/>
  <c r="E66" i="7"/>
  <c r="F66" i="7"/>
  <c r="F65" i="7"/>
  <c r="E65" i="7"/>
  <c r="F64" i="7"/>
  <c r="E64" i="7"/>
  <c r="E63" i="7"/>
  <c r="F63" i="7"/>
  <c r="E62" i="7"/>
  <c r="F62" i="7"/>
  <c r="D59" i="7"/>
  <c r="C59" i="7"/>
  <c r="E58" i="7"/>
  <c r="F58" i="7"/>
  <c r="E57" i="7"/>
  <c r="F57" i="7"/>
  <c r="F56" i="7"/>
  <c r="E56" i="7"/>
  <c r="F55" i="7"/>
  <c r="E55" i="7"/>
  <c r="E54" i="7"/>
  <c r="F54" i="7"/>
  <c r="E53" i="7"/>
  <c r="F53" i="7"/>
  <c r="F50" i="7"/>
  <c r="E50" i="7"/>
  <c r="F47" i="7"/>
  <c r="E47" i="7"/>
  <c r="F44" i="7"/>
  <c r="E44" i="7"/>
  <c r="D41" i="7"/>
  <c r="E41" i="7"/>
  <c r="F41" i="7"/>
  <c r="C41" i="7"/>
  <c r="F40" i="7"/>
  <c r="E40" i="7"/>
  <c r="E39" i="7"/>
  <c r="F39" i="7"/>
  <c r="E38" i="7"/>
  <c r="F38" i="7"/>
  <c r="D35" i="7"/>
  <c r="E35" i="7"/>
  <c r="F35" i="7"/>
  <c r="C35" i="7"/>
  <c r="E34" i="7"/>
  <c r="F34" i="7"/>
  <c r="E33" i="7"/>
  <c r="F33" i="7"/>
  <c r="D30" i="7"/>
  <c r="E30" i="7"/>
  <c r="F30" i="7"/>
  <c r="C30" i="7"/>
  <c r="F29" i="7"/>
  <c r="E29" i="7"/>
  <c r="E28" i="7"/>
  <c r="F28" i="7"/>
  <c r="F27" i="7"/>
  <c r="E27" i="7"/>
  <c r="D24" i="7"/>
  <c r="C24" i="7"/>
  <c r="E23" i="7"/>
  <c r="F23" i="7"/>
  <c r="F22" i="7"/>
  <c r="E22" i="7"/>
  <c r="F21" i="7"/>
  <c r="E21" i="7"/>
  <c r="D18" i="7"/>
  <c r="C18" i="7"/>
  <c r="E17" i="7"/>
  <c r="F17" i="7"/>
  <c r="F16" i="7"/>
  <c r="E16" i="7"/>
  <c r="E15" i="7"/>
  <c r="F15" i="7"/>
  <c r="D179" i="6"/>
  <c r="C179" i="6"/>
  <c r="F178" i="6"/>
  <c r="E178" i="6"/>
  <c r="F177" i="6"/>
  <c r="E177" i="6"/>
  <c r="E176" i="6"/>
  <c r="F176" i="6"/>
  <c r="E175" i="6"/>
  <c r="F175" i="6"/>
  <c r="F174" i="6"/>
  <c r="E174" i="6"/>
  <c r="E173" i="6"/>
  <c r="F173" i="6"/>
  <c r="E172" i="6"/>
  <c r="F172" i="6"/>
  <c r="F171" i="6"/>
  <c r="E171" i="6"/>
  <c r="F170" i="6"/>
  <c r="E170" i="6"/>
  <c r="E169" i="6"/>
  <c r="F169" i="6"/>
  <c r="E168" i="6"/>
  <c r="F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E161" i="6"/>
  <c r="F161" i="6"/>
  <c r="E160" i="6"/>
  <c r="F160" i="6"/>
  <c r="F159" i="6"/>
  <c r="E159" i="6"/>
  <c r="F158" i="6"/>
  <c r="E158" i="6"/>
  <c r="E157" i="6"/>
  <c r="F157" i="6"/>
  <c r="E156" i="6"/>
  <c r="F156" i="6"/>
  <c r="E155" i="6"/>
  <c r="F155" i="6"/>
  <c r="D153" i="6"/>
  <c r="C153" i="6"/>
  <c r="F152" i="6"/>
  <c r="E152" i="6"/>
  <c r="F151" i="6"/>
  <c r="E151" i="6"/>
  <c r="F150" i="6"/>
  <c r="E150" i="6"/>
  <c r="E149" i="6"/>
  <c r="F149" i="6"/>
  <c r="E148" i="6"/>
  <c r="F148" i="6"/>
  <c r="E147" i="6"/>
  <c r="F147" i="6"/>
  <c r="F146" i="6"/>
  <c r="E146" i="6"/>
  <c r="F145" i="6"/>
  <c r="E145" i="6"/>
  <c r="E144" i="6"/>
  <c r="F144" i="6"/>
  <c r="F143" i="6"/>
  <c r="E143" i="6"/>
  <c r="F142" i="6"/>
  <c r="E142" i="6"/>
  <c r="D137" i="6"/>
  <c r="C137" i="6"/>
  <c r="F136" i="6"/>
  <c r="E136" i="6"/>
  <c r="F135" i="6"/>
  <c r="E135" i="6"/>
  <c r="E134" i="6"/>
  <c r="F134" i="6"/>
  <c r="E133" i="6"/>
  <c r="F133" i="6"/>
  <c r="E132" i="6"/>
  <c r="F132" i="6"/>
  <c r="F131" i="6"/>
  <c r="E131" i="6"/>
  <c r="E130" i="6"/>
  <c r="F130" i="6"/>
  <c r="F129" i="6"/>
  <c r="E129" i="6"/>
  <c r="F128" i="6"/>
  <c r="E128" i="6"/>
  <c r="F127" i="6"/>
  <c r="E127" i="6"/>
  <c r="E126" i="6"/>
  <c r="F126" i="6"/>
  <c r="D124" i="6"/>
  <c r="E124" i="6"/>
  <c r="C124" i="6"/>
  <c r="F123" i="6"/>
  <c r="E123" i="6"/>
  <c r="F122" i="6"/>
  <c r="E122" i="6"/>
  <c r="E121" i="6"/>
  <c r="F121" i="6"/>
  <c r="F120" i="6"/>
  <c r="E120" i="6"/>
  <c r="F119" i="6"/>
  <c r="E119" i="6"/>
  <c r="E118" i="6"/>
  <c r="F118" i="6"/>
  <c r="E117" i="6"/>
  <c r="F117" i="6"/>
  <c r="F116" i="6"/>
  <c r="E116" i="6"/>
  <c r="F115" i="6"/>
  <c r="E115" i="6"/>
  <c r="E114" i="6"/>
  <c r="F114" i="6"/>
  <c r="E113" i="6"/>
  <c r="F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E106" i="6"/>
  <c r="F106" i="6"/>
  <c r="E105" i="6"/>
  <c r="F105" i="6"/>
  <c r="F104" i="6"/>
  <c r="E104" i="6"/>
  <c r="F103" i="6"/>
  <c r="E103" i="6"/>
  <c r="E102" i="6"/>
  <c r="F102" i="6"/>
  <c r="E101" i="6"/>
  <c r="F101" i="6"/>
  <c r="F100" i="6"/>
  <c r="E100" i="6"/>
  <c r="D94" i="6"/>
  <c r="C94" i="6"/>
  <c r="D93" i="6"/>
  <c r="E93" i="6"/>
  <c r="C93" i="6"/>
  <c r="F93" i="6"/>
  <c r="D92" i="6"/>
  <c r="E92" i="6"/>
  <c r="C92" i="6"/>
  <c r="D91" i="6"/>
  <c r="C91" i="6"/>
  <c r="E91" i="6"/>
  <c r="F91" i="6"/>
  <c r="D90" i="6"/>
  <c r="E90" i="6"/>
  <c r="C90" i="6"/>
  <c r="D89" i="6"/>
  <c r="C89" i="6"/>
  <c r="E89" i="6"/>
  <c r="F89" i="6"/>
  <c r="D88" i="6"/>
  <c r="C88" i="6"/>
  <c r="D87" i="6"/>
  <c r="E87" i="6"/>
  <c r="C87" i="6"/>
  <c r="F87" i="6"/>
  <c r="D86" i="6"/>
  <c r="C86" i="6"/>
  <c r="D85" i="6"/>
  <c r="C85" i="6"/>
  <c r="E85" i="6"/>
  <c r="D84" i="6"/>
  <c r="E84" i="6"/>
  <c r="C84" i="6"/>
  <c r="D81" i="6"/>
  <c r="C81" i="6"/>
  <c r="F80" i="6"/>
  <c r="E80" i="6"/>
  <c r="F79" i="6"/>
  <c r="E79" i="6"/>
  <c r="E78" i="6"/>
  <c r="F78" i="6"/>
  <c r="E77" i="6"/>
  <c r="F77" i="6"/>
  <c r="E76" i="6"/>
  <c r="F76" i="6"/>
  <c r="F75" i="6"/>
  <c r="E75" i="6"/>
  <c r="F74" i="6"/>
  <c r="E74" i="6"/>
  <c r="F73" i="6"/>
  <c r="E73" i="6"/>
  <c r="E72" i="6"/>
  <c r="F72" i="6"/>
  <c r="F71" i="6"/>
  <c r="E71" i="6"/>
  <c r="E70" i="6"/>
  <c r="F70" i="6"/>
  <c r="D68" i="6"/>
  <c r="E68" i="6"/>
  <c r="C68" i="6"/>
  <c r="F67" i="6"/>
  <c r="E67" i="6"/>
  <c r="F66" i="6"/>
  <c r="E66" i="6"/>
  <c r="F65" i="6"/>
  <c r="E65" i="6"/>
  <c r="E64" i="6"/>
  <c r="F64" i="6"/>
  <c r="F63" i="6"/>
  <c r="E63" i="6"/>
  <c r="E62" i="6"/>
  <c r="F62" i="6"/>
  <c r="E61" i="6"/>
  <c r="F61" i="6"/>
  <c r="F60" i="6"/>
  <c r="E60" i="6"/>
  <c r="F59" i="6"/>
  <c r="E59" i="6"/>
  <c r="E58" i="6"/>
  <c r="F58" i="6"/>
  <c r="E57" i="6"/>
  <c r="F57" i="6"/>
  <c r="D51" i="6"/>
  <c r="E51" i="6"/>
  <c r="C51" i="6"/>
  <c r="F51" i="6"/>
  <c r="D50" i="6"/>
  <c r="E50" i="6"/>
  <c r="C50" i="6"/>
  <c r="F50" i="6"/>
  <c r="D49" i="6"/>
  <c r="C49" i="6"/>
  <c r="E49" i="6"/>
  <c r="F49" i="6"/>
  <c r="D48" i="6"/>
  <c r="E48" i="6"/>
  <c r="F48" i="6"/>
  <c r="C48" i="6"/>
  <c r="D47" i="6"/>
  <c r="E47" i="6"/>
  <c r="F47" i="6"/>
  <c r="C47" i="6"/>
  <c r="D46" i="6"/>
  <c r="C46" i="6"/>
  <c r="D45" i="6"/>
  <c r="E45" i="6"/>
  <c r="F45" i="6"/>
  <c r="C45" i="6"/>
  <c r="D44" i="6"/>
  <c r="C44" i="6"/>
  <c r="F44" i="6"/>
  <c r="D43" i="6"/>
  <c r="E43" i="6"/>
  <c r="F43" i="6"/>
  <c r="C43" i="6"/>
  <c r="D42" i="6"/>
  <c r="E42" i="6"/>
  <c r="F42" i="6"/>
  <c r="C42" i="6"/>
  <c r="D41" i="6"/>
  <c r="E41" i="6"/>
  <c r="F41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E33" i="6"/>
  <c r="F33" i="6"/>
  <c r="E32" i="6"/>
  <c r="F32" i="6"/>
  <c r="F31" i="6"/>
  <c r="E31" i="6"/>
  <c r="F30" i="6"/>
  <c r="E30" i="6"/>
  <c r="E29" i="6"/>
  <c r="F29" i="6"/>
  <c r="E28" i="6"/>
  <c r="F28" i="6"/>
  <c r="F27" i="6"/>
  <c r="E27" i="6"/>
  <c r="D25" i="6"/>
  <c r="E25" i="6"/>
  <c r="C25" i="6"/>
  <c r="F24" i="6"/>
  <c r="E24" i="6"/>
  <c r="F23" i="6"/>
  <c r="E23" i="6"/>
  <c r="F22" i="6"/>
  <c r="E22" i="6"/>
  <c r="E21" i="6"/>
  <c r="F21" i="6"/>
  <c r="E20" i="6"/>
  <c r="F20" i="6"/>
  <c r="E19" i="6"/>
  <c r="F19" i="6"/>
  <c r="E18" i="6"/>
  <c r="F18" i="6"/>
  <c r="F17" i="6"/>
  <c r="E17" i="6"/>
  <c r="E16" i="6"/>
  <c r="F16" i="6"/>
  <c r="E15" i="6"/>
  <c r="F15" i="6"/>
  <c r="E14" i="6"/>
  <c r="F14" i="6"/>
  <c r="E51" i="5"/>
  <c r="F51" i="5"/>
  <c r="F48" i="5"/>
  <c r="D48" i="5"/>
  <c r="E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D18" i="5"/>
  <c r="E18" i="5"/>
  <c r="C16" i="5"/>
  <c r="C18" i="5"/>
  <c r="F15" i="5"/>
  <c r="E15" i="5"/>
  <c r="F14" i="5"/>
  <c r="E14" i="5"/>
  <c r="F13" i="5"/>
  <c r="E13" i="5"/>
  <c r="F12" i="5"/>
  <c r="E12" i="5"/>
  <c r="D73" i="4"/>
  <c r="C73" i="4"/>
  <c r="E72" i="4"/>
  <c r="F72" i="4"/>
  <c r="E71" i="4"/>
  <c r="F71" i="4"/>
  <c r="F70" i="4"/>
  <c r="E70" i="4"/>
  <c r="F67" i="4"/>
  <c r="E67" i="4"/>
  <c r="E64" i="4"/>
  <c r="F64" i="4"/>
  <c r="E63" i="4"/>
  <c r="F63" i="4"/>
  <c r="D61" i="4"/>
  <c r="E61" i="4"/>
  <c r="F61" i="4"/>
  <c r="D65" i="4"/>
  <c r="E65" i="4"/>
  <c r="F65" i="4"/>
  <c r="C61" i="4"/>
  <c r="C65" i="4"/>
  <c r="F60" i="4"/>
  <c r="E60" i="4"/>
  <c r="F59" i="4"/>
  <c r="E59" i="4"/>
  <c r="D56" i="4"/>
  <c r="C56" i="4"/>
  <c r="F55" i="4"/>
  <c r="E55" i="4"/>
  <c r="E54" i="4"/>
  <c r="F54" i="4"/>
  <c r="E53" i="4"/>
  <c r="F53" i="4"/>
  <c r="E52" i="4"/>
  <c r="F52" i="4"/>
  <c r="F51" i="4"/>
  <c r="E51" i="4"/>
  <c r="E50" i="4"/>
  <c r="F50" i="4"/>
  <c r="A50" i="4"/>
  <c r="A51" i="4"/>
  <c r="A52" i="4"/>
  <c r="A53" i="4"/>
  <c r="A54" i="4"/>
  <c r="A55" i="4"/>
  <c r="F49" i="4"/>
  <c r="E49" i="4"/>
  <c r="E40" i="4"/>
  <c r="F40" i="4"/>
  <c r="D38" i="4"/>
  <c r="D41" i="4"/>
  <c r="C38" i="4"/>
  <c r="C41" i="4"/>
  <c r="E37" i="4"/>
  <c r="F37" i="4"/>
  <c r="E36" i="4"/>
  <c r="F36" i="4"/>
  <c r="E33" i="4"/>
  <c r="F33" i="4"/>
  <c r="F32" i="4"/>
  <c r="E32" i="4"/>
  <c r="F31" i="4"/>
  <c r="E31" i="4"/>
  <c r="D29" i="4"/>
  <c r="E29" i="4"/>
  <c r="C29" i="4"/>
  <c r="E28" i="4"/>
  <c r="F28" i="4"/>
  <c r="F27" i="4"/>
  <c r="E27" i="4"/>
  <c r="F26" i="4"/>
  <c r="E26" i="4"/>
  <c r="E25" i="4"/>
  <c r="F25" i="4"/>
  <c r="D22" i="4"/>
  <c r="D43" i="4"/>
  <c r="C22" i="4"/>
  <c r="F21" i="4"/>
  <c r="E21" i="4"/>
  <c r="E20" i="4"/>
  <c r="F20" i="4"/>
  <c r="F19" i="4"/>
  <c r="E19" i="4"/>
  <c r="E18" i="4"/>
  <c r="F18" i="4"/>
  <c r="E17" i="4"/>
  <c r="F17" i="4"/>
  <c r="E16" i="4"/>
  <c r="F16" i="4"/>
  <c r="F15" i="4"/>
  <c r="E15" i="4"/>
  <c r="F14" i="4"/>
  <c r="E14" i="4"/>
  <c r="E13" i="4"/>
  <c r="F13" i="4"/>
  <c r="C108" i="22"/>
  <c r="E108" i="22"/>
  <c r="C103" i="22"/>
  <c r="D108" i="22"/>
  <c r="D22" i="22"/>
  <c r="E23" i="22"/>
  <c r="E34" i="22"/>
  <c r="C102" i="22"/>
  <c r="E102" i="22"/>
  <c r="E103" i="22"/>
  <c r="E22" i="22"/>
  <c r="E39" i="20"/>
  <c r="E41" i="20"/>
  <c r="E19" i="20"/>
  <c r="F19" i="20"/>
  <c r="C22" i="19"/>
  <c r="E229" i="17"/>
  <c r="F229" i="17"/>
  <c r="E43" i="18"/>
  <c r="C101" i="18"/>
  <c r="C97" i="18"/>
  <c r="C95" i="18"/>
  <c r="C88" i="18"/>
  <c r="C86" i="18"/>
  <c r="C84" i="18"/>
  <c r="C98" i="18"/>
  <c r="C89" i="18"/>
  <c r="C87" i="18"/>
  <c r="C85" i="18"/>
  <c r="C83" i="18"/>
  <c r="E17" i="17"/>
  <c r="F17" i="17"/>
  <c r="E53" i="17"/>
  <c r="E67" i="17"/>
  <c r="F67" i="17"/>
  <c r="D283" i="18"/>
  <c r="C22" i="18"/>
  <c r="C284" i="18"/>
  <c r="E22" i="18"/>
  <c r="E54" i="18"/>
  <c r="D289" i="18"/>
  <c r="D71" i="18"/>
  <c r="D65" i="18"/>
  <c r="D294" i="18"/>
  <c r="E60" i="18"/>
  <c r="E21" i="18"/>
  <c r="E37" i="18"/>
  <c r="E139" i="18"/>
  <c r="D144" i="18"/>
  <c r="C145" i="18"/>
  <c r="C156" i="18"/>
  <c r="C157" i="18"/>
  <c r="C163" i="18"/>
  <c r="E163" i="18"/>
  <c r="D175" i="18"/>
  <c r="E243" i="18"/>
  <c r="D252" i="18"/>
  <c r="E252" i="18"/>
  <c r="C261" i="18"/>
  <c r="C189" i="18"/>
  <c r="E188" i="18"/>
  <c r="D260" i="18"/>
  <c r="E260" i="18"/>
  <c r="E195" i="18"/>
  <c r="D320" i="18"/>
  <c r="E320" i="18"/>
  <c r="E215" i="18"/>
  <c r="E219" i="18"/>
  <c r="D222" i="18"/>
  <c r="C252" i="18"/>
  <c r="E314" i="18"/>
  <c r="E216" i="18"/>
  <c r="D223" i="18"/>
  <c r="C32" i="17"/>
  <c r="C160" i="17"/>
  <c r="E60" i="17"/>
  <c r="F60" i="17"/>
  <c r="D61" i="17"/>
  <c r="D138" i="17"/>
  <c r="E137" i="17"/>
  <c r="F137" i="17"/>
  <c r="E31" i="17"/>
  <c r="F31" i="17"/>
  <c r="D32" i="17"/>
  <c r="D140" i="17"/>
  <c r="D160" i="17"/>
  <c r="E160" i="17"/>
  <c r="D125" i="17"/>
  <c r="D90" i="17"/>
  <c r="E48" i="17"/>
  <c r="F48" i="17"/>
  <c r="C61" i="17"/>
  <c r="C138" i="17"/>
  <c r="D21" i="17"/>
  <c r="F29" i="17"/>
  <c r="F44" i="17"/>
  <c r="F53" i="17"/>
  <c r="F58" i="17"/>
  <c r="E109" i="17"/>
  <c r="F109" i="17"/>
  <c r="C193" i="17"/>
  <c r="C194" i="17"/>
  <c r="C192" i="17"/>
  <c r="E123" i="17"/>
  <c r="F123" i="17"/>
  <c r="C124" i="17"/>
  <c r="E136" i="17"/>
  <c r="F136" i="17"/>
  <c r="E144" i="17"/>
  <c r="F144" i="17"/>
  <c r="E158" i="17"/>
  <c r="E179" i="17"/>
  <c r="C277" i="17"/>
  <c r="C261" i="17"/>
  <c r="C254" i="17"/>
  <c r="C214" i="17"/>
  <c r="C206" i="17"/>
  <c r="C278" i="17"/>
  <c r="C262" i="17"/>
  <c r="C255" i="17"/>
  <c r="C215" i="17"/>
  <c r="C190" i="17"/>
  <c r="C280" i="17"/>
  <c r="C264" i="17"/>
  <c r="C200" i="17"/>
  <c r="E191" i="17"/>
  <c r="F191" i="17"/>
  <c r="D192" i="17"/>
  <c r="E192" i="17"/>
  <c r="F192" i="17"/>
  <c r="F239" i="17"/>
  <c r="E20" i="17"/>
  <c r="F20" i="17"/>
  <c r="C21" i="17"/>
  <c r="E30" i="17"/>
  <c r="F30" i="17"/>
  <c r="C304" i="17"/>
  <c r="E35" i="17"/>
  <c r="F35" i="17"/>
  <c r="C37" i="17"/>
  <c r="E47" i="17"/>
  <c r="F47" i="17"/>
  <c r="E59" i="17"/>
  <c r="F59" i="17"/>
  <c r="E66" i="17"/>
  <c r="F66" i="17"/>
  <c r="E76" i="17"/>
  <c r="F76" i="17"/>
  <c r="D277" i="17"/>
  <c r="D261" i="17"/>
  <c r="D263" i="17"/>
  <c r="D214" i="17"/>
  <c r="D254" i="17"/>
  <c r="E254" i="17"/>
  <c r="F254" i="17"/>
  <c r="D206" i="17"/>
  <c r="D278" i="17"/>
  <c r="D288" i="17"/>
  <c r="D262" i="17"/>
  <c r="D215" i="17"/>
  <c r="D190" i="17"/>
  <c r="E190" i="17"/>
  <c r="F190" i="17"/>
  <c r="D280" i="17"/>
  <c r="D264" i="17"/>
  <c r="D200" i="17"/>
  <c r="E200" i="17"/>
  <c r="D290" i="17"/>
  <c r="D274" i="17"/>
  <c r="E274" i="17"/>
  <c r="D199" i="17"/>
  <c r="E283" i="17"/>
  <c r="F283" i="17"/>
  <c r="D285" i="17"/>
  <c r="D269" i="17"/>
  <c r="D205" i="17"/>
  <c r="D227" i="17"/>
  <c r="F238" i="17"/>
  <c r="E306" i="17"/>
  <c r="D267" i="17"/>
  <c r="C290" i="17"/>
  <c r="C274" i="17"/>
  <c r="C300" i="17"/>
  <c r="E198" i="17"/>
  <c r="F198" i="17"/>
  <c r="C199" i="17"/>
  <c r="E203" i="17"/>
  <c r="F203" i="17"/>
  <c r="C285" i="17"/>
  <c r="C286" i="17"/>
  <c r="F286" i="17"/>
  <c r="C269" i="17"/>
  <c r="E204" i="17"/>
  <c r="F204" i="17"/>
  <c r="C205" i="17"/>
  <c r="E237" i="17"/>
  <c r="F237" i="17"/>
  <c r="E250" i="17"/>
  <c r="F250" i="17"/>
  <c r="C267" i="17"/>
  <c r="C270" i="17"/>
  <c r="F294" i="17"/>
  <c r="F296" i="17"/>
  <c r="F298" i="17"/>
  <c r="F299" i="17"/>
  <c r="F36" i="14"/>
  <c r="F38" i="14"/>
  <c r="F40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H17" i="14"/>
  <c r="C69" i="13"/>
  <c r="D21" i="13"/>
  <c r="C21" i="13"/>
  <c r="D15" i="13"/>
  <c r="C17" i="13"/>
  <c r="C28" i="13"/>
  <c r="C70" i="13"/>
  <c r="C72" i="13"/>
  <c r="E17" i="13"/>
  <c r="E28" i="13"/>
  <c r="E70" i="13"/>
  <c r="E72" i="13"/>
  <c r="E69" i="13"/>
  <c r="C20" i="12"/>
  <c r="F65" i="11"/>
  <c r="E22" i="11"/>
  <c r="F22" i="11"/>
  <c r="E38" i="11"/>
  <c r="F38" i="11"/>
  <c r="E56" i="11"/>
  <c r="F56" i="11"/>
  <c r="E61" i="11"/>
  <c r="F61" i="11"/>
  <c r="E23" i="10"/>
  <c r="E36" i="10"/>
  <c r="E47" i="10"/>
  <c r="E59" i="10"/>
  <c r="E60" i="10"/>
  <c r="E71" i="10"/>
  <c r="E83" i="10"/>
  <c r="E84" i="10"/>
  <c r="E95" i="10"/>
  <c r="E96" i="10"/>
  <c r="E107" i="10"/>
  <c r="E112" i="10"/>
  <c r="E113" i="10"/>
  <c r="E114" i="10"/>
  <c r="E115" i="10"/>
  <c r="E116" i="10"/>
  <c r="E117" i="10"/>
  <c r="C121" i="10"/>
  <c r="F121" i="10"/>
  <c r="C122" i="10"/>
  <c r="E50" i="9"/>
  <c r="F50" i="9"/>
  <c r="E63" i="9"/>
  <c r="E75" i="9"/>
  <c r="F75" i="9"/>
  <c r="F198" i="9"/>
  <c r="F202" i="9"/>
  <c r="F203" i="9"/>
  <c r="F204" i="9"/>
  <c r="F206" i="9"/>
  <c r="F49" i="9"/>
  <c r="E62" i="9"/>
  <c r="E76" i="9"/>
  <c r="E89" i="9"/>
  <c r="E101" i="9"/>
  <c r="F101" i="9"/>
  <c r="E102" i="9"/>
  <c r="F102" i="9"/>
  <c r="E114" i="9"/>
  <c r="F114" i="9"/>
  <c r="E115" i="9"/>
  <c r="F115" i="9"/>
  <c r="E127" i="9"/>
  <c r="F127" i="9"/>
  <c r="E128" i="9"/>
  <c r="E140" i="9"/>
  <c r="F140" i="9"/>
  <c r="E153" i="9"/>
  <c r="E166" i="9"/>
  <c r="E167" i="9"/>
  <c r="E179" i="9"/>
  <c r="E180" i="9"/>
  <c r="E192" i="9"/>
  <c r="E193" i="9"/>
  <c r="E198" i="9"/>
  <c r="E199" i="9"/>
  <c r="F199" i="9"/>
  <c r="E200" i="9"/>
  <c r="F200" i="9"/>
  <c r="C207" i="9"/>
  <c r="C208" i="9"/>
  <c r="D21" i="8"/>
  <c r="E153" i="8"/>
  <c r="E154" i="8"/>
  <c r="D137" i="8"/>
  <c r="D140" i="8"/>
  <c r="D15" i="8"/>
  <c r="C43" i="8"/>
  <c r="E43" i="8"/>
  <c r="D49" i="8"/>
  <c r="C53" i="8"/>
  <c r="E53" i="8"/>
  <c r="D57" i="8"/>
  <c r="D62" i="8"/>
  <c r="D77" i="8"/>
  <c r="D71" i="8"/>
  <c r="C15" i="8"/>
  <c r="E15" i="8"/>
  <c r="D43" i="8"/>
  <c r="C49" i="8"/>
  <c r="E49" i="8"/>
  <c r="C77" i="8"/>
  <c r="C71" i="8"/>
  <c r="E77" i="8"/>
  <c r="F167" i="7"/>
  <c r="F183" i="7"/>
  <c r="E90" i="7"/>
  <c r="F90" i="7"/>
  <c r="E183" i="7"/>
  <c r="C188" i="7"/>
  <c r="D95" i="6"/>
  <c r="E16" i="5"/>
  <c r="E38" i="4"/>
  <c r="E54" i="22"/>
  <c r="E46" i="22"/>
  <c r="E40" i="22"/>
  <c r="E36" i="22"/>
  <c r="E30" i="22"/>
  <c r="D53" i="22"/>
  <c r="D39" i="22"/>
  <c r="D35" i="22"/>
  <c r="D29" i="22"/>
  <c r="C169" i="18"/>
  <c r="D76" i="18"/>
  <c r="E144" i="18"/>
  <c r="C168" i="18"/>
  <c r="F274" i="17"/>
  <c r="E285" i="17"/>
  <c r="F285" i="17"/>
  <c r="D286" i="17"/>
  <c r="E286" i="17"/>
  <c r="E199" i="17"/>
  <c r="F199" i="17"/>
  <c r="E215" i="17"/>
  <c r="F215" i="17"/>
  <c r="D255" i="17"/>
  <c r="E255" i="17"/>
  <c r="F255" i="17"/>
  <c r="E278" i="17"/>
  <c r="F278" i="17"/>
  <c r="E277" i="17"/>
  <c r="F277" i="17"/>
  <c r="D287" i="17"/>
  <c r="D291" i="17"/>
  <c r="D284" i="17"/>
  <c r="F200" i="17"/>
  <c r="C272" i="17"/>
  <c r="C279" i="17"/>
  <c r="D161" i="17"/>
  <c r="D162" i="17"/>
  <c r="D126" i="17"/>
  <c r="D91" i="17"/>
  <c r="D92" i="17"/>
  <c r="E21" i="17"/>
  <c r="D49" i="17"/>
  <c r="D193" i="17"/>
  <c r="E138" i="17"/>
  <c r="F138" i="17"/>
  <c r="D139" i="17"/>
  <c r="C125" i="17"/>
  <c r="E125" i="17"/>
  <c r="D300" i="17"/>
  <c r="E300" i="17"/>
  <c r="E264" i="17"/>
  <c r="F264" i="17"/>
  <c r="E262" i="17"/>
  <c r="F262" i="17"/>
  <c r="D271" i="17"/>
  <c r="E261" i="17"/>
  <c r="F261" i="17"/>
  <c r="D268" i="17"/>
  <c r="C49" i="17"/>
  <c r="E49" i="17"/>
  <c r="C126" i="17"/>
  <c r="C127" i="17"/>
  <c r="C288" i="17"/>
  <c r="C268" i="17"/>
  <c r="C263" i="17"/>
  <c r="E263" i="17"/>
  <c r="E32" i="17"/>
  <c r="D62" i="17"/>
  <c r="F160" i="17"/>
  <c r="C140" i="17"/>
  <c r="F32" i="17"/>
  <c r="G36" i="14"/>
  <c r="G38" i="14"/>
  <c r="G40" i="14"/>
  <c r="H33" i="14"/>
  <c r="H36" i="14"/>
  <c r="H38" i="14"/>
  <c r="H40" i="14"/>
  <c r="D24" i="13"/>
  <c r="D17" i="13"/>
  <c r="D28" i="13"/>
  <c r="D70" i="13"/>
  <c r="D72" i="13"/>
  <c r="D69" i="13"/>
  <c r="C34" i="12"/>
  <c r="C42" i="12"/>
  <c r="E121" i="10"/>
  <c r="E207" i="9"/>
  <c r="F207" i="9"/>
  <c r="E24" i="8"/>
  <c r="E17" i="8"/>
  <c r="C24" i="8"/>
  <c r="C17" i="8"/>
  <c r="D24" i="8"/>
  <c r="D20" i="8"/>
  <c r="D17" i="8"/>
  <c r="D28" i="8"/>
  <c r="D99" i="8"/>
  <c r="D101" i="8"/>
  <c r="D98" i="8"/>
  <c r="D112" i="22"/>
  <c r="D55" i="22"/>
  <c r="D47" i="22"/>
  <c r="D37" i="22"/>
  <c r="E113" i="22"/>
  <c r="E56" i="22"/>
  <c r="E48" i="22"/>
  <c r="E38" i="22"/>
  <c r="C141" i="17"/>
  <c r="D141" i="17"/>
  <c r="D322" i="17"/>
  <c r="E322" i="17"/>
  <c r="E140" i="17"/>
  <c r="F140" i="17"/>
  <c r="E268" i="17"/>
  <c r="F268" i="17"/>
  <c r="D304" i="17"/>
  <c r="F125" i="17"/>
  <c r="D194" i="17"/>
  <c r="D196" i="17"/>
  <c r="D266" i="17"/>
  <c r="D282" i="17"/>
  <c r="D50" i="17"/>
  <c r="D63" i="17"/>
  <c r="C50" i="17"/>
  <c r="D127" i="17"/>
  <c r="D148" i="17"/>
  <c r="E288" i="17"/>
  <c r="C112" i="8"/>
  <c r="C111" i="8"/>
  <c r="C28" i="8"/>
  <c r="C99" i="8"/>
  <c r="C101" i="8"/>
  <c r="C98" i="8"/>
  <c r="E112" i="8"/>
  <c r="E111" i="8"/>
  <c r="E28" i="8"/>
  <c r="C322" i="17"/>
  <c r="D195" i="17"/>
  <c r="E99" i="8"/>
  <c r="E101" i="8"/>
  <c r="E98" i="8"/>
  <c r="C148" i="17"/>
  <c r="E127" i="17"/>
  <c r="F127" i="17"/>
  <c r="F22" i="4"/>
  <c r="E194" i="17"/>
  <c r="C195" i="17"/>
  <c r="E195" i="17"/>
  <c r="F194" i="17"/>
  <c r="D105" i="17"/>
  <c r="D104" i="17"/>
  <c r="E41" i="4"/>
  <c r="F41" i="4"/>
  <c r="E233" i="18"/>
  <c r="C60" i="19"/>
  <c r="C64" i="19"/>
  <c r="C65" i="19"/>
  <c r="C114" i="19"/>
  <c r="C116" i="19"/>
  <c r="C119" i="19"/>
  <c r="C123" i="19"/>
  <c r="E50" i="17"/>
  <c r="F50" i="17"/>
  <c r="D305" i="17"/>
  <c r="C156" i="8"/>
  <c r="D247" i="18"/>
  <c r="D95" i="7"/>
  <c r="E95" i="7"/>
  <c r="E59" i="7"/>
  <c r="F59" i="7"/>
  <c r="D20" i="13"/>
  <c r="D22" i="13"/>
  <c r="C227" i="17"/>
  <c r="F226" i="17"/>
  <c r="C33" i="18"/>
  <c r="E32" i="18"/>
  <c r="C175" i="18"/>
  <c r="E175" i="18"/>
  <c r="C229" i="18"/>
  <c r="C210" i="18"/>
  <c r="E205" i="18"/>
  <c r="C222" i="18"/>
  <c r="C217" i="18"/>
  <c r="E218" i="18"/>
  <c r="D245" i="18"/>
  <c r="E245" i="18"/>
  <c r="E221" i="18"/>
  <c r="E17" i="16"/>
  <c r="F17" i="16"/>
  <c r="F322" i="17"/>
  <c r="E43" i="4"/>
  <c r="F35" i="10"/>
  <c r="E35" i="10"/>
  <c r="E41" i="11"/>
  <c r="F41" i="11"/>
  <c r="D17" i="12"/>
  <c r="E15" i="12"/>
  <c r="F15" i="12"/>
  <c r="E22" i="13"/>
  <c r="E21" i="13"/>
  <c r="E20" i="13"/>
  <c r="F129" i="17"/>
  <c r="E129" i="17"/>
  <c r="C43" i="4"/>
  <c r="E22" i="4"/>
  <c r="C20" i="8"/>
  <c r="C21" i="8"/>
  <c r="E46" i="6"/>
  <c r="F46" i="6"/>
  <c r="D52" i="6"/>
  <c r="E52" i="6"/>
  <c r="F52" i="6"/>
  <c r="D22" i="8"/>
  <c r="D77" i="18"/>
  <c r="C49" i="12"/>
  <c r="E126" i="17"/>
  <c r="D21" i="5"/>
  <c r="E266" i="17"/>
  <c r="D265" i="17"/>
  <c r="D259" i="18"/>
  <c r="F205" i="17"/>
  <c r="E205" i="17"/>
  <c r="F108" i="10"/>
  <c r="E108" i="10"/>
  <c r="F288" i="17"/>
  <c r="F122" i="10"/>
  <c r="E122" i="10"/>
  <c r="C282" i="17"/>
  <c r="C266" i="17"/>
  <c r="E193" i="17"/>
  <c r="F193" i="17"/>
  <c r="E35" i="22"/>
  <c r="E29" i="22"/>
  <c r="E53" i="22"/>
  <c r="E45" i="22"/>
  <c r="E39" i="22"/>
  <c r="E110" i="22"/>
  <c r="F85" i="6"/>
  <c r="C155" i="8"/>
  <c r="C154" i="8"/>
  <c r="C152" i="8"/>
  <c r="C157" i="8"/>
  <c r="F126" i="17"/>
  <c r="F304" i="17"/>
  <c r="E304" i="17"/>
  <c r="E61" i="17"/>
  <c r="C62" i="17"/>
  <c r="F61" i="17"/>
  <c r="C139" i="17"/>
  <c r="C139" i="8"/>
  <c r="C140" i="8"/>
  <c r="C138" i="8"/>
  <c r="C135" i="8"/>
  <c r="C136" i="8"/>
  <c r="C137" i="8"/>
  <c r="E282" i="17"/>
  <c r="D281" i="17"/>
  <c r="D70" i="17"/>
  <c r="D197" i="17"/>
  <c r="F300" i="17"/>
  <c r="C91" i="18"/>
  <c r="F21" i="17"/>
  <c r="C161" i="17"/>
  <c r="D75" i="4"/>
  <c r="E56" i="4"/>
  <c r="F56" i="4"/>
  <c r="E201" i="9"/>
  <c r="F201" i="9"/>
  <c r="D208" i="9"/>
  <c r="E208" i="9"/>
  <c r="F208" i="9"/>
  <c r="E326" i="18"/>
  <c r="D330" i="18"/>
  <c r="E330" i="18"/>
  <c r="C33" i="22"/>
  <c r="C23" i="22"/>
  <c r="C22" i="22"/>
  <c r="C34" i="22"/>
  <c r="D246" i="18"/>
  <c r="F295" i="17"/>
  <c r="F290" i="17"/>
  <c r="F73" i="4"/>
  <c r="F137" i="6"/>
  <c r="E137" i="6"/>
  <c r="C86" i="8"/>
  <c r="D59" i="13"/>
  <c r="D61" i="13"/>
  <c r="D57" i="13"/>
  <c r="D48" i="13"/>
  <c r="D42" i="13"/>
  <c r="C102" i="17"/>
  <c r="D172" i="17"/>
  <c r="E171" i="17"/>
  <c r="E109" i="22"/>
  <c r="E111" i="22"/>
  <c r="E141" i="17"/>
  <c r="F141" i="17"/>
  <c r="F49" i="17"/>
  <c r="C196" i="17"/>
  <c r="E196" i="17"/>
  <c r="C271" i="17"/>
  <c r="D135" i="8"/>
  <c r="D141" i="8"/>
  <c r="E154" i="9"/>
  <c r="D272" i="17"/>
  <c r="D270" i="17"/>
  <c r="E270" i="17"/>
  <c r="F270" i="17"/>
  <c r="E269" i="17"/>
  <c r="F269" i="17"/>
  <c r="E206" i="17"/>
  <c r="F206" i="17"/>
  <c r="C216" i="17"/>
  <c r="E101" i="17"/>
  <c r="F101" i="17"/>
  <c r="E316" i="18"/>
  <c r="D145" i="18"/>
  <c r="F25" i="6"/>
  <c r="E81" i="6"/>
  <c r="F81" i="6"/>
  <c r="F90" i="6"/>
  <c r="F18" i="7"/>
  <c r="E18" i="7"/>
  <c r="F23" i="15"/>
  <c r="F21" i="16"/>
  <c r="E21" i="16"/>
  <c r="C89" i="17"/>
  <c r="E88" i="17"/>
  <c r="F88" i="17"/>
  <c r="D44" i="18"/>
  <c r="E36" i="18"/>
  <c r="F95" i="7"/>
  <c r="D112" i="8"/>
  <c r="D111" i="8"/>
  <c r="E290" i="17"/>
  <c r="E65" i="18"/>
  <c r="F38" i="4"/>
  <c r="E157" i="8"/>
  <c r="E155" i="8"/>
  <c r="E156" i="8"/>
  <c r="C302" i="18"/>
  <c r="C303" i="18"/>
  <c r="C306" i="18"/>
  <c r="C310" i="18"/>
  <c r="E265" i="18"/>
  <c r="F263" i="17"/>
  <c r="D289" i="17"/>
  <c r="E161" i="17"/>
  <c r="E267" i="17"/>
  <c r="F267" i="17"/>
  <c r="D66" i="18"/>
  <c r="F39" i="20"/>
  <c r="E280" i="17"/>
  <c r="F280" i="17"/>
  <c r="E124" i="17"/>
  <c r="F124" i="17"/>
  <c r="C90" i="18"/>
  <c r="D41" i="20"/>
  <c r="F84" i="6"/>
  <c r="C95" i="6"/>
  <c r="E94" i="6"/>
  <c r="F94" i="6"/>
  <c r="F76" i="9"/>
  <c r="I33" i="14"/>
  <c r="I36" i="14"/>
  <c r="I38" i="14"/>
  <c r="I40" i="14"/>
  <c r="E65" i="15"/>
  <c r="F65" i="15"/>
  <c r="E37" i="17"/>
  <c r="F37" i="17"/>
  <c r="E146" i="17"/>
  <c r="F146" i="17"/>
  <c r="E214" i="17"/>
  <c r="F214" i="17"/>
  <c r="D216" i="17"/>
  <c r="E216" i="17"/>
  <c r="C281" i="17"/>
  <c r="F18" i="5"/>
  <c r="C21" i="5"/>
  <c r="E179" i="6"/>
  <c r="F179" i="6"/>
  <c r="D138" i="8"/>
  <c r="D136" i="8"/>
  <c r="F41" i="20"/>
  <c r="F16" i="5"/>
  <c r="E152" i="8"/>
  <c r="D279" i="17"/>
  <c r="E279" i="17"/>
  <c r="F279" i="17"/>
  <c r="C287" i="17"/>
  <c r="C284" i="17"/>
  <c r="E284" i="17"/>
  <c r="F52" i="17"/>
  <c r="E324" i="18"/>
  <c r="E230" i="17"/>
  <c r="F230" i="17"/>
  <c r="D110" i="22"/>
  <c r="D45" i="22"/>
  <c r="C75" i="4"/>
  <c r="C20" i="13"/>
  <c r="C22" i="13"/>
  <c r="D244" i="18"/>
  <c r="E244" i="18"/>
  <c r="E220" i="18"/>
  <c r="C253" i="18"/>
  <c r="C254" i="18"/>
  <c r="E283" i="18"/>
  <c r="E44" i="6"/>
  <c r="E88" i="6"/>
  <c r="F88" i="6"/>
  <c r="F124" i="6"/>
  <c r="E149" i="8"/>
  <c r="C258" i="18"/>
  <c r="C100" i="18"/>
  <c r="C99" i="18"/>
  <c r="C96" i="18"/>
  <c r="C46" i="20"/>
  <c r="E43" i="20"/>
  <c r="E73" i="4"/>
  <c r="E153" i="6"/>
  <c r="F153" i="6"/>
  <c r="F128" i="9"/>
  <c r="E118" i="10"/>
  <c r="E48" i="13"/>
  <c r="E42" i="13"/>
  <c r="E59" i="13"/>
  <c r="E61" i="13"/>
  <c r="E57" i="13"/>
  <c r="F70" i="15"/>
  <c r="E188" i="17"/>
  <c r="F188" i="17"/>
  <c r="F20" i="20"/>
  <c r="F29" i="4"/>
  <c r="F121" i="7"/>
  <c r="E90" i="8"/>
  <c r="E86" i="8"/>
  <c r="D109" i="8"/>
  <c r="D106" i="8"/>
  <c r="E92" i="15"/>
  <c r="F92" i="15"/>
  <c r="C172" i="17"/>
  <c r="F171" i="17"/>
  <c r="E20" i="20"/>
  <c r="F68" i="6"/>
  <c r="E24" i="7"/>
  <c r="F24" i="7"/>
  <c r="D188" i="7"/>
  <c r="E188" i="7"/>
  <c r="F188" i="7"/>
  <c r="E27" i="8"/>
  <c r="D166" i="8"/>
  <c r="F37" i="15"/>
  <c r="E100" i="15"/>
  <c r="F100" i="15"/>
  <c r="F85" i="17"/>
  <c r="D229" i="18"/>
  <c r="E229" i="18"/>
  <c r="D210" i="18"/>
  <c r="D180" i="18"/>
  <c r="E278" i="18"/>
  <c r="E86" i="6"/>
  <c r="F86" i="6"/>
  <c r="F92" i="6"/>
  <c r="F73" i="15"/>
  <c r="E75" i="15"/>
  <c r="F75" i="15"/>
  <c r="C65" i="18"/>
  <c r="C289" i="18"/>
  <c r="E289" i="18"/>
  <c r="C71" i="18"/>
  <c r="F16" i="20"/>
  <c r="F22" i="20"/>
  <c r="E25" i="20"/>
  <c r="F25" i="20"/>
  <c r="F13" i="16"/>
  <c r="F135" i="17"/>
  <c r="E42" i="18"/>
  <c r="E74" i="18"/>
  <c r="D156" i="18"/>
  <c r="E151" i="18"/>
  <c r="D261" i="18"/>
  <c r="E261" i="18"/>
  <c r="D189" i="18"/>
  <c r="E189" i="18"/>
  <c r="E16" i="20"/>
  <c r="C43" i="11"/>
  <c r="D111" i="17"/>
  <c r="E111" i="17"/>
  <c r="F111" i="17"/>
  <c r="E75" i="18"/>
  <c r="E177" i="18"/>
  <c r="E282" i="18"/>
  <c r="D46" i="20"/>
  <c r="E21" i="21"/>
  <c r="F21" i="21"/>
  <c r="E119" i="10"/>
  <c r="E55" i="15"/>
  <c r="E155" i="17"/>
  <c r="F179" i="17"/>
  <c r="C181" i="17"/>
  <c r="F181" i="17"/>
  <c r="E226" i="17"/>
  <c r="E311" i="17"/>
  <c r="E178" i="18"/>
  <c r="E240" i="18"/>
  <c r="E276" i="18"/>
  <c r="E287" i="18"/>
  <c r="D303" i="18"/>
  <c r="C37" i="19"/>
  <c r="C38" i="19"/>
  <c r="C127" i="19"/>
  <c r="C129" i="19"/>
  <c r="C133" i="19"/>
  <c r="D23" i="22"/>
  <c r="D33" i="22"/>
  <c r="E50" i="15"/>
  <c r="E107" i="15"/>
  <c r="F107" i="15"/>
  <c r="E145" i="17"/>
  <c r="F145" i="17"/>
  <c r="F158" i="17"/>
  <c r="D181" i="17"/>
  <c r="E41" i="18"/>
  <c r="E228" i="18"/>
  <c r="E262" i="18"/>
  <c r="E44" i="20"/>
  <c r="F44" i="20"/>
  <c r="F281" i="17"/>
  <c r="D157" i="18"/>
  <c r="E157" i="18"/>
  <c r="E156" i="18"/>
  <c r="D168" i="18"/>
  <c r="E168" i="18"/>
  <c r="E22" i="8"/>
  <c r="E21" i="8"/>
  <c r="E20" i="8"/>
  <c r="C103" i="17"/>
  <c r="E37" i="22"/>
  <c r="E112" i="22"/>
  <c r="E47" i="22"/>
  <c r="E55" i="22"/>
  <c r="C241" i="18"/>
  <c r="E241" i="18"/>
  <c r="E217" i="18"/>
  <c r="D114" i="18"/>
  <c r="D124" i="18"/>
  <c r="D112" i="18"/>
  <c r="D123" i="18"/>
  <c r="D113" i="18"/>
  <c r="D127" i="18"/>
  <c r="D109" i="18"/>
  <c r="D122" i="18"/>
  <c r="D125" i="18"/>
  <c r="D115" i="18"/>
  <c r="D110" i="18"/>
  <c r="D121" i="18"/>
  <c r="D111" i="18"/>
  <c r="D126" i="18"/>
  <c r="C223" i="18"/>
  <c r="E222" i="18"/>
  <c r="C246" i="18"/>
  <c r="E246" i="18"/>
  <c r="D106" i="17"/>
  <c r="C66" i="18"/>
  <c r="E66" i="18"/>
  <c r="C294" i="18"/>
  <c r="E294" i="18"/>
  <c r="F43" i="20"/>
  <c r="E46" i="20"/>
  <c r="F46" i="20"/>
  <c r="C291" i="17"/>
  <c r="C289" i="17"/>
  <c r="E287" i="17"/>
  <c r="F287" i="17"/>
  <c r="E302" i="18"/>
  <c r="D207" i="17"/>
  <c r="D173" i="17"/>
  <c r="E172" i="17"/>
  <c r="F139" i="17"/>
  <c r="E303" i="18"/>
  <c r="D306" i="18"/>
  <c r="C273" i="17"/>
  <c r="E271" i="17"/>
  <c r="F271" i="17"/>
  <c r="F196" i="17"/>
  <c r="E62" i="17"/>
  <c r="C63" i="17"/>
  <c r="F62" i="17"/>
  <c r="D263" i="18"/>
  <c r="E139" i="17"/>
  <c r="E89" i="17"/>
  <c r="F89" i="17"/>
  <c r="C90" i="17"/>
  <c r="C91" i="17"/>
  <c r="F43" i="11"/>
  <c r="E102" i="17"/>
  <c r="F102" i="17"/>
  <c r="F43" i="4"/>
  <c r="D20" i="12"/>
  <c r="E17" i="12"/>
  <c r="F17" i="12"/>
  <c r="C180" i="18"/>
  <c r="E180" i="18"/>
  <c r="C211" i="18"/>
  <c r="C234" i="18"/>
  <c r="C173" i="17"/>
  <c r="C207" i="17"/>
  <c r="F172" i="17"/>
  <c r="D258" i="18"/>
  <c r="D85" i="18"/>
  <c r="E85" i="18"/>
  <c r="D95" i="18"/>
  <c r="D98" i="18"/>
  <c r="E98" i="18"/>
  <c r="D83" i="18"/>
  <c r="D99" i="18"/>
  <c r="E99" i="18"/>
  <c r="D96" i="18"/>
  <c r="D97" i="18"/>
  <c r="E97" i="18"/>
  <c r="D88" i="18"/>
  <c r="E88" i="18"/>
  <c r="D86" i="18"/>
  <c r="E86" i="18"/>
  <c r="E44" i="18"/>
  <c r="D101" i="18"/>
  <c r="E101" i="18"/>
  <c r="D100" i="18"/>
  <c r="E100" i="18"/>
  <c r="D84" i="18"/>
  <c r="D89" i="18"/>
  <c r="E89" i="18"/>
  <c r="D87" i="18"/>
  <c r="E87" i="18"/>
  <c r="E181" i="17"/>
  <c r="D152" i="8"/>
  <c r="D157" i="8"/>
  <c r="D153" i="8"/>
  <c r="D156" i="8"/>
  <c r="D154" i="8"/>
  <c r="D155" i="8"/>
  <c r="F195" i="17"/>
  <c r="C76" i="18"/>
  <c r="E71" i="18"/>
  <c r="C158" i="8"/>
  <c r="D309" i="17"/>
  <c r="C102" i="18"/>
  <c r="C103" i="18"/>
  <c r="E158" i="8"/>
  <c r="F21" i="5"/>
  <c r="C35" i="5"/>
  <c r="E272" i="17"/>
  <c r="F272" i="17"/>
  <c r="D273" i="17"/>
  <c r="E273" i="17"/>
  <c r="C35" i="22"/>
  <c r="C29" i="22"/>
  <c r="C45" i="22"/>
  <c r="C53" i="22"/>
  <c r="C39" i="22"/>
  <c r="C110" i="22"/>
  <c r="E75" i="4"/>
  <c r="F75" i="4"/>
  <c r="E281" i="17"/>
  <c r="C265" i="17"/>
  <c r="F266" i="17"/>
  <c r="F148" i="17"/>
  <c r="F216" i="17"/>
  <c r="C105" i="18"/>
  <c r="C295" i="18"/>
  <c r="E33" i="18"/>
  <c r="E136" i="8"/>
  <c r="E139" i="8"/>
  <c r="E135" i="8"/>
  <c r="E137" i="8"/>
  <c r="E140" i="8"/>
  <c r="E138" i="8"/>
  <c r="E289" i="17"/>
  <c r="C141" i="8"/>
  <c r="D211" i="18"/>
  <c r="D234" i="18"/>
  <c r="E234" i="18"/>
  <c r="E210" i="18"/>
  <c r="F284" i="17"/>
  <c r="E227" i="17"/>
  <c r="F227" i="17"/>
  <c r="E145" i="18"/>
  <c r="D181" i="18"/>
  <c r="D54" i="22"/>
  <c r="D36" i="22"/>
  <c r="D40" i="22"/>
  <c r="D46" i="22"/>
  <c r="D111" i="22"/>
  <c r="D30" i="22"/>
  <c r="E43" i="11"/>
  <c r="E95" i="6"/>
  <c r="F95" i="6"/>
  <c r="D295" i="18"/>
  <c r="C30" i="22"/>
  <c r="C111" i="22"/>
  <c r="C40" i="22"/>
  <c r="C36" i="22"/>
  <c r="C54" i="22"/>
  <c r="C46" i="22"/>
  <c r="C162" i="17"/>
  <c r="F161" i="17"/>
  <c r="F282" i="17"/>
  <c r="D35" i="5"/>
  <c r="E21" i="5"/>
  <c r="D253" i="18"/>
  <c r="E148" i="17"/>
  <c r="D158" i="8"/>
  <c r="D310" i="18"/>
  <c r="E310" i="18"/>
  <c r="E306" i="18"/>
  <c r="E295" i="18"/>
  <c r="D264" i="18"/>
  <c r="E258" i="18"/>
  <c r="E96" i="18"/>
  <c r="D102" i="18"/>
  <c r="E102" i="18"/>
  <c r="D56" i="22"/>
  <c r="D38" i="22"/>
  <c r="D48" i="22"/>
  <c r="D113" i="22"/>
  <c r="E83" i="18"/>
  <c r="C235" i="18"/>
  <c r="C181" i="18"/>
  <c r="E181" i="18"/>
  <c r="D324" i="17"/>
  <c r="D113" i="17"/>
  <c r="E20" i="12"/>
  <c r="F20" i="12"/>
  <c r="D34" i="12"/>
  <c r="E141" i="8"/>
  <c r="C55" i="22"/>
  <c r="C37" i="22"/>
  <c r="C112" i="22"/>
  <c r="C47" i="22"/>
  <c r="C305" i="17"/>
  <c r="E291" i="17"/>
  <c r="F291" i="17"/>
  <c r="C105" i="17"/>
  <c r="C104" i="17"/>
  <c r="E103" i="17"/>
  <c r="F103" i="17"/>
  <c r="D43" i="5"/>
  <c r="E35" i="5"/>
  <c r="D129" i="18"/>
  <c r="C48" i="22"/>
  <c r="C38" i="22"/>
  <c r="C56" i="22"/>
  <c r="C113" i="22"/>
  <c r="E95" i="18"/>
  <c r="C70" i="17"/>
  <c r="E63" i="17"/>
  <c r="F63" i="17"/>
  <c r="D116" i="18"/>
  <c r="E90" i="17"/>
  <c r="F90" i="17"/>
  <c r="F162" i="17"/>
  <c r="E162" i="17"/>
  <c r="C197" i="17"/>
  <c r="D128" i="18"/>
  <c r="E265" i="17"/>
  <c r="F265" i="17"/>
  <c r="F35" i="5"/>
  <c r="C43" i="5"/>
  <c r="C92" i="17"/>
  <c r="E91" i="17"/>
  <c r="F91" i="17"/>
  <c r="C77" i="18"/>
  <c r="E76" i="18"/>
  <c r="C259" i="18"/>
  <c r="F289" i="17"/>
  <c r="C208" i="17"/>
  <c r="E173" i="17"/>
  <c r="D175" i="17"/>
  <c r="D174" i="17"/>
  <c r="E174" i="17"/>
  <c r="C247" i="18"/>
  <c r="E247" i="18"/>
  <c r="E223" i="18"/>
  <c r="E253" i="18"/>
  <c r="D254" i="18"/>
  <c r="E254" i="18"/>
  <c r="D169" i="18"/>
  <c r="E169" i="18"/>
  <c r="E211" i="18"/>
  <c r="D235" i="18"/>
  <c r="D310" i="17"/>
  <c r="E84" i="18"/>
  <c r="D90" i="18"/>
  <c r="E90" i="18"/>
  <c r="C175" i="17"/>
  <c r="F173" i="17"/>
  <c r="C174" i="17"/>
  <c r="F273" i="17"/>
  <c r="D208" i="17"/>
  <c r="E207" i="17"/>
  <c r="F207" i="17"/>
  <c r="D312" i="17"/>
  <c r="F175" i="17"/>
  <c r="C176" i="17"/>
  <c r="C210" i="17"/>
  <c r="C209" i="17"/>
  <c r="E92" i="17"/>
  <c r="F92" i="17"/>
  <c r="D266" i="18"/>
  <c r="C50" i="5"/>
  <c r="C263" i="18"/>
  <c r="E259" i="18"/>
  <c r="C124" i="18"/>
  <c r="E124" i="18"/>
  <c r="C123" i="18"/>
  <c r="E123" i="18"/>
  <c r="C122" i="18"/>
  <c r="C121" i="18"/>
  <c r="C113" i="18"/>
  <c r="E113" i="18"/>
  <c r="C112" i="18"/>
  <c r="E112" i="18"/>
  <c r="C126" i="18"/>
  <c r="E126" i="18"/>
  <c r="C115" i="18"/>
  <c r="E115" i="18"/>
  <c r="C111" i="18"/>
  <c r="E111" i="18"/>
  <c r="C109" i="18"/>
  <c r="C127" i="18"/>
  <c r="E127" i="18"/>
  <c r="C125" i="18"/>
  <c r="E125" i="18"/>
  <c r="C110" i="18"/>
  <c r="C114" i="18"/>
  <c r="E114" i="18"/>
  <c r="E77" i="18"/>
  <c r="C309" i="17"/>
  <c r="E305" i="17"/>
  <c r="F305" i="17"/>
  <c r="E235" i="18"/>
  <c r="D176" i="17"/>
  <c r="E175" i="17"/>
  <c r="D103" i="18"/>
  <c r="E103" i="18"/>
  <c r="E43" i="5"/>
  <c r="F43" i="5"/>
  <c r="D50" i="5"/>
  <c r="E50" i="5"/>
  <c r="D42" i="12"/>
  <c r="E34" i="12"/>
  <c r="F34" i="12"/>
  <c r="C106" i="17"/>
  <c r="C113" i="17"/>
  <c r="E105" i="17"/>
  <c r="F105" i="17"/>
  <c r="E70" i="17"/>
  <c r="F70" i="17"/>
  <c r="D209" i="17"/>
  <c r="E208" i="17"/>
  <c r="F208" i="17"/>
  <c r="D210" i="17"/>
  <c r="F174" i="17"/>
  <c r="D91" i="18"/>
  <c r="D117" i="18"/>
  <c r="E197" i="17"/>
  <c r="F197" i="17"/>
  <c r="E104" i="17"/>
  <c r="F104" i="17"/>
  <c r="E113" i="17"/>
  <c r="F113" i="17"/>
  <c r="C117" i="18"/>
  <c r="E109" i="18"/>
  <c r="C128" i="18"/>
  <c r="E128" i="18"/>
  <c r="E122" i="18"/>
  <c r="F309" i="17"/>
  <c r="C310" i="17"/>
  <c r="E309" i="17"/>
  <c r="F176" i="17"/>
  <c r="C211" i="17"/>
  <c r="C183" i="17"/>
  <c r="F183" i="17"/>
  <c r="C323" i="17"/>
  <c r="F323" i="17"/>
  <c r="C264" i="18"/>
  <c r="E263" i="18"/>
  <c r="F50" i="5"/>
  <c r="E210" i="17"/>
  <c r="D211" i="17"/>
  <c r="E209" i="17"/>
  <c r="F209" i="17"/>
  <c r="E106" i="17"/>
  <c r="F106" i="17"/>
  <c r="E176" i="17"/>
  <c r="D183" i="17"/>
  <c r="E183" i="17"/>
  <c r="D323" i="17"/>
  <c r="C116" i="18"/>
  <c r="E116" i="18"/>
  <c r="E110" i="18"/>
  <c r="D313" i="17"/>
  <c r="E42" i="12"/>
  <c r="F42" i="12"/>
  <c r="D49" i="12"/>
  <c r="E49" i="12"/>
  <c r="F49" i="12"/>
  <c r="F210" i="17"/>
  <c r="D131" i="18"/>
  <c r="D105" i="18"/>
  <c r="E105" i="18"/>
  <c r="E91" i="18"/>
  <c r="C129" i="18"/>
  <c r="E129" i="18"/>
  <c r="E121" i="18"/>
  <c r="D267" i="18"/>
  <c r="C324" i="17"/>
  <c r="D269" i="18"/>
  <c r="D268" i="18"/>
  <c r="C312" i="17"/>
  <c r="E310" i="17"/>
  <c r="F310" i="17"/>
  <c r="C266" i="18"/>
  <c r="E264" i="18"/>
  <c r="D251" i="17"/>
  <c r="D315" i="17"/>
  <c r="D314" i="17"/>
  <c r="D256" i="17"/>
  <c r="E211" i="17"/>
  <c r="F211" i="17"/>
  <c r="C131" i="18"/>
  <c r="E117" i="18"/>
  <c r="C325" i="17"/>
  <c r="E324" i="17"/>
  <c r="F324" i="17"/>
  <c r="E131" i="18"/>
  <c r="E323" i="17"/>
  <c r="D325" i="17"/>
  <c r="E325" i="17"/>
  <c r="D257" i="17"/>
  <c r="F325" i="17"/>
  <c r="C267" i="18"/>
  <c r="E266" i="18"/>
  <c r="F312" i="17"/>
  <c r="C313" i="17"/>
  <c r="E312" i="17"/>
  <c r="D318" i="17"/>
  <c r="D271" i="18"/>
  <c r="C315" i="17"/>
  <c r="C314" i="17"/>
  <c r="C251" i="17"/>
  <c r="C256" i="17"/>
  <c r="E313" i="17"/>
  <c r="F313" i="17"/>
  <c r="C269" i="18"/>
  <c r="E269" i="18"/>
  <c r="C268" i="18"/>
  <c r="E267" i="18"/>
  <c r="C318" i="17"/>
  <c r="E314" i="17"/>
  <c r="F314" i="17"/>
  <c r="C271" i="18"/>
  <c r="E271" i="18"/>
  <c r="E268" i="18"/>
  <c r="C257" i="17"/>
  <c r="E256" i="17"/>
  <c r="F256" i="17"/>
  <c r="E251" i="17"/>
  <c r="F251" i="17"/>
  <c r="E315" i="17"/>
  <c r="F315" i="17"/>
  <c r="E257" i="17"/>
  <c r="F257" i="17"/>
  <c r="E318" i="17"/>
  <c r="F318" i="17"/>
</calcChain>
</file>

<file path=xl/sharedStrings.xml><?xml version="1.0" encoding="utf-8"?>
<sst xmlns="http://schemas.openxmlformats.org/spreadsheetml/2006/main" count="2333" uniqueCount="1009">
  <si>
    <t>MANCHESTER MEMORIAL HOSPITAL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</si>
  <si>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</si>
  <si>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</si>
  <si>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</si>
  <si>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</si>
  <si>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</si>
  <si>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</si>
  <si>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</si>
  <si>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</si>
  <si>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</si>
  <si>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</si>
  <si>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</si>
  <si>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</si>
  <si>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</si>
  <si>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</si>
  <si>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</si>
  <si>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</si>
  <si>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</si>
  <si>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</si>
  <si>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</si>
  <si>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</si>
  <si>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</si>
  <si>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</si>
  <si>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</si>
  <si>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</si>
  <si>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</si>
  <si>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</si>
  <si>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</si>
  <si>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</si>
  <si>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</si>
  <si>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</si>
  <si>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</si>
  <si>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</si>
  <si>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</si>
  <si>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</si>
  <si>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</si>
  <si>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</si>
  <si>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</si>
  <si>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</si>
  <si>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</si>
  <si>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</si>
  <si>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</si>
  <si>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</si>
  <si>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</si>
  <si>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</si>
  <si>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</si>
  <si>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</si>
  <si>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</si>
  <si>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</si>
  <si>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</si>
  <si>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</si>
  <si>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</si>
  <si>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</si>
  <si>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</si>
  <si>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</si>
  <si>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</si>
  <si>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</si>
  <si>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</si>
  <si>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</si>
  <si>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</si>
  <si>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</si>
  <si>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</si>
  <si>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</si>
  <si>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</si>
  <si>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</si>
  <si>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</si>
  <si>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</si>
  <si>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</si>
  <si>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</si>
  <si>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</si>
  <si>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</si>
  <si>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</si>
  <si>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</si>
  <si>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</si>
  <si>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</si>
  <si>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</si>
  <si>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</si>
  <si>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</si>
  <si>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</si>
  <si>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</si>
  <si>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</si>
  <si>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</si>
  <si>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</si>
  <si>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</si>
  <si>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</si>
  <si>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</si>
  <si>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</si>
  <si>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</si>
  <si>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</si>
  <si>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</si>
  <si>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</si>
  <si>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</si>
  <si>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</si>
  <si>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</si>
  <si>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</si>
  <si>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</si>
  <si>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</si>
  <si>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</si>
  <si>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</si>
  <si>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</si>
  <si>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</si>
  <si>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</si>
  <si>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</si>
  <si>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</si>
  <si>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</si>
  <si>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</si>
  <si>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</si>
  <si>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</si>
  <si>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</si>
  <si>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</si>
  <si>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</si>
  <si>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</si>
  <si>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</si>
  <si>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</si>
  <si>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</si>
  <si>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</si>
  <si>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</si>
  <si>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</si>
  <si>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</si>
  <si>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</si>
  <si>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</si>
  <si>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</si>
  <si>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</si>
  <si>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</si>
  <si>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</si>
  <si>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</si>
  <si>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</si>
  <si>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</si>
  <si>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</si>
  <si>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</si>
  <si>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</si>
  <si>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</si>
  <si>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</si>
  <si>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</si>
  <si>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</si>
  <si>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</si>
  <si>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</si>
  <si>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</si>
  <si>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</si>
  <si>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</si>
  <si>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</si>
  <si>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</si>
  <si>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</si>
  <si>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</si>
  <si>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</si>
  <si>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</si>
  <si>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</si>
  <si>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</si>
  <si>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</si>
  <si>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</si>
  <si>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</si>
  <si>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</si>
  <si>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</si>
  <si>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</si>
  <si>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</si>
  <si>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</si>
  <si>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</si>
  <si>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</si>
  <si>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</si>
  <si>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</si>
  <si>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</si>
  <si>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</si>
  <si>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</si>
  <si>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</si>
  <si>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</si>
  <si>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</si>
  <si>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</si>
  <si>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</si>
  <si>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</si>
  <si>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</si>
  <si>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</si>
  <si>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</si>
  <si>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</si>
  <si>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</si>
  <si>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</si>
  <si>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</si>
  <si>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</si>
  <si>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</si>
  <si>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</si>
  <si>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</si>
  <si>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</si>
  <si>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</si>
  <si>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</si>
  <si>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</si>
  <si>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</si>
  <si>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</si>
  <si>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</si>
  <si>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</si>
  <si>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</si>
  <si>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</si>
  <si>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</si>
  <si>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</si>
  <si>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</si>
  <si>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</si>
  <si>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</si>
  <si>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</si>
  <si>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</si>
  <si>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</si>
  <si>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</si>
  <si>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</si>
  <si>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</si>
  <si>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</si>
  <si>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</si>
  <si>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</si>
  <si>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</si>
  <si>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</si>
  <si>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</si>
  <si>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</si>
  <si>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</si>
  <si>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</si>
  <si>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</si>
  <si>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</si>
  <si>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</si>
  <si>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</si>
  <si>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</si>
  <si>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</si>
  <si>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</si>
  <si>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</si>
  <si>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</si>
  <si>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</si>
  <si>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</si>
  <si>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</si>
  <si>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</si>
  <si>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</si>
  <si>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</si>
  <si>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</si>
  <si>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</si>
  <si>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</si>
  <si>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</si>
  <si>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</si>
  <si>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</si>
  <si>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</si>
  <si>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</si>
  <si>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</si>
  <si>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</si>
  <si>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</si>
  <si>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</si>
  <si>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</si>
  <si>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</si>
  <si>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</si>
  <si>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</si>
  <si>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</si>
  <si>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</si>
  <si>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</si>
  <si>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</si>
  <si>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</si>
  <si>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</si>
  <si>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</si>
  <si>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</si>
  <si>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</si>
  <si>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</si>
  <si>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</si>
  <si>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</si>
  <si>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</si>
  <si>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</si>
  <si>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</si>
  <si>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</si>
  <si>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</si>
  <si>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</si>
  <si>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</si>
  <si>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</si>
  <si>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</si>
  <si>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</si>
  <si>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</si>
  <si>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</si>
  <si>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</si>
  <si>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</si>
  <si>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</si>
  <si>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</si>
  <si>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</si>
  <si>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</si>
  <si>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</si>
  <si>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</si>
  <si>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</si>
  <si>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</si>
  <si>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</si>
  <si>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</si>
  <si>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</si>
  <si>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</si>
  <si>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</si>
  <si>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</si>
  <si>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</si>
  <si>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</si>
  <si>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</si>
  <si>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</si>
  <si>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</si>
  <si>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</si>
  <si>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</si>
  <si>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</si>
  <si>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</si>
  <si>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</si>
  <si>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</si>
  <si>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</si>
  <si>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</si>
  <si>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</si>
  <si>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</si>
  <si>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</si>
  <si>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</si>
  <si>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</si>
  <si>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</si>
  <si>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</si>
  <si>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</si>
  <si>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</si>
  <si>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</si>
  <si>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</si>
  <si>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</si>
  <si>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</si>
  <si>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</si>
  <si>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</si>
  <si>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</si>
  <si>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</si>
  <si>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</si>
  <si>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</si>
  <si>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</si>
  <si>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</si>
  <si>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</si>
  <si>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</si>
  <si>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</si>
  <si>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</si>
  <si>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</si>
  <si>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</si>
  <si>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</si>
  <si>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</si>
  <si>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</si>
  <si>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</si>
  <si>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</si>
  <si>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</si>
  <si>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</si>
  <si>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</si>
  <si>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</si>
  <si>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</si>
  <si>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</si>
  <si>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</si>
  <si>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</si>
  <si>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</si>
  <si>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</si>
  <si>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</si>
  <si>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</si>
  <si>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</si>
  <si>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</si>
  <si>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</si>
  <si>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</si>
  <si>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</si>
  <si>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</si>
  <si>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</si>
  <si>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</si>
  <si>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</si>
  <si>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</si>
  <si>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</si>
  <si>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</si>
  <si>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</si>
  <si>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</si>
  <si>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</si>
  <si>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</si>
  <si>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</si>
  <si>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</si>
  <si>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</si>
  <si>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</si>
  <si>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</si>
  <si>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</si>
  <si>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</si>
  <si>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</si>
  <si>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</si>
  <si>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</si>
  <si>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</si>
  <si>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</si>
  <si>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</si>
  <si>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</si>
  <si>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</si>
  <si>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</si>
  <si>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</si>
  <si>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</si>
  <si>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</si>
  <si>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</si>
  <si>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</si>
  <si>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</si>
  <si>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</si>
  <si>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</si>
  <si>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</si>
  <si>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</si>
  <si>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</si>
  <si>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</si>
  <si>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</si>
  <si>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</si>
  <si>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</si>
  <si>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</si>
  <si>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</si>
  <si>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</si>
  <si>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</si>
  <si>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</si>
  <si>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</si>
  <si>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</si>
  <si>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</si>
  <si>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</si>
  <si>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</si>
  <si>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</si>
  <si>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</si>
  <si>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</si>
  <si>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</si>
  <si>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</si>
  <si>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</si>
  <si>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</si>
  <si>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</si>
  <si>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</si>
  <si>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</si>
  <si>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</si>
  <si>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</si>
  <si>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</si>
  <si>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</si>
  <si>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</si>
  <si>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</si>
  <si>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</si>
  <si>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</si>
  <si>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</si>
  <si>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</si>
  <si>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</si>
  <si>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</si>
  <si>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</si>
  <si>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</si>
  <si>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</si>
  <si>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</si>
  <si>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</si>
  <si>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</si>
  <si>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</si>
  <si>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</si>
  <si>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</si>
  <si>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</si>
  <si>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</si>
  <si>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</si>
  <si>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</si>
  <si>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</si>
  <si>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</si>
  <si>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</si>
  <si>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</si>
  <si>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</si>
  <si>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</si>
  <si>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</si>
  <si>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</si>
  <si>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</si>
  <si>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</si>
  <si>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</si>
  <si>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</si>
  <si>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</si>
  <si>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</si>
  <si>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</si>
  <si>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</si>
  <si>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</si>
  <si>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</si>
  <si>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</si>
  <si>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</si>
  <si>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</si>
  <si>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</si>
  <si>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</si>
  <si>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</si>
  <si>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</si>
  <si>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</si>
  <si>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</si>
  <si>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</si>
  <si>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</si>
  <si>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</si>
  <si>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</si>
  <si>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</si>
  <si>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</si>
  <si>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</si>
  <si>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</si>
  <si>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</si>
  <si>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</si>
  <si>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</si>
  <si>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</si>
  <si>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</si>
  <si>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</si>
  <si>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</si>
  <si>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</si>
  <si>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</si>
  <si>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</si>
  <si>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</si>
  <si>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</si>
  <si>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</si>
  <si>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</si>
  <si>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</si>
  <si>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</si>
  <si>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</si>
  <si>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</si>
  <si>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</si>
  <si>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</si>
  <si>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</si>
  <si>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</si>
  <si>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</si>
  <si>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</si>
  <si>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</si>
  <si>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</si>
  <si>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</si>
  <si>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</si>
  <si>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</si>
  <si>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</si>
  <si>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</si>
  <si>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</si>
  <si>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</si>
  <si>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</si>
  <si>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</si>
  <si>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EASTERN CONNECTICUT HEALTH NETWORK,INC.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</si>
  <si>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</si>
  <si>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</si>
  <si>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</si>
  <si>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</si>
  <si>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</si>
  <si>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</si>
  <si>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</si>
  <si>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</si>
  <si>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</si>
  <si>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</si>
  <si>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</si>
  <si>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</si>
  <si>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</si>
  <si>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</si>
  <si>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</si>
  <si>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</si>
  <si>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</si>
  <si>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</si>
  <si>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</si>
  <si>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</si>
  <si>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</si>
  <si>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</si>
  <si>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</si>
  <si>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</si>
  <si>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</si>
  <si>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</si>
  <si>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</si>
  <si>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</si>
  <si>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</si>
  <si>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</si>
  <si>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</si>
  <si>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</si>
  <si>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</si>
  <si>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</si>
  <si>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</si>
  <si>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</si>
  <si>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</si>
  <si>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</si>
  <si>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</si>
  <si>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</si>
  <si>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</si>
  <si>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</si>
  <si>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</si>
  <si>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</si>
  <si>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</si>
  <si>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</si>
  <si>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</si>
  <si>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</si>
  <si>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</si>
  <si>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</si>
  <si>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</si>
  <si>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</si>
  <si>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</si>
  <si>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</si>
  <si>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</si>
  <si>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</si>
  <si>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</si>
  <si>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</si>
  <si>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</si>
  <si>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</si>
  <si>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</si>
  <si>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</si>
  <si>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</si>
  <si>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</si>
  <si>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</si>
  <si>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</si>
  <si>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</si>
  <si>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</si>
  <si>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</si>
  <si>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</si>
  <si>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</si>
  <si>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</si>
  <si>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</si>
  <si>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</si>
  <si>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</si>
  <si>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</si>
  <si>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</si>
  <si>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</si>
  <si>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</si>
  <si>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</si>
  <si>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</si>
  <si>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</si>
  <si>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</si>
  <si>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</si>
  <si>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</si>
  <si>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</si>
  <si>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</si>
  <si>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</si>
  <si>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</si>
  <si>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</si>
  <si>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</si>
  <si>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</si>
  <si>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</si>
  <si>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</si>
  <si>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</si>
  <si>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</si>
  <si>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</si>
  <si>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</si>
  <si>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</si>
  <si>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</si>
  <si>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</si>
  <si>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</si>
  <si>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</si>
  <si>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</si>
  <si>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</si>
  <si>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</si>
  <si>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</si>
  <si>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</si>
  <si>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</si>
  <si>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</si>
  <si>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</si>
  <si>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</si>
  <si>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</si>
  <si>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</si>
  <si>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</si>
  <si>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</si>
  <si>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</si>
  <si>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</si>
  <si>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</si>
  <si>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</si>
  <si>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Hospital Operating Room</t>
  </si>
  <si>
    <t>Total Outpatient Surgical Procedures(A)</t>
  </si>
  <si>
    <t>Total Outpatient Endoscopy Procedures(B)</t>
  </si>
  <si>
    <t>Outpatient Hospital Emergency Room Visits</t>
  </si>
  <si>
    <t>Hospital Emergency Room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</si>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</sst>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2" xfId="6" applyBorder="1" applyAlignment="1"/>
    <xf numFmtId="0" fontId="2" fillId="0" borderId="32" xfId="6" applyFont="1" applyBorder="1" applyAlignment="1">
      <alignment horizontal="centerContinuous"/>
    </xf>
    <xf numFmtId="0" fontId="1" fillId="0" borderId="32" xfId="6" applyFont="1" applyBorder="1" applyAlignment="1">
      <alignment horizontal="centerContinuous"/>
    </xf>
    <xf numFmtId="0" fontId="1" fillId="0" borderId="32" xfId="6" applyFont="1" applyBorder="1" applyAlignment="1"/>
    <xf numFmtId="164" fontId="2" fillId="0" borderId="32" xfId="6" applyNumberFormat="1" applyFont="1" applyBorder="1" applyAlignment="1">
      <alignment horizontal="center"/>
    </xf>
    <xf numFmtId="0" fontId="1" fillId="0" borderId="32" xfId="6" applyFill="1" applyBorder="1" applyAlignment="1"/>
    <xf numFmtId="0" fontId="2" fillId="0" borderId="32" xfId="6" applyFont="1" applyFill="1" applyBorder="1" applyAlignment="1">
      <alignment horizontal="left"/>
    </xf>
    <xf numFmtId="0" fontId="2" fillId="0" borderId="32" xfId="6" applyFont="1" applyFill="1" applyBorder="1" applyAlignment="1">
      <alignment horizontal="centerContinuous"/>
    </xf>
    <xf numFmtId="164" fontId="3" fillId="0" borderId="32" xfId="6" applyNumberFormat="1" applyFont="1" applyBorder="1" applyAlignment="1">
      <alignment horizontal="center"/>
    </xf>
    <xf numFmtId="0" fontId="2" fillId="0" borderId="32" xfId="6" applyFont="1" applyFill="1" applyBorder="1" applyAlignment="1">
      <alignment horizontal="center"/>
    </xf>
    <xf numFmtId="0" fontId="1" fillId="0" borderId="32" xfId="6" applyFill="1" applyBorder="1" applyAlignment="1">
      <alignment horizontal="center"/>
    </xf>
    <xf numFmtId="0" fontId="4" fillId="0" borderId="32" xfId="6" applyFont="1" applyFill="1" applyBorder="1" applyAlignment="1">
      <alignment horizontal="center"/>
    </xf>
    <xf numFmtId="164" fontId="5" fillId="0" borderId="32" xfId="6" applyNumberFormat="1" applyFont="1" applyBorder="1" applyAlignment="1">
      <alignment horizontal="center" wrapText="1"/>
    </xf>
    <xf numFmtId="0" fontId="5" fillId="0" borderId="32" xfId="6" applyFont="1" applyFill="1" applyBorder="1" applyAlignment="1">
      <alignment horizontal="center"/>
    </xf>
    <xf numFmtId="0" fontId="4" fillId="0" borderId="32" xfId="6" applyFont="1" applyFill="1" applyBorder="1" applyAlignment="1">
      <alignment horizontal="left"/>
    </xf>
    <xf numFmtId="0" fontId="1" fillId="0" borderId="32" xfId="6" applyFont="1" applyFill="1" applyBorder="1" applyAlignment="1">
      <alignment horizontal="center"/>
    </xf>
    <xf numFmtId="0" fontId="1" fillId="0" borderId="32" xfId="6" applyFont="1" applyFill="1" applyBorder="1" applyAlignment="1"/>
    <xf numFmtId="0" fontId="1" fillId="0" borderId="32" xfId="6" applyFont="1" applyFill="1" applyBorder="1" applyAlignment="1">
      <alignment horizontal="center" wrapText="1"/>
    </xf>
    <xf numFmtId="0" fontId="3" fillId="0" borderId="32" xfId="6" applyFont="1" applyFill="1" applyBorder="1" applyAlignment="1">
      <alignment horizontal="center"/>
    </xf>
    <xf numFmtId="0" fontId="1" fillId="0" borderId="32" xfId="6" applyFont="1" applyBorder="1" applyAlignment="1">
      <alignment horizontal="center"/>
    </xf>
    <xf numFmtId="0" fontId="1" fillId="0" borderId="32" xfId="6" applyFont="1" applyBorder="1" applyAlignment="1">
      <alignment horizontal="left"/>
    </xf>
    <xf numFmtId="5" fontId="1" fillId="0" borderId="32" xfId="6" applyNumberFormat="1" applyFont="1" applyBorder="1" applyAlignment="1">
      <alignment horizontal="right"/>
    </xf>
    <xf numFmtId="9" fontId="1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center"/>
    </xf>
    <xf numFmtId="0" fontId="2" fillId="0" borderId="32" xfId="6" applyFont="1" applyBorder="1" applyAlignment="1">
      <alignment horizontal="left"/>
    </xf>
    <xf numFmtId="5" fontId="3" fillId="0" borderId="32" xfId="6" applyNumberFormat="1" applyFont="1" applyBorder="1" applyAlignment="1">
      <alignment horizontal="right"/>
    </xf>
    <xf numFmtId="9" fontId="3" fillId="0" borderId="32" xfId="6" applyNumberFormat="1" applyFont="1" applyBorder="1" applyAlignment="1">
      <alignment horizontal="right"/>
    </xf>
    <xf numFmtId="37" fontId="1" fillId="0" borderId="32" xfId="6" applyNumberFormat="1" applyFont="1" applyBorder="1" applyAlignment="1">
      <alignment horizontal="right"/>
    </xf>
    <xf numFmtId="0" fontId="3" fillId="0" borderId="32" xfId="6" applyFont="1" applyBorder="1" applyAlignment="1">
      <alignment horizontal="center"/>
    </xf>
    <xf numFmtId="0" fontId="5" fillId="0" borderId="32" xfId="6" applyFont="1" applyBorder="1" applyAlignment="1">
      <alignment horizontal="left"/>
    </xf>
    <xf numFmtId="37" fontId="1" fillId="0" borderId="32" xfId="6" applyNumberFormat="1" applyFont="1" applyBorder="1" applyAlignment="1"/>
    <xf numFmtId="0" fontId="1" fillId="0" borderId="32" xfId="6" applyBorder="1" applyAlignment="1">
      <alignment horizontal="left"/>
    </xf>
    <xf numFmtId="6" fontId="1" fillId="0" borderId="32" xfId="6" applyNumberFormat="1" applyBorder="1" applyAlignment="1">
      <alignment horizontal="right"/>
    </xf>
    <xf numFmtId="9" fontId="1" fillId="0" borderId="32" xfId="6" applyNumberFormat="1" applyBorder="1" applyAlignment="1">
      <alignment horizontal="right"/>
    </xf>
    <xf numFmtId="0" fontId="2" fillId="0" borderId="32" xfId="6" applyFont="1" applyBorder="1" applyAlignment="1">
      <alignment horizontal="center"/>
    </xf>
    <xf numFmtId="37" fontId="2" fillId="0" borderId="32" xfId="6" applyNumberFormat="1" applyFont="1" applyBorder="1" applyAlignment="1">
      <alignment horizontal="centerContinuous"/>
    </xf>
    <xf numFmtId="37" fontId="1" fillId="0" borderId="32" xfId="6" applyNumberFormat="1" applyFont="1" applyBorder="1" applyAlignment="1">
      <alignment horizontal="centerContinuous"/>
    </xf>
    <xf numFmtId="37" fontId="4" fillId="0" borderId="32" xfId="6" applyNumberFormat="1" applyFont="1" applyFill="1" applyBorder="1" applyAlignment="1">
      <alignment horizontal="center"/>
    </xf>
    <xf numFmtId="37" fontId="1" fillId="0" borderId="32" xfId="6" applyNumberFormat="1" applyFont="1" applyFill="1" applyBorder="1" applyAlignment="1"/>
    <xf numFmtId="37" fontId="1" fillId="0" borderId="32" xfId="6" applyNumberFormat="1" applyFont="1" applyFill="1" applyBorder="1" applyAlignment="1">
      <alignment horizontal="center"/>
    </xf>
    <xf numFmtId="0" fontId="4" fillId="0" borderId="32" xfId="6" applyFont="1" applyBorder="1" applyAlignment="1">
      <alignment horizontal="left"/>
    </xf>
    <xf numFmtId="37" fontId="3" fillId="0" borderId="32" xfId="6" applyNumberFormat="1" applyFont="1" applyBorder="1" applyAlignment="1">
      <alignment horizontal="right"/>
    </xf>
    <xf numFmtId="0" fontId="6" fillId="0" borderId="32" xfId="6" applyFont="1" applyFill="1" applyBorder="1" applyAlignment="1">
      <alignment horizontal="center"/>
    </xf>
    <xf numFmtId="0" fontId="6" fillId="0" borderId="32" xfId="6" applyFont="1" applyFill="1" applyBorder="1" applyAlignment="1">
      <alignment horizontal="left"/>
    </xf>
    <xf numFmtId="9" fontId="6" fillId="0" borderId="32" xfId="6" applyNumberFormat="1" applyFont="1" applyFill="1" applyBorder="1" applyAlignment="1">
      <alignment horizontal="right"/>
    </xf>
    <xf numFmtId="0" fontId="7" fillId="0" borderId="32" xfId="6" applyFont="1" applyBorder="1" applyAlignment="1"/>
    <xf numFmtId="0" fontId="3" fillId="0" borderId="32" xfId="6" applyFont="1" applyBorder="1"/>
    <xf numFmtId="0" fontId="6" fillId="0" borderId="32" xfId="6" applyFont="1" applyBorder="1" applyAlignment="1">
      <alignment horizontal="left"/>
    </xf>
    <xf numFmtId="37" fontId="6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left" wrapText="1"/>
    </xf>
    <xf numFmtId="5" fontId="6" fillId="0" borderId="32" xfId="6" applyNumberFormat="1" applyFont="1" applyBorder="1" applyAlignment="1">
      <alignment horizontal="right"/>
    </xf>
    <xf numFmtId="165" fontId="6" fillId="0" borderId="32" xfId="6" applyNumberFormat="1" applyFont="1" applyBorder="1" applyAlignment="1">
      <alignment horizontal="right"/>
    </xf>
    <xf numFmtId="165" fontId="3" fillId="0" borderId="32" xfId="6" applyNumberFormat="1" applyFont="1" applyBorder="1" applyAlignment="1">
      <alignment horizontal="right"/>
    </xf>
    <xf numFmtId="0" fontId="1" fillId="0" borderId="32" xfId="6" applyFont="1" applyBorder="1" applyAlignment="1">
      <alignment horizontal="right"/>
    </xf>
    <xf numFmtId="0" fontId="6" fillId="0" borderId="32" xfId="6" applyFont="1" applyBorder="1" applyAlignment="1"/>
    <xf numFmtId="0" fontId="8" fillId="0" borderId="0" xfId="7" applyBorder="1" applyAlignment="1"/>
    <xf numFmtId="164" fontId="3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right"/>
    </xf>
    <xf numFmtId="0" fontId="3" fillId="0" borderId="32" xfId="7" applyFont="1" applyBorder="1" applyAlignment="1"/>
    <xf numFmtId="164" fontId="3" fillId="0" borderId="32" xfId="7" applyNumberFormat="1" applyFont="1" applyBorder="1" applyAlignment="1">
      <alignment horizontal="center"/>
    </xf>
    <xf numFmtId="0" fontId="5" fillId="0" borderId="32" xfId="7" applyFont="1" applyBorder="1" applyAlignment="1">
      <alignment horizontal="right"/>
    </xf>
    <xf numFmtId="0" fontId="5" fillId="0" borderId="32" xfId="7" applyFont="1" applyBorder="1" applyAlignment="1"/>
    <xf numFmtId="164" fontId="5" fillId="0" borderId="32" xfId="7" applyNumberFormat="1" applyFont="1" applyBorder="1" applyAlignment="1">
      <alignment horizontal="center" wrapText="1"/>
    </xf>
    <xf numFmtId="6" fontId="5" fillId="0" borderId="32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3" xfId="7" applyFill="1" applyBorder="1" applyAlignment="1">
      <alignment horizontal="center"/>
    </xf>
    <xf numFmtId="0" fontId="6" fillId="0" borderId="32" xfId="7" applyFont="1" applyBorder="1" applyAlignment="1"/>
    <xf numFmtId="164" fontId="6" fillId="0" borderId="32" xfId="7" applyNumberFormat="1" applyFont="1" applyFill="1" applyBorder="1" applyAlignment="1">
      <alignment horizontal="center"/>
    </xf>
    <xf numFmtId="6" fontId="3" fillId="0" borderId="32" xfId="7" applyNumberFormat="1" applyFont="1" applyBorder="1" applyAlignment="1">
      <alignment horizontal="center"/>
    </xf>
    <xf numFmtId="0" fontId="8" fillId="0" borderId="32" xfId="7" applyBorder="1" applyAlignment="1"/>
    <xf numFmtId="0" fontId="3" fillId="0" borderId="32" xfId="7" applyFont="1" applyBorder="1" applyAlignment="1">
      <alignment horizontal="center"/>
    </xf>
    <xf numFmtId="0" fontId="5" fillId="0" borderId="32" xfId="7" applyFont="1" applyBorder="1" applyAlignment="1">
      <alignment horizontal="left"/>
    </xf>
    <xf numFmtId="6" fontId="6" fillId="0" borderId="32" xfId="7" applyNumberFormat="1" applyFont="1" applyBorder="1" applyAlignment="1">
      <alignment horizontal="center"/>
    </xf>
    <xf numFmtId="0" fontId="6" fillId="0" borderId="32" xfId="7" applyFont="1" applyBorder="1" applyAlignment="1">
      <alignment horizontal="center"/>
    </xf>
    <xf numFmtId="0" fontId="6" fillId="0" borderId="32" xfId="7" applyFont="1" applyBorder="1" applyAlignment="1">
      <alignment horizontal="left"/>
    </xf>
    <xf numFmtId="5" fontId="6" fillId="0" borderId="32" xfId="7" applyNumberFormat="1" applyFont="1" applyBorder="1" applyAlignment="1">
      <alignment horizontal="right"/>
    </xf>
    <xf numFmtId="9" fontId="6" fillId="0" borderId="32" xfId="7" applyNumberFormat="1" applyFont="1" applyBorder="1" applyAlignment="1">
      <alignment horizontal="right"/>
    </xf>
    <xf numFmtId="0" fontId="3" fillId="0" borderId="32" xfId="7" applyFont="1" applyBorder="1" applyAlignment="1">
      <alignment horizontal="left"/>
    </xf>
    <xf numFmtId="5" fontId="3" fillId="0" borderId="32" xfId="7" applyNumberFormat="1" applyFont="1" applyBorder="1" applyAlignment="1">
      <alignment horizontal="right"/>
    </xf>
    <xf numFmtId="9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 wrapText="1"/>
    </xf>
    <xf numFmtId="0" fontId="6" fillId="0" borderId="32" xfId="7" applyFont="1" applyFill="1" applyBorder="1" applyAlignment="1">
      <alignment horizontal="left" wrapText="1"/>
    </xf>
    <xf numFmtId="0" fontId="3" fillId="0" borderId="32" xfId="7" applyFont="1" applyFill="1" applyBorder="1" applyAlignment="1">
      <alignment horizontal="center"/>
    </xf>
    <xf numFmtId="0" fontId="6" fillId="0" borderId="32" xfId="7" applyFont="1" applyBorder="1" applyAlignment="1">
      <alignment horizontal="right"/>
    </xf>
    <xf numFmtId="0" fontId="6" fillId="0" borderId="32" xfId="7" applyFont="1" applyFill="1" applyBorder="1" applyAlignment="1">
      <alignment horizontal="center"/>
    </xf>
    <xf numFmtId="37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/>
    </xf>
    <xf numFmtId="165" fontId="3" fillId="0" borderId="32" xfId="7" applyNumberFormat="1" applyFont="1" applyBorder="1" applyAlignment="1">
      <alignment horizontal="right"/>
    </xf>
    <xf numFmtId="42" fontId="6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9" xfId="6" applyNumberFormat="1" applyFont="1" applyBorder="1" applyAlignment="1">
      <alignment horizontal="center"/>
    </xf>
    <xf numFmtId="164" fontId="5" fillId="0" borderId="9" xfId="6" applyNumberFormat="1" applyFont="1" applyBorder="1" applyAlignment="1">
      <alignment horizontal="left" wrapText="1"/>
    </xf>
    <xf numFmtId="5" fontId="6" fillId="0" borderId="9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center" vertical="center"/>
    </xf>
    <xf numFmtId="43" fontId="6" fillId="0" borderId="9" xfId="1" applyFont="1" applyBorder="1" applyProtection="1">
      <protection locked="0"/>
    </xf>
    <xf numFmtId="164" fontId="3" fillId="0" borderId="9" xfId="6" applyNumberFormat="1" applyFont="1" applyBorder="1" applyAlignment="1">
      <alignment horizontal="center" vertical="center"/>
    </xf>
    <xf numFmtId="164" fontId="3" fillId="0" borderId="9" xfId="6" applyNumberFormat="1" applyFont="1" applyBorder="1" applyAlignment="1">
      <alignment horizontal="left" wrapText="1"/>
    </xf>
    <xf numFmtId="5" fontId="3" fillId="0" borderId="9" xfId="6" applyNumberFormat="1" applyFont="1" applyBorder="1" applyAlignment="1">
      <alignment horizontal="right"/>
    </xf>
    <xf numFmtId="9" fontId="3" fillId="0" borderId="9" xfId="6" applyNumberFormat="1" applyFont="1" applyBorder="1" applyAlignment="1">
      <alignment horizontal="right"/>
    </xf>
    <xf numFmtId="164" fontId="3" fillId="0" borderId="9" xfId="6" applyNumberFormat="1" applyFont="1" applyBorder="1" applyAlignment="1">
      <alignment horizontal="right"/>
    </xf>
    <xf numFmtId="43" fontId="3" fillId="0" borderId="9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0" xfId="6" applyNumberFormat="1" applyFont="1" applyFill="1" applyBorder="1" applyAlignment="1">
      <alignment horizontal="center"/>
    </xf>
    <xf numFmtId="164" fontId="3" fillId="0" borderId="11" xfId="6" applyNumberFormat="1" applyFont="1" applyBorder="1" applyAlignment="1">
      <alignment horizontal="left"/>
    </xf>
    <xf numFmtId="5" fontId="3" fillId="0" borderId="10" xfId="6" applyNumberFormat="1" applyFont="1" applyBorder="1" applyAlignment="1">
      <alignment horizontal="right"/>
    </xf>
    <xf numFmtId="5" fontId="3" fillId="0" borderId="12" xfId="6" applyNumberFormat="1" applyFont="1" applyBorder="1" applyAlignment="1">
      <alignment horizontal="right"/>
    </xf>
    <xf numFmtId="9" fontId="3" fillId="0" borderId="12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right"/>
    </xf>
    <xf numFmtId="164" fontId="3" fillId="0" borderId="12" xfId="6" applyNumberFormat="1" applyFont="1" applyFill="1" applyBorder="1" applyAlignment="1">
      <alignment horizontal="center"/>
    </xf>
    <xf numFmtId="164" fontId="3" fillId="0" borderId="10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13" xfId="7" applyFont="1" applyBorder="1" applyAlignment="1">
      <alignment horizontal="center"/>
    </xf>
    <xf numFmtId="0" fontId="6" fillId="0" borderId="0" xfId="7" applyFont="1" applyBorder="1"/>
    <xf numFmtId="164" fontId="3" fillId="0" borderId="9" xfId="7" applyNumberFormat="1" applyFont="1" applyBorder="1" applyAlignment="1">
      <alignment horizontal="center"/>
    </xf>
    <xf numFmtId="164" fontId="3" fillId="0" borderId="14" xfId="7" applyNumberFormat="1" applyFont="1" applyBorder="1" applyAlignment="1">
      <alignment horizontal="center"/>
    </xf>
    <xf numFmtId="164" fontId="3" fillId="0" borderId="14" xfId="7" applyNumberFormat="1" applyFont="1" applyBorder="1" applyAlignment="1"/>
    <xf numFmtId="0" fontId="3" fillId="0" borderId="14" xfId="7" applyFont="1" applyBorder="1" applyAlignment="1">
      <alignment horizontal="center" wrapText="1"/>
    </xf>
    <xf numFmtId="164" fontId="3" fillId="0" borderId="14" xfId="7" applyNumberFormat="1" applyFont="1" applyBorder="1" applyAlignment="1">
      <alignment horizontal="center" wrapText="1"/>
    </xf>
    <xf numFmtId="164" fontId="5" fillId="0" borderId="14" xfId="7" applyNumberFormat="1" applyFont="1" applyBorder="1" applyAlignment="1">
      <alignment horizontal="center"/>
    </xf>
    <xf numFmtId="164" fontId="5" fillId="0" borderId="14" xfId="7" applyNumberFormat="1" applyFont="1" applyBorder="1" applyAlignment="1">
      <alignment horizontal="left"/>
    </xf>
    <xf numFmtId="164" fontId="5" fillId="0" borderId="14" xfId="7" applyNumberFormat="1" applyFont="1" applyBorder="1" applyAlignment="1">
      <alignment horizontal="center" wrapText="1"/>
    </xf>
    <xf numFmtId="0" fontId="5" fillId="0" borderId="14" xfId="7" applyFont="1" applyBorder="1" applyAlignment="1">
      <alignment horizontal="center" wrapText="1"/>
    </xf>
    <xf numFmtId="164" fontId="6" fillId="0" borderId="9" xfId="7" applyNumberFormat="1" applyFont="1" applyBorder="1" applyAlignment="1">
      <alignment horizontal="center"/>
    </xf>
    <xf numFmtId="0" fontId="5" fillId="0" borderId="9" xfId="7" applyNumberFormat="1" applyFont="1" applyBorder="1" applyAlignment="1">
      <alignment horizontal="left" wrapText="1"/>
    </xf>
    <xf numFmtId="164" fontId="6" fillId="0" borderId="9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horizontal="right"/>
    </xf>
    <xf numFmtId="0" fontId="6" fillId="0" borderId="9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9" xfId="7" applyFont="1" applyBorder="1" applyAlignment="1">
      <alignment horizontal="center"/>
    </xf>
    <xf numFmtId="0" fontId="5" fillId="0" borderId="9" xfId="7" applyNumberFormat="1" applyFont="1" applyBorder="1"/>
    <xf numFmtId="5" fontId="6" fillId="0" borderId="9" xfId="7" applyNumberFormat="1" applyFont="1" applyBorder="1" applyAlignment="1">
      <alignment horizontal="right"/>
    </xf>
    <xf numFmtId="5" fontId="3" fillId="0" borderId="9" xfId="7" applyNumberFormat="1" applyFont="1" applyBorder="1" applyAlignment="1">
      <alignment horizontal="right"/>
    </xf>
    <xf numFmtId="9" fontId="3" fillId="0" borderId="9" xfId="7" applyNumberFormat="1" applyFont="1" applyBorder="1" applyAlignment="1">
      <alignment horizontal="right"/>
    </xf>
    <xf numFmtId="0" fontId="6" fillId="0" borderId="9" xfId="2" applyNumberFormat="1" applyFont="1" applyBorder="1" applyProtection="1">
      <protection locked="0"/>
    </xf>
    <xf numFmtId="9" fontId="6" fillId="0" borderId="9" xfId="7" applyNumberFormat="1" applyFont="1" applyBorder="1" applyAlignment="1">
      <alignment horizontal="right"/>
    </xf>
    <xf numFmtId="0" fontId="3" fillId="0" borderId="9" xfId="7" applyNumberFormat="1" applyFont="1" applyBorder="1"/>
    <xf numFmtId="43" fontId="6" fillId="0" borderId="9" xfId="2" applyFont="1" applyBorder="1" applyProtection="1">
      <protection locked="0"/>
    </xf>
    <xf numFmtId="164" fontId="6" fillId="0" borderId="9" xfId="7" applyNumberFormat="1" applyFont="1" applyFill="1" applyBorder="1" applyAlignment="1">
      <alignment horizontal="center"/>
    </xf>
    <xf numFmtId="3" fontId="3" fillId="0" borderId="9" xfId="7" applyNumberFormat="1" applyFont="1" applyBorder="1" applyAlignment="1" applyProtection="1"/>
    <xf numFmtId="9" fontId="6" fillId="0" borderId="9" xfId="9" applyFont="1" applyBorder="1" applyAlignment="1">
      <alignment horizontal="right"/>
    </xf>
    <xf numFmtId="0" fontId="3" fillId="0" borderId="9" xfId="7" applyNumberFormat="1" applyFont="1" applyBorder="1" applyAlignment="1">
      <alignment horizontal="left"/>
    </xf>
    <xf numFmtId="164" fontId="9" fillId="0" borderId="9" xfId="7" applyNumberFormat="1" applyFont="1" applyBorder="1" applyAlignment="1">
      <alignment horizontal="center"/>
    </xf>
    <xf numFmtId="0" fontId="6" fillId="0" borderId="9" xfId="7" applyFont="1" applyBorder="1"/>
    <xf numFmtId="3" fontId="6" fillId="0" borderId="9" xfId="7" applyNumberFormat="1" applyFont="1" applyBorder="1" applyAlignment="1" applyProtection="1"/>
    <xf numFmtId="0" fontId="8" fillId="0" borderId="9" xfId="7" applyBorder="1"/>
    <xf numFmtId="0" fontId="6" fillId="0" borderId="0" xfId="7" applyFont="1" applyBorder="1" applyAlignment="1">
      <alignment horizontal="right"/>
    </xf>
    <xf numFmtId="0" fontId="1" fillId="0" borderId="32" xfId="7" applyFont="1" applyBorder="1" applyAlignment="1">
      <alignment horizontal="center"/>
    </xf>
    <xf numFmtId="0" fontId="2" fillId="0" borderId="32" xfId="7" applyFont="1" applyBorder="1" applyAlignment="1">
      <alignment horizontal="centerContinuous"/>
    </xf>
    <xf numFmtId="0" fontId="1" fillId="0" borderId="32" xfId="7" applyFont="1" applyBorder="1" applyAlignment="1">
      <alignment horizontal="centerContinuous"/>
    </xf>
    <xf numFmtId="0" fontId="1" fillId="0" borderId="32" xfId="7" applyFont="1" applyBorder="1" applyAlignment="1"/>
    <xf numFmtId="0" fontId="2" fillId="0" borderId="32" xfId="7" applyFont="1" applyBorder="1" applyAlignment="1">
      <alignment horizontal="center"/>
    </xf>
    <xf numFmtId="164" fontId="2" fillId="0" borderId="32" xfId="7" applyNumberFormat="1" applyFont="1" applyBorder="1" applyAlignment="1">
      <alignment horizontal="center"/>
    </xf>
    <xf numFmtId="0" fontId="2" fillId="0" borderId="32" xfId="7" applyFont="1" applyFill="1" applyBorder="1" applyAlignment="1">
      <alignment horizontal="center"/>
    </xf>
    <xf numFmtId="0" fontId="2" fillId="0" borderId="32" xfId="7" applyFont="1" applyFill="1" applyBorder="1" applyAlignment="1">
      <alignment horizontal="centerContinuous"/>
    </xf>
    <xf numFmtId="0" fontId="4" fillId="0" borderId="32" xfId="7" applyFont="1" applyFill="1" applyBorder="1" applyAlignment="1">
      <alignment horizontal="center"/>
    </xf>
    <xf numFmtId="0" fontId="4" fillId="0" borderId="32" xfId="7" applyFont="1" applyFill="1" applyBorder="1" applyAlignment="1">
      <alignment horizontal="left"/>
    </xf>
    <xf numFmtId="5" fontId="1" fillId="0" borderId="32" xfId="7" applyNumberFormat="1" applyFont="1" applyBorder="1" applyAlignment="1"/>
    <xf numFmtId="0" fontId="6" fillId="0" borderId="34" xfId="7" applyFont="1" applyFill="1" applyBorder="1" applyAlignment="1">
      <alignment horizontal="left"/>
    </xf>
    <xf numFmtId="37" fontId="6" fillId="0" borderId="32" xfId="7" applyNumberFormat="1" applyFont="1" applyBorder="1" applyAlignment="1">
      <alignment horizontal="right"/>
    </xf>
    <xf numFmtId="0" fontId="6" fillId="0" borderId="34" xfId="7" applyFont="1" applyBorder="1" applyAlignment="1">
      <alignment horizontal="left"/>
    </xf>
    <xf numFmtId="166" fontId="6" fillId="0" borderId="32" xfId="7" applyNumberFormat="1" applyFont="1" applyBorder="1" applyAlignment="1">
      <alignment horizontal="right"/>
    </xf>
    <xf numFmtId="166" fontId="3" fillId="0" borderId="32" xfId="7" applyNumberFormat="1" applyFont="1" applyBorder="1" applyAlignment="1">
      <alignment horizontal="right"/>
    </xf>
    <xf numFmtId="10" fontId="6" fillId="0" borderId="32" xfId="7" applyNumberFormat="1" applyFont="1" applyBorder="1" applyAlignment="1">
      <alignment horizontal="right"/>
    </xf>
    <xf numFmtId="0" fontId="8" fillId="0" borderId="32" xfId="7" applyBorder="1"/>
    <xf numFmtId="0" fontId="4" fillId="0" borderId="32" xfId="7" applyFont="1" applyBorder="1" applyAlignment="1">
      <alignment horizontal="left"/>
    </xf>
    <xf numFmtId="0" fontId="1" fillId="0" borderId="32" xfId="7" applyFont="1" applyBorder="1" applyAlignment="1">
      <alignment horizontal="left"/>
    </xf>
    <xf numFmtId="167" fontId="6" fillId="0" borderId="32" xfId="7" applyNumberFormat="1" applyFont="1" applyBorder="1" applyAlignment="1">
      <alignment horizontal="right"/>
    </xf>
    <xf numFmtId="0" fontId="2" fillId="0" borderId="32" xfId="7" applyFont="1" applyBorder="1" applyAlignment="1">
      <alignment horizontal="left"/>
    </xf>
    <xf numFmtId="43" fontId="3" fillId="0" borderId="32" xfId="7" applyNumberFormat="1" applyFont="1" applyBorder="1" applyAlignment="1">
      <alignment horizontal="right"/>
    </xf>
    <xf numFmtId="5" fontId="1" fillId="0" borderId="32" xfId="7" applyNumberFormat="1" applyFont="1" applyBorder="1" applyAlignment="1">
      <alignment horizontal="right"/>
    </xf>
    <xf numFmtId="39" fontId="3" fillId="0" borderId="32" xfId="7" applyNumberFormat="1" applyFont="1" applyBorder="1" applyAlignment="1">
      <alignment horizontal="right"/>
    </xf>
    <xf numFmtId="4" fontId="3" fillId="0" borderId="32" xfId="7" applyNumberFormat="1" applyFont="1" applyBorder="1" applyAlignment="1">
      <alignment horizontal="right"/>
    </xf>
    <xf numFmtId="165" fontId="6" fillId="0" borderId="32" xfId="7" applyNumberFormat="1" applyFont="1" applyFill="1" applyBorder="1" applyAlignment="1">
      <alignment horizontal="right"/>
    </xf>
    <xf numFmtId="0" fontId="10" fillId="0" borderId="32" xfId="7" applyFont="1" applyBorder="1" applyAlignment="1">
      <alignment horizontal="left"/>
    </xf>
    <xf numFmtId="165" fontId="6" fillId="0" borderId="32" xfId="7" applyNumberFormat="1" applyFont="1" applyBorder="1" applyAlignment="1">
      <alignment horizontal="right"/>
    </xf>
    <xf numFmtId="167" fontId="3" fillId="0" borderId="32" xfId="7" applyNumberFormat="1" applyFont="1" applyFill="1" applyBorder="1" applyAlignment="1">
      <alignment horizontal="right"/>
    </xf>
    <xf numFmtId="164" fontId="3" fillId="0" borderId="32" xfId="7" applyNumberFormat="1" applyFont="1" applyBorder="1" applyAlignment="1">
      <alignment horizontal="right"/>
    </xf>
    <xf numFmtId="5" fontId="6" fillId="0" borderId="32" xfId="7" applyNumberFormat="1" applyFont="1" applyBorder="1" applyAlignment="1"/>
    <xf numFmtId="0" fontId="1" fillId="0" borderId="34" xfId="7" applyFont="1" applyBorder="1" applyAlignment="1">
      <alignment horizontal="left"/>
    </xf>
    <xf numFmtId="37" fontId="6" fillId="0" borderId="32" xfId="7" applyNumberFormat="1" applyFont="1" applyBorder="1" applyAlignment="1"/>
    <xf numFmtId="0" fontId="2" fillId="0" borderId="32" xfId="7" applyFont="1" applyFill="1" applyBorder="1" applyAlignment="1">
      <alignment horizontal="left"/>
    </xf>
    <xf numFmtId="5" fontId="3" fillId="0" borderId="32" xfId="7" applyNumberFormat="1" applyFont="1" applyBorder="1" applyAlignment="1"/>
    <xf numFmtId="165" fontId="3" fillId="0" borderId="32" xfId="7" applyNumberFormat="1" applyFont="1" applyBorder="1" applyAlignment="1"/>
    <xf numFmtId="0" fontId="5" fillId="0" borderId="32" xfId="7" applyFont="1" applyFill="1" applyBorder="1" applyAlignment="1">
      <alignment horizontal="left"/>
    </xf>
    <xf numFmtId="0" fontId="1" fillId="0" borderId="32" xfId="7" applyFont="1" applyFill="1" applyBorder="1" applyAlignment="1">
      <alignment horizontal="left"/>
    </xf>
    <xf numFmtId="165" fontId="1" fillId="0" borderId="32" xfId="7" applyNumberFormat="1" applyFont="1" applyBorder="1" applyAlignment="1"/>
    <xf numFmtId="42" fontId="6" fillId="0" borderId="32" xfId="7" applyNumberFormat="1" applyFont="1" applyBorder="1" applyAlignment="1">
      <alignment horizontal="right"/>
    </xf>
    <xf numFmtId="168" fontId="3" fillId="0" borderId="32" xfId="7" applyNumberFormat="1" applyFont="1" applyBorder="1" applyAlignment="1">
      <alignment horizontal="right"/>
    </xf>
    <xf numFmtId="1" fontId="3" fillId="0" borderId="32" xfId="7" applyNumberFormat="1" applyFont="1" applyBorder="1" applyAlignment="1">
      <alignment horizontal="right"/>
    </xf>
    <xf numFmtId="165" fontId="6" fillId="0" borderId="32" xfId="7" applyNumberFormat="1" applyFont="1" applyBorder="1" applyAlignment="1"/>
    <xf numFmtId="0" fontId="1" fillId="0" borderId="32" xfId="7" applyFont="1" applyFill="1" applyBorder="1" applyAlignment="1">
      <alignment horizontal="center"/>
    </xf>
    <xf numFmtId="41" fontId="6" fillId="0" borderId="32" xfId="7" applyNumberFormat="1" applyFont="1" applyBorder="1" applyAlignment="1">
      <alignment horizontal="right"/>
    </xf>
    <xf numFmtId="168" fontId="6" fillId="0" borderId="32" xfId="7" applyNumberFormat="1" applyFont="1" applyBorder="1" applyAlignment="1">
      <alignment horizontal="right"/>
    </xf>
    <xf numFmtId="0" fontId="8" fillId="0" borderId="32" xfId="7" applyFill="1" applyBorder="1" applyAlignment="1"/>
    <xf numFmtId="0" fontId="8" fillId="0" borderId="32" xfId="7" applyFill="1" applyBorder="1" applyAlignment="1">
      <alignment horizontal="center"/>
    </xf>
    <xf numFmtId="0" fontId="11" fillId="0" borderId="32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2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15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17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9" xfId="6" applyFont="1" applyBorder="1" applyAlignment="1">
      <alignment horizontal="center" vertical="center"/>
    </xf>
    <xf numFmtId="0" fontId="12" fillId="0" borderId="9" xfId="6" applyFont="1" applyBorder="1" applyAlignment="1">
      <alignment horizontal="left" vertical="center"/>
    </xf>
    <xf numFmtId="164" fontId="12" fillId="0" borderId="9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18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9" xfId="6" applyNumberFormat="1" applyFont="1" applyBorder="1" applyAlignment="1">
      <alignment horizontal="center"/>
    </xf>
    <xf numFmtId="0" fontId="13" fillId="0" borderId="9" xfId="6" applyFont="1" applyBorder="1"/>
    <xf numFmtId="5" fontId="13" fillId="0" borderId="9" xfId="6" applyNumberFormat="1" applyFont="1" applyBorder="1" applyAlignment="1">
      <alignment horizontal="right"/>
    </xf>
    <xf numFmtId="9" fontId="13" fillId="0" borderId="9" xfId="10" applyNumberFormat="1" applyFont="1" applyBorder="1" applyAlignment="1">
      <alignment horizontal="right"/>
    </xf>
    <xf numFmtId="37" fontId="13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left"/>
    </xf>
    <xf numFmtId="5" fontId="12" fillId="0" borderId="9" xfId="6" applyNumberFormat="1" applyFont="1" applyBorder="1" applyAlignment="1">
      <alignment horizontal="right"/>
    </xf>
    <xf numFmtId="9" fontId="12" fillId="0" borderId="9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9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9" xfId="6" applyFont="1" applyBorder="1" applyAlignment="1">
      <alignment horizontal="center"/>
    </xf>
    <xf numFmtId="0" fontId="12" fillId="0" borderId="9" xfId="6" applyFont="1" applyBorder="1" applyAlignment="1">
      <alignment wrapText="1"/>
    </xf>
    <xf numFmtId="9" fontId="12" fillId="0" borderId="9" xfId="10" applyFont="1" applyBorder="1" applyAlignment="1">
      <alignment horizontal="right"/>
    </xf>
    <xf numFmtId="37" fontId="12" fillId="0" borderId="9" xfId="6" applyNumberFormat="1" applyFont="1" applyFill="1" applyBorder="1" applyAlignment="1">
      <alignment horizontal="right"/>
    </xf>
    <xf numFmtId="164" fontId="12" fillId="0" borderId="16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9" xfId="6" applyNumberFormat="1" applyFont="1" applyFill="1" applyBorder="1" applyAlignment="1">
      <alignment horizontal="left"/>
    </xf>
    <xf numFmtId="164" fontId="12" fillId="3" borderId="20" xfId="6" applyNumberFormat="1" applyFont="1" applyFill="1" applyBorder="1" applyAlignment="1">
      <alignment horizontal="center" wrapText="1"/>
    </xf>
    <xf numFmtId="164" fontId="12" fillId="3" borderId="21" xfId="6" applyNumberFormat="1" applyFont="1" applyFill="1" applyBorder="1" applyAlignment="1">
      <alignment horizontal="center" wrapText="1"/>
    </xf>
    <xf numFmtId="9" fontId="12" fillId="3" borderId="19" xfId="10" applyFont="1" applyFill="1" applyBorder="1" applyAlignment="1">
      <alignment horizontal="center" wrapText="1"/>
    </xf>
    <xf numFmtId="0" fontId="15" fillId="0" borderId="9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9" xfId="6" applyNumberFormat="1" applyFont="1" applyFill="1" applyBorder="1" applyAlignment="1">
      <alignment horizontal="left" wrapText="1"/>
    </xf>
    <xf numFmtId="0" fontId="12" fillId="0" borderId="9" xfId="6" applyFont="1" applyBorder="1" applyAlignment="1">
      <alignment horizontal="center" vertical="center"/>
    </xf>
    <xf numFmtId="0" fontId="12" fillId="0" borderId="9" xfId="6" applyFont="1" applyFill="1" applyBorder="1" applyAlignment="1">
      <alignment wrapText="1"/>
    </xf>
    <xf numFmtId="37" fontId="12" fillId="0" borderId="9" xfId="1" applyNumberFormat="1" applyFont="1" applyBorder="1" applyAlignment="1">
      <alignment horizontal="right"/>
    </xf>
    <xf numFmtId="0" fontId="1" fillId="0" borderId="32" xfId="6" applyBorder="1" applyAlignment="1">
      <alignment wrapText="1"/>
    </xf>
    <xf numFmtId="0" fontId="2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wrapText="1"/>
    </xf>
    <xf numFmtId="164" fontId="2" fillId="0" borderId="32" xfId="6" applyNumberFormat="1" applyFont="1" applyBorder="1" applyAlignment="1">
      <alignment horizontal="center" wrapText="1"/>
    </xf>
    <xf numFmtId="0" fontId="1" fillId="0" borderId="32" xfId="6" applyFill="1" applyBorder="1" applyAlignment="1">
      <alignment wrapText="1"/>
    </xf>
    <xf numFmtId="0" fontId="2" fillId="0" borderId="32" xfId="6" applyFont="1" applyFill="1" applyBorder="1" applyAlignment="1">
      <alignment horizontal="left" wrapText="1"/>
    </xf>
    <xf numFmtId="0" fontId="2" fillId="0" borderId="32" xfId="6" applyFont="1" applyFill="1" applyBorder="1" applyAlignment="1">
      <alignment horizontal="centerContinuous" wrapText="1"/>
    </xf>
    <xf numFmtId="164" fontId="3" fillId="0" borderId="32" xfId="6" applyNumberFormat="1" applyFont="1" applyBorder="1" applyAlignment="1">
      <alignment horizontal="center" wrapText="1"/>
    </xf>
    <xf numFmtId="0" fontId="2" fillId="0" borderId="32" xfId="6" applyFont="1" applyFill="1" applyBorder="1" applyAlignment="1">
      <alignment horizontal="center" wrapText="1"/>
    </xf>
    <xf numFmtId="0" fontId="1" fillId="0" borderId="32" xfId="6" applyFill="1" applyBorder="1" applyAlignment="1">
      <alignment horizontal="center" wrapText="1"/>
    </xf>
    <xf numFmtId="0" fontId="4" fillId="0" borderId="32" xfId="6" applyFont="1" applyFill="1" applyBorder="1" applyAlignment="1">
      <alignment horizontal="center" wrapText="1"/>
    </xf>
    <xf numFmtId="0" fontId="5" fillId="0" borderId="32" xfId="6" applyFont="1" applyFill="1" applyBorder="1" applyAlignment="1">
      <alignment horizontal="center" wrapText="1"/>
    </xf>
    <xf numFmtId="0" fontId="4" fillId="0" borderId="32" xfId="6" applyFont="1" applyFill="1" applyBorder="1" applyAlignment="1">
      <alignment horizontal="left" wrapText="1"/>
    </xf>
    <xf numFmtId="0" fontId="1" fillId="0" borderId="32" xfId="6" applyFont="1" applyFill="1" applyBorder="1" applyAlignment="1">
      <alignment wrapText="1"/>
    </xf>
    <xf numFmtId="0" fontId="3" fillId="0" borderId="32" xfId="6" applyFont="1" applyFill="1" applyBorder="1" applyAlignment="1">
      <alignment horizontal="center" wrapText="1"/>
    </xf>
    <xf numFmtId="0" fontId="1" fillId="0" borderId="32" xfId="6" applyFont="1" applyBorder="1" applyAlignment="1">
      <alignment horizontal="center" wrapText="1"/>
    </xf>
    <xf numFmtId="0" fontId="1" fillId="0" borderId="32" xfId="6" applyFont="1" applyBorder="1" applyAlignment="1">
      <alignment horizontal="left" wrapText="1"/>
    </xf>
    <xf numFmtId="9" fontId="1" fillId="0" borderId="32" xfId="6" applyNumberFormat="1" applyFont="1" applyBorder="1" applyAlignment="1">
      <alignment horizontal="right" wrapText="1"/>
    </xf>
    <xf numFmtId="0" fontId="6" fillId="0" borderId="32" xfId="6" applyFont="1" applyBorder="1" applyAlignment="1">
      <alignment horizontal="center" wrapText="1"/>
    </xf>
    <xf numFmtId="0" fontId="2" fillId="0" borderId="32" xfId="6" applyFont="1" applyBorder="1" applyAlignment="1">
      <alignment horizontal="left" wrapText="1"/>
    </xf>
    <xf numFmtId="5" fontId="3" fillId="0" borderId="32" xfId="6" applyNumberFormat="1" applyFont="1" applyBorder="1" applyAlignment="1">
      <alignment horizontal="right" wrapText="1"/>
    </xf>
    <xf numFmtId="9" fontId="3" fillId="0" borderId="32" xfId="6" applyNumberFormat="1" applyFont="1" applyBorder="1" applyAlignment="1">
      <alignment horizontal="right" wrapText="1"/>
    </xf>
    <xf numFmtId="37" fontId="1" fillId="0" borderId="32" xfId="6" applyNumberFormat="1" applyFont="1" applyBorder="1" applyAlignment="1">
      <alignment horizontal="right" wrapText="1"/>
    </xf>
    <xf numFmtId="0" fontId="3" fillId="0" borderId="32" xfId="6" applyFont="1" applyBorder="1" applyAlignment="1">
      <alignment horizontal="center" wrapText="1"/>
    </xf>
    <xf numFmtId="0" fontId="5" fillId="0" borderId="32" xfId="6" applyFont="1" applyBorder="1" applyAlignment="1">
      <alignment horizontal="left" wrapText="1"/>
    </xf>
    <xf numFmtId="0" fontId="1" fillId="0" borderId="32" xfId="6" applyBorder="1" applyAlignment="1">
      <alignment horizontal="left" wrapText="1"/>
    </xf>
    <xf numFmtId="6" fontId="1" fillId="0" borderId="32" xfId="6" applyNumberFormat="1" applyBorder="1" applyAlignment="1">
      <alignment horizontal="right" wrapText="1"/>
    </xf>
    <xf numFmtId="9" fontId="1" fillId="0" borderId="32" xfId="6" applyNumberFormat="1" applyBorder="1" applyAlignment="1">
      <alignment horizontal="right" wrapText="1"/>
    </xf>
    <xf numFmtId="0" fontId="2" fillId="0" borderId="32" xfId="6" applyFont="1" applyBorder="1" applyAlignment="1">
      <alignment horizontal="center" wrapText="1"/>
    </xf>
    <xf numFmtId="0" fontId="4" fillId="0" borderId="32" xfId="6" applyFont="1" applyBorder="1" applyAlignment="1">
      <alignment horizontal="left" wrapText="1"/>
    </xf>
    <xf numFmtId="0" fontId="6" fillId="0" borderId="32" xfId="6" applyFont="1" applyFill="1" applyBorder="1" applyAlignment="1">
      <alignment horizontal="center" wrapText="1"/>
    </xf>
    <xf numFmtId="0" fontId="6" fillId="0" borderId="32" xfId="6" applyFont="1" applyFill="1" applyBorder="1" applyAlignment="1">
      <alignment horizontal="left" wrapText="1"/>
    </xf>
    <xf numFmtId="9" fontId="6" fillId="0" borderId="32" xfId="6" applyNumberFormat="1" applyFont="1" applyFill="1" applyBorder="1" applyAlignment="1">
      <alignment horizontal="right" wrapText="1"/>
    </xf>
    <xf numFmtId="0" fontId="16" fillId="0" borderId="32" xfId="6" applyFont="1" applyBorder="1" applyAlignment="1">
      <alignment wrapText="1"/>
    </xf>
    <xf numFmtId="5" fontId="6" fillId="0" borderId="32" xfId="6" applyNumberFormat="1" applyFont="1" applyBorder="1" applyAlignment="1">
      <alignment horizontal="right" wrapText="1"/>
    </xf>
    <xf numFmtId="165" fontId="6" fillId="0" borderId="32" xfId="6" applyNumberFormat="1" applyFont="1" applyBorder="1" applyAlignment="1">
      <alignment horizontal="right" wrapText="1"/>
    </xf>
    <xf numFmtId="165" fontId="3" fillId="0" borderId="32" xfId="6" applyNumberFormat="1" applyFont="1" applyBorder="1" applyAlignment="1">
      <alignment horizontal="right" wrapText="1"/>
    </xf>
    <xf numFmtId="0" fontId="1" fillId="0" borderId="32" xfId="6" applyFont="1" applyBorder="1" applyAlignment="1">
      <alignment horizontal="right" wrapText="1"/>
    </xf>
    <xf numFmtId="0" fontId="11" fillId="0" borderId="32" xfId="6" applyFont="1" applyBorder="1" applyAlignment="1">
      <alignment wrapText="1"/>
    </xf>
    <xf numFmtId="164" fontId="5" fillId="0" borderId="32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2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5" xfId="7" applyFont="1" applyFill="1" applyBorder="1" applyAlignment="1">
      <alignment horizontal="center"/>
    </xf>
    <xf numFmtId="0" fontId="3" fillId="2" borderId="32" xfId="7" applyFont="1" applyFill="1" applyBorder="1" applyAlignment="1">
      <alignment horizontal="center"/>
    </xf>
    <xf numFmtId="0" fontId="4" fillId="2" borderId="32" xfId="7" applyFont="1" applyFill="1" applyBorder="1" applyAlignment="1">
      <alignment horizontal="left"/>
    </xf>
    <xf numFmtId="5" fontId="3" fillId="2" borderId="32" xfId="7" applyNumberFormat="1" applyFont="1" applyFill="1" applyBorder="1" applyAlignment="1">
      <alignment horizontal="right"/>
    </xf>
    <xf numFmtId="165" fontId="3" fillId="2" borderId="32" xfId="7" applyNumberFormat="1" applyFont="1" applyFill="1" applyBorder="1" applyAlignment="1">
      <alignment horizontal="right"/>
    </xf>
    <xf numFmtId="0" fontId="5" fillId="2" borderId="32" xfId="7" applyFont="1" applyFill="1" applyBorder="1" applyAlignment="1">
      <alignment horizontal="left"/>
    </xf>
    <xf numFmtId="43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center"/>
    </xf>
    <xf numFmtId="0" fontId="6" fillId="2" borderId="32" xfId="7" applyFont="1" applyFill="1" applyBorder="1" applyAlignment="1">
      <alignment horizontal="left" wrapText="1"/>
    </xf>
    <xf numFmtId="5" fontId="6" fillId="2" borderId="32" xfId="7" applyNumberFormat="1" applyFont="1" applyFill="1" applyBorder="1" applyAlignment="1"/>
    <xf numFmtId="0" fontId="2" fillId="2" borderId="32" xfId="7" applyFont="1" applyFill="1" applyBorder="1" applyAlignment="1">
      <alignment horizontal="left"/>
    </xf>
    <xf numFmtId="164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left"/>
    </xf>
    <xf numFmtId="5" fontId="1" fillId="2" borderId="32" xfId="7" applyNumberFormat="1" applyFont="1" applyFill="1" applyBorder="1" applyAlignment="1"/>
    <xf numFmtId="0" fontId="1" fillId="2" borderId="34" xfId="7" applyFont="1" applyFill="1" applyBorder="1" applyAlignment="1">
      <alignment horizontal="left"/>
    </xf>
    <xf numFmtId="0" fontId="8" fillId="2" borderId="32" xfId="7" applyFill="1" applyBorder="1"/>
    <xf numFmtId="5" fontId="3" fillId="2" borderId="32" xfId="7" applyNumberFormat="1" applyFont="1" applyFill="1" applyBorder="1" applyAlignment="1"/>
    <xf numFmtId="165" fontId="3" fillId="2" borderId="32" xfId="7" applyNumberFormat="1" applyFont="1" applyFill="1" applyBorder="1" applyAlignment="1"/>
    <xf numFmtId="1" fontId="3" fillId="2" borderId="32" xfId="7" applyNumberFormat="1" applyFont="1" applyFill="1" applyBorder="1" applyAlignment="1"/>
    <xf numFmtId="42" fontId="1" fillId="2" borderId="32" xfId="7" applyNumberFormat="1" applyFont="1" applyFill="1" applyBorder="1" applyAlignment="1"/>
    <xf numFmtId="42" fontId="6" fillId="2" borderId="32" xfId="7" applyNumberFormat="1" applyFont="1" applyFill="1" applyBorder="1" applyAlignment="1"/>
    <xf numFmtId="5" fontId="6" fillId="2" borderId="32" xfId="7" applyNumberFormat="1" applyFont="1" applyFill="1" applyBorder="1" applyAlignment="1">
      <alignment horizontal="right"/>
    </xf>
    <xf numFmtId="42" fontId="6" fillId="2" borderId="32" xfId="7" applyNumberFormat="1" applyFont="1" applyFill="1" applyBorder="1" applyAlignment="1">
      <alignment horizontal="right"/>
    </xf>
    <xf numFmtId="1" fontId="3" fillId="2" borderId="32" xfId="7" applyNumberFormat="1" applyFont="1" applyFill="1" applyBorder="1" applyAlignment="1">
      <alignment horizontal="right"/>
    </xf>
    <xf numFmtId="165" fontId="6" fillId="2" borderId="32" xfId="7" applyNumberFormat="1" applyFont="1" applyFill="1" applyBorder="1" applyAlignment="1">
      <alignment horizontal="right"/>
    </xf>
    <xf numFmtId="168" fontId="3" fillId="2" borderId="32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2" xfId="7" applyNumberFormat="1" applyFont="1" applyFill="1" applyBorder="1" applyAlignment="1"/>
    <xf numFmtId="0" fontId="1" fillId="0" borderId="13" xfId="7" applyFont="1" applyBorder="1" applyAlignment="1">
      <alignment horizontal="center"/>
    </xf>
    <xf numFmtId="164" fontId="2" fillId="0" borderId="9" xfId="7" applyNumberFormat="1" applyFont="1" applyBorder="1" applyAlignment="1"/>
    <xf numFmtId="164" fontId="2" fillId="0" borderId="9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13" xfId="7" applyFont="1" applyBorder="1" applyAlignment="1">
      <alignment horizontal="center"/>
    </xf>
    <xf numFmtId="164" fontId="5" fillId="0" borderId="9" xfId="7" applyNumberFormat="1" applyFont="1" applyFill="1" applyBorder="1" applyAlignment="1"/>
    <xf numFmtId="164" fontId="5" fillId="0" borderId="9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9" xfId="7" applyNumberFormat="1" applyFont="1" applyBorder="1" applyAlignment="1">
      <alignment horizontal="center"/>
    </xf>
    <xf numFmtId="0" fontId="6" fillId="0" borderId="13" xfId="7" applyFont="1" applyBorder="1" applyAlignment="1">
      <alignment horizontal="center"/>
    </xf>
    <xf numFmtId="164" fontId="6" fillId="0" borderId="9" xfId="7" applyNumberFormat="1" applyFont="1" applyBorder="1" applyAlignment="1"/>
    <xf numFmtId="3" fontId="1" fillId="0" borderId="9" xfId="7" applyNumberFormat="1" applyFont="1" applyBorder="1" applyAlignment="1">
      <alignment horizontal="right"/>
    </xf>
    <xf numFmtId="1" fontId="1" fillId="0" borderId="9" xfId="7" applyNumberFormat="1" applyFont="1" applyBorder="1" applyAlignment="1">
      <alignment horizontal="right"/>
    </xf>
    <xf numFmtId="167" fontId="1" fillId="0" borderId="9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9" xfId="7" applyNumberFormat="1" applyFont="1" applyBorder="1" applyAlignment="1"/>
    <xf numFmtId="3" fontId="3" fillId="0" borderId="9" xfId="7" applyNumberFormat="1" applyFont="1" applyBorder="1" applyAlignment="1">
      <alignment horizontal="right"/>
    </xf>
    <xf numFmtId="167" fontId="3" fillId="0" borderId="9" xfId="9" applyNumberFormat="1" applyFont="1" applyBorder="1" applyAlignment="1">
      <alignment horizontal="right"/>
    </xf>
    <xf numFmtId="164" fontId="1" fillId="0" borderId="9" xfId="7" applyNumberFormat="1" applyFont="1" applyBorder="1" applyAlignment="1"/>
    <xf numFmtId="3" fontId="2" fillId="0" borderId="9" xfId="7" applyNumberFormat="1" applyFont="1" applyBorder="1" applyAlignment="1">
      <alignment horizontal="right"/>
    </xf>
    <xf numFmtId="167" fontId="2" fillId="0" borderId="9" xfId="9" applyNumberFormat="1" applyFont="1" applyBorder="1" applyAlignment="1">
      <alignment horizontal="right"/>
    </xf>
    <xf numFmtId="1" fontId="2" fillId="0" borderId="9" xfId="7" applyNumberFormat="1" applyFont="1" applyBorder="1" applyAlignment="1">
      <alignment horizontal="right"/>
    </xf>
    <xf numFmtId="167" fontId="2" fillId="0" borderId="9" xfId="7" applyNumberFormat="1" applyFont="1" applyBorder="1" applyAlignment="1">
      <alignment horizontal="right"/>
    </xf>
    <xf numFmtId="37" fontId="2" fillId="0" borderId="9" xfId="7" applyNumberFormat="1" applyFont="1" applyBorder="1" applyAlignment="1">
      <alignment horizontal="right"/>
    </xf>
    <xf numFmtId="9" fontId="2" fillId="0" borderId="9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wrapText="1"/>
    </xf>
    <xf numFmtId="37" fontId="3" fillId="0" borderId="9" xfId="2" applyNumberFormat="1" applyFont="1" applyBorder="1" applyAlignment="1">
      <alignment horizontal="right"/>
    </xf>
    <xf numFmtId="3" fontId="3" fillId="0" borderId="9" xfId="2" applyNumberFormat="1" applyFont="1" applyBorder="1" applyAlignment="1">
      <alignment horizontal="right"/>
    </xf>
    <xf numFmtId="9" fontId="3" fillId="0" borderId="9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20" xfId="7" applyFont="1" applyBorder="1" applyAlignment="1">
      <alignment horizontal="center"/>
    </xf>
    <xf numFmtId="164" fontId="5" fillId="0" borderId="9" xfId="7" applyNumberFormat="1" applyFont="1" applyBorder="1" applyAlignment="1">
      <alignment wrapText="1"/>
    </xf>
    <xf numFmtId="164" fontId="4" fillId="0" borderId="9" xfId="7" applyNumberFormat="1" applyFont="1" applyBorder="1" applyAlignment="1">
      <alignment horizontal="center"/>
    </xf>
    <xf numFmtId="164" fontId="6" fillId="0" borderId="9" xfId="7" applyNumberFormat="1" applyFont="1" applyBorder="1" applyAlignment="1">
      <alignment wrapText="1"/>
    </xf>
    <xf numFmtId="3" fontId="1" fillId="0" borderId="9" xfId="2" applyNumberFormat="1" applyFont="1" applyBorder="1" applyAlignment="1">
      <alignment horizontal="right"/>
    </xf>
    <xf numFmtId="9" fontId="1" fillId="0" borderId="9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9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9" xfId="7" applyNumberFormat="1" applyFont="1" applyBorder="1" applyAlignment="1">
      <alignment horizontal="right"/>
    </xf>
    <xf numFmtId="3" fontId="6" fillId="0" borderId="9" xfId="2" applyNumberFormat="1" applyFont="1" applyBorder="1" applyAlignment="1">
      <alignment horizontal="right"/>
    </xf>
    <xf numFmtId="170" fontId="1" fillId="0" borderId="9" xfId="7" applyNumberFormat="1" applyFont="1" applyBorder="1" applyAlignment="1">
      <alignment horizontal="right"/>
    </xf>
    <xf numFmtId="170" fontId="1" fillId="0" borderId="9" xfId="2" applyNumberFormat="1" applyFont="1" applyBorder="1" applyAlignment="1">
      <alignment horizontal="right"/>
    </xf>
    <xf numFmtId="170" fontId="3" fillId="0" borderId="9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9" xfId="8" applyFont="1" applyBorder="1" applyAlignment="1" applyProtection="1">
      <alignment horizontal="left"/>
      <protection locked="0"/>
    </xf>
    <xf numFmtId="0" fontId="3" fillId="0" borderId="9" xfId="8" applyFont="1" applyBorder="1" applyAlignment="1" applyProtection="1">
      <alignment horizontal="center"/>
      <protection locked="0"/>
    </xf>
    <xf numFmtId="0" fontId="11" fillId="0" borderId="22" xfId="8" applyFont="1" applyBorder="1" applyProtection="1">
      <protection locked="0"/>
    </xf>
    <xf numFmtId="0" fontId="18" fillId="0" borderId="9" xfId="8" applyFont="1" applyBorder="1" applyAlignment="1" applyProtection="1">
      <alignment horizontal="center"/>
      <protection locked="0"/>
    </xf>
    <xf numFmtId="0" fontId="18" fillId="0" borderId="2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18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9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9" xfId="8" applyFont="1" applyBorder="1" applyAlignment="1"/>
    <xf numFmtId="0" fontId="9" fillId="0" borderId="9" xfId="8" applyFont="1" applyBorder="1" applyAlignment="1">
      <alignment horizontal="center" vertical="top"/>
    </xf>
    <xf numFmtId="0" fontId="5" fillId="0" borderId="9" xfId="8" applyFont="1" applyBorder="1" applyAlignment="1"/>
    <xf numFmtId="0" fontId="19" fillId="0" borderId="9" xfId="8" applyFont="1" applyBorder="1" applyAlignment="1" applyProtection="1">
      <alignment horizontal="center"/>
      <protection locked="0"/>
    </xf>
    <xf numFmtId="0" fontId="11" fillId="0" borderId="9" xfId="8" applyFont="1" applyBorder="1" applyAlignment="1">
      <alignment horizontal="center"/>
    </xf>
    <xf numFmtId="0" fontId="11" fillId="0" borderId="9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9" xfId="8" applyFont="1" applyBorder="1" applyAlignment="1">
      <alignment horizontal="center" vertical="top"/>
    </xf>
    <xf numFmtId="0" fontId="20" fillId="0" borderId="9" xfId="8" applyFont="1" applyBorder="1" applyAlignment="1">
      <alignment vertical="top"/>
    </xf>
    <xf numFmtId="0" fontId="11" fillId="0" borderId="9" xfId="8" applyFont="1" applyBorder="1" applyProtection="1">
      <protection locked="0"/>
    </xf>
    <xf numFmtId="0" fontId="11" fillId="0" borderId="9" xfId="8" applyFont="1" applyBorder="1" applyAlignment="1">
      <alignment vertical="top" wrapText="1"/>
    </xf>
    <xf numFmtId="0" fontId="11" fillId="0" borderId="9" xfId="8" applyFont="1" applyBorder="1" applyAlignment="1">
      <alignment horizontal="center" vertical="top"/>
    </xf>
    <xf numFmtId="6" fontId="11" fillId="0" borderId="9" xfId="8" applyNumberFormat="1" applyFont="1" applyBorder="1" applyAlignment="1">
      <alignment horizontal="right" vertical="top"/>
    </xf>
    <xf numFmtId="6" fontId="11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horizontal="right" vertical="top"/>
    </xf>
    <xf numFmtId="0" fontId="18" fillId="0" borderId="9" xfId="8" applyFont="1" applyBorder="1" applyAlignment="1">
      <alignment vertical="top" wrapText="1"/>
    </xf>
    <xf numFmtId="6" fontId="18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vertical="top"/>
    </xf>
    <xf numFmtId="0" fontId="19" fillId="0" borderId="9" xfId="8" applyFont="1" applyBorder="1" applyAlignment="1" applyProtection="1">
      <alignment horizontal="left"/>
      <protection locked="0"/>
    </xf>
    <xf numFmtId="0" fontId="19" fillId="0" borderId="9" xfId="8" applyFont="1" applyBorder="1" applyProtection="1">
      <protection locked="0"/>
    </xf>
    <xf numFmtId="0" fontId="20" fillId="0" borderId="9" xfId="8" applyFont="1" applyBorder="1" applyProtection="1">
      <protection locked="0"/>
    </xf>
    <xf numFmtId="0" fontId="20" fillId="0" borderId="9" xfId="8" applyFont="1" applyBorder="1" applyAlignment="1"/>
    <xf numFmtId="10" fontId="11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>
      <alignment vertical="top"/>
    </xf>
    <xf numFmtId="10" fontId="18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 applyProtection="1">
      <alignment horizontal="center"/>
      <protection locked="0"/>
    </xf>
    <xf numFmtId="0" fontId="18" fillId="0" borderId="9" xfId="8" applyFont="1" applyBorder="1" applyProtection="1">
      <protection locked="0"/>
    </xf>
    <xf numFmtId="167" fontId="11" fillId="0" borderId="9" xfId="11" applyNumberFormat="1" applyFont="1" applyBorder="1" applyAlignment="1">
      <alignment vertical="top"/>
    </xf>
    <xf numFmtId="0" fontId="9" fillId="0" borderId="9" xfId="8" applyFont="1" applyBorder="1" applyAlignment="1" applyProtection="1">
      <alignment horizontal="center"/>
      <protection locked="0"/>
    </xf>
    <xf numFmtId="3" fontId="11" fillId="0" borderId="9" xfId="8" applyNumberFormat="1" applyFont="1" applyBorder="1" applyAlignment="1">
      <alignment horizontal="right" vertical="top"/>
    </xf>
    <xf numFmtId="176" fontId="11" fillId="0" borderId="9" xfId="3" applyNumberFormat="1" applyFont="1" applyBorder="1" applyAlignment="1">
      <alignment vertical="top"/>
    </xf>
    <xf numFmtId="3" fontId="18" fillId="0" borderId="9" xfId="8" applyNumberFormat="1" applyFont="1" applyBorder="1" applyAlignment="1">
      <alignment vertical="top"/>
    </xf>
    <xf numFmtId="176" fontId="18" fillId="0" borderId="9" xfId="3" applyNumberFormat="1" applyFont="1" applyBorder="1" applyAlignment="1">
      <alignment vertical="top"/>
    </xf>
    <xf numFmtId="3" fontId="11" fillId="0" borderId="9" xfId="8" applyNumberFormat="1" applyFont="1" applyBorder="1" applyAlignment="1">
      <alignment vertical="top"/>
    </xf>
    <xf numFmtId="3" fontId="11" fillId="0" borderId="9" xfId="8" applyNumberFormat="1" applyFont="1" applyFill="1" applyBorder="1" applyAlignment="1">
      <alignment vertical="top"/>
    </xf>
    <xf numFmtId="170" fontId="11" fillId="0" borderId="9" xfId="8" applyNumberFormat="1" applyFont="1" applyBorder="1" applyAlignment="1">
      <alignment vertical="top"/>
    </xf>
    <xf numFmtId="174" fontId="11" fillId="0" borderId="9" xfId="3" applyNumberFormat="1" applyFont="1" applyBorder="1" applyAlignment="1">
      <alignment vertical="top"/>
    </xf>
    <xf numFmtId="170" fontId="18" fillId="0" borderId="9" xfId="8" applyNumberFormat="1" applyFont="1" applyBorder="1" applyAlignment="1">
      <alignment vertical="top"/>
    </xf>
    <xf numFmtId="174" fontId="18" fillId="0" borderId="9" xfId="3" applyNumberFormat="1" applyFont="1" applyBorder="1" applyAlignment="1">
      <alignment vertical="top"/>
    </xf>
    <xf numFmtId="174" fontId="11" fillId="0" borderId="9" xfId="8" applyNumberFormat="1" applyFont="1" applyBorder="1" applyAlignment="1">
      <alignment vertical="top"/>
    </xf>
    <xf numFmtId="180" fontId="11" fillId="0" borderId="9" xfId="8" applyNumberFormat="1" applyFont="1" applyBorder="1" applyAlignment="1">
      <alignment horizontal="right" vertical="top"/>
    </xf>
    <xf numFmtId="172" fontId="11" fillId="0" borderId="9" xfId="3" applyNumberFormat="1" applyFont="1" applyBorder="1" applyAlignment="1">
      <alignment vertical="top"/>
    </xf>
    <xf numFmtId="180" fontId="18" fillId="0" borderId="9" xfId="8" applyNumberFormat="1" applyFont="1" applyBorder="1" applyAlignment="1">
      <alignment horizontal="right" vertical="top"/>
    </xf>
    <xf numFmtId="172" fontId="18" fillId="0" borderId="9" xfId="3" applyNumberFormat="1" applyFont="1" applyBorder="1" applyAlignment="1">
      <alignment vertical="top"/>
    </xf>
    <xf numFmtId="0" fontId="11" fillId="0" borderId="9" xfId="8" applyFont="1" applyBorder="1" applyAlignment="1">
      <alignment horizontal="right" vertical="top"/>
    </xf>
    <xf numFmtId="6" fontId="11" fillId="0" borderId="9" xfId="8" applyNumberFormat="1" applyFont="1" applyBorder="1" applyProtection="1">
      <protection locked="0"/>
    </xf>
    <xf numFmtId="10" fontId="11" fillId="0" borderId="9" xfId="11" applyNumberFormat="1" applyFont="1" applyBorder="1" applyProtection="1">
      <protection locked="0"/>
    </xf>
    <xf numFmtId="0" fontId="27" fillId="0" borderId="9" xfId="8" applyFont="1" applyFill="1" applyBorder="1" applyAlignment="1">
      <alignment vertical="top" wrapText="1"/>
    </xf>
    <xf numFmtId="6" fontId="11" fillId="0" borderId="9" xfId="8" applyNumberFormat="1" applyFont="1" applyFill="1" applyBorder="1" applyProtection="1">
      <protection locked="0"/>
    </xf>
    <xf numFmtId="0" fontId="5" fillId="0" borderId="9" xfId="8" applyFont="1" applyBorder="1" applyAlignment="1">
      <alignment vertical="top"/>
    </xf>
    <xf numFmtId="0" fontId="11" fillId="0" borderId="9" xfId="8" applyFont="1" applyBorder="1" applyAlignment="1" applyProtection="1">
      <alignment horizontal="left"/>
      <protection locked="0"/>
    </xf>
    <xf numFmtId="0" fontId="18" fillId="0" borderId="9" xfId="8" applyFont="1" applyBorder="1" applyAlignment="1" applyProtection="1">
      <alignment horizontal="left"/>
      <protection locked="0"/>
    </xf>
    <xf numFmtId="169" fontId="11" fillId="0" borderId="9" xfId="3" applyNumberFormat="1" applyFont="1" applyBorder="1" applyProtection="1">
      <protection locked="0"/>
    </xf>
    <xf numFmtId="169" fontId="11" fillId="0" borderId="9" xfId="8" applyNumberFormat="1" applyFont="1" applyBorder="1" applyProtection="1">
      <protection locked="0"/>
    </xf>
    <xf numFmtId="169" fontId="18" fillId="0" borderId="9" xfId="3" applyNumberFormat="1" applyFont="1" applyBorder="1" applyProtection="1">
      <protection locked="0"/>
    </xf>
    <xf numFmtId="169" fontId="18" fillId="0" borderId="9" xfId="8" applyNumberFormat="1" applyFont="1" applyBorder="1" applyProtection="1">
      <protection locked="0"/>
    </xf>
    <xf numFmtId="181" fontId="11" fillId="0" borderId="9" xfId="8" applyNumberFormat="1" applyFont="1" applyBorder="1" applyProtection="1">
      <protection locked="0"/>
    </xf>
    <xf numFmtId="181" fontId="18" fillId="0" borderId="9" xfId="8" applyNumberFormat="1" applyFont="1" applyBorder="1" applyProtection="1">
      <protection locked="0"/>
    </xf>
    <xf numFmtId="182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Protection="1">
      <protection locked="0"/>
    </xf>
    <xf numFmtId="8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Alignment="1" applyProtection="1">
      <alignment horizontal="right"/>
      <protection locked="0"/>
    </xf>
    <xf numFmtId="8" fontId="18" fillId="0" borderId="9" xfId="8" applyNumberFormat="1" applyFont="1" applyBorder="1" applyAlignment="1" applyProtection="1">
      <alignment horizontal="right"/>
      <protection locked="0"/>
    </xf>
    <xf numFmtId="6" fontId="18" fillId="0" borderId="9" xfId="8" applyNumberFormat="1" applyFont="1" applyBorder="1" applyProtection="1">
      <protection locked="0"/>
    </xf>
    <xf numFmtId="6" fontId="29" fillId="0" borderId="9" xfId="8" applyNumberFormat="1" applyFont="1" applyBorder="1" applyProtection="1">
      <protection locked="0"/>
    </xf>
    <xf numFmtId="183" fontId="11" fillId="0" borderId="9" xfId="3" applyNumberFormat="1" applyFont="1" applyBorder="1" applyProtection="1">
      <protection locked="0"/>
    </xf>
    <xf numFmtId="184" fontId="11" fillId="0" borderId="9" xfId="8" applyNumberFormat="1" applyFont="1" applyBorder="1" applyProtection="1">
      <protection locked="0"/>
    </xf>
    <xf numFmtId="6" fontId="11" fillId="0" borderId="14" xfId="8" applyNumberFormat="1" applyFont="1" applyBorder="1" applyProtection="1">
      <protection locked="0"/>
    </xf>
    <xf numFmtId="0" fontId="11" fillId="0" borderId="9" xfId="8" applyFont="1" applyFill="1" applyBorder="1" applyAlignment="1">
      <alignment horizontal="center" vertical="top"/>
    </xf>
    <xf numFmtId="0" fontId="11" fillId="0" borderId="9" xfId="8" applyFont="1" applyFill="1" applyBorder="1" applyAlignment="1">
      <alignment vertical="top"/>
    </xf>
    <xf numFmtId="6" fontId="29" fillId="0" borderId="9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9" xfId="8" applyFont="1" applyBorder="1" applyAlignment="1">
      <alignment vertical="top"/>
    </xf>
    <xf numFmtId="10" fontId="11" fillId="0" borderId="9" xfId="8" applyNumberFormat="1" applyFont="1" applyBorder="1" applyProtection="1">
      <protection locked="0"/>
    </xf>
    <xf numFmtId="10" fontId="18" fillId="0" borderId="9" xfId="11" applyNumberFormat="1" applyFont="1" applyBorder="1" applyProtection="1">
      <protection locked="0"/>
    </xf>
    <xf numFmtId="10" fontId="18" fillId="0" borderId="9" xfId="8" applyNumberFormat="1" applyFont="1" applyBorder="1" applyProtection="1">
      <protection locked="0"/>
    </xf>
    <xf numFmtId="0" fontId="3" fillId="0" borderId="9" xfId="8" applyFont="1" applyBorder="1" applyAlignment="1"/>
    <xf numFmtId="6" fontId="11" fillId="0" borderId="9" xfId="8" applyNumberFormat="1" applyFont="1" applyFill="1" applyBorder="1" applyAlignment="1">
      <alignment horizontal="right" vertical="top"/>
    </xf>
    <xf numFmtId="6" fontId="11" fillId="0" borderId="9" xfId="8" applyNumberFormat="1" applyFont="1" applyFill="1" applyBorder="1" applyAlignment="1">
      <alignment vertical="top"/>
    </xf>
    <xf numFmtId="6" fontId="18" fillId="0" borderId="9" xfId="8" applyNumberFormat="1" applyFont="1" applyFill="1" applyBorder="1" applyAlignment="1">
      <alignment vertical="top"/>
    </xf>
    <xf numFmtId="6" fontId="18" fillId="0" borderId="9" xfId="8" applyNumberFormat="1" applyFont="1" applyBorder="1" applyAlignment="1">
      <alignment horizontal="right" vertical="top"/>
    </xf>
    <xf numFmtId="6" fontId="18" fillId="0" borderId="9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9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9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9" xfId="8" applyFont="1" applyBorder="1" applyAlignment="1">
      <alignment vertical="top"/>
    </xf>
    <xf numFmtId="0" fontId="6" fillId="0" borderId="9" xfId="8" applyFont="1" applyBorder="1" applyProtection="1">
      <protection locked="0"/>
    </xf>
    <xf numFmtId="0" fontId="6" fillId="0" borderId="9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9" xfId="8" applyNumberFormat="1" applyFont="1" applyBorder="1" applyAlignment="1">
      <alignment horizontal="right" vertical="top"/>
    </xf>
    <xf numFmtId="10" fontId="11" fillId="0" borderId="9" xfId="8" applyNumberFormat="1" applyFont="1" applyBorder="1" applyAlignment="1">
      <alignment horizontal="right" vertical="top"/>
    </xf>
    <xf numFmtId="185" fontId="11" fillId="0" borderId="9" xfId="8" applyNumberFormat="1" applyFont="1" applyBorder="1" applyProtection="1">
      <protection locked="0"/>
    </xf>
    <xf numFmtId="0" fontId="6" fillId="0" borderId="9" xfId="8" applyFont="1" applyFill="1" applyBorder="1" applyAlignment="1">
      <alignment vertical="top"/>
    </xf>
    <xf numFmtId="0" fontId="6" fillId="0" borderId="9" xfId="8" applyFont="1" applyBorder="1" applyAlignment="1" applyProtection="1">
      <alignment horizontal="center"/>
      <protection locked="0"/>
    </xf>
    <xf numFmtId="6" fontId="11" fillId="0" borderId="18" xfId="8" applyNumberFormat="1" applyFont="1" applyBorder="1" applyAlignment="1">
      <alignment horizontal="right" vertical="top"/>
    </xf>
    <xf numFmtId="6" fontId="11" fillId="0" borderId="18" xfId="8" applyNumberFormat="1" applyFont="1" applyBorder="1" applyAlignment="1">
      <alignment vertical="top"/>
    </xf>
    <xf numFmtId="6" fontId="18" fillId="0" borderId="18" xfId="8" applyNumberFormat="1" applyFont="1" applyBorder="1" applyAlignment="1">
      <alignment horizontal="right" vertical="top"/>
    </xf>
    <xf numFmtId="0" fontId="1" fillId="0" borderId="32" xfId="7" applyFont="1" applyBorder="1"/>
    <xf numFmtId="0" fontId="3" fillId="0" borderId="0" xfId="7" applyFont="1" applyBorder="1" applyAlignment="1">
      <alignment horizontal="right"/>
    </xf>
    <xf numFmtId="37" fontId="2" fillId="0" borderId="32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2" xfId="7" applyFont="1" applyBorder="1" applyAlignment="1">
      <alignment horizontal="center"/>
    </xf>
    <xf numFmtId="0" fontId="5" fillId="0" borderId="32" xfId="7" applyFont="1" applyBorder="1"/>
    <xf numFmtId="0" fontId="4" fillId="0" borderId="32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2" xfId="7" applyFont="1" applyBorder="1"/>
    <xf numFmtId="43" fontId="6" fillId="0" borderId="32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2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2" xfId="7" applyNumberFormat="1" applyFont="1" applyBorder="1" applyAlignment="1">
      <alignment horizontal="right"/>
    </xf>
    <xf numFmtId="43" fontId="6" fillId="0" borderId="32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2" xfId="2" applyFont="1" applyFill="1" applyBorder="1" applyAlignment="1" applyProtection="1">
      <alignment horizontal="left" wrapText="1"/>
      <protection locked="0"/>
    </xf>
    <xf numFmtId="0" fontId="6" fillId="0" borderId="32" xfId="7" applyFont="1" applyBorder="1"/>
    <xf numFmtId="43" fontId="3" fillId="0" borderId="32" xfId="2" applyFont="1" applyBorder="1" applyAlignment="1" applyProtection="1">
      <alignment horizontal="left"/>
      <protection locked="0"/>
    </xf>
    <xf numFmtId="37" fontId="10" fillId="0" borderId="32" xfId="7" applyNumberFormat="1" applyFont="1" applyBorder="1" applyAlignment="1">
      <alignment horizontal="right"/>
    </xf>
    <xf numFmtId="9" fontId="10" fillId="0" borderId="32" xfId="7" applyNumberFormat="1" applyFont="1" applyBorder="1" applyAlignment="1">
      <alignment horizontal="right"/>
    </xf>
    <xf numFmtId="0" fontId="30" fillId="0" borderId="32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167" fontId="3" fillId="0" borderId="32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2" xfId="7" applyNumberFormat="1" applyFont="1" applyBorder="1" applyAlignment="1">
      <alignment horizontal="right"/>
    </xf>
    <xf numFmtId="0" fontId="2" fillId="0" borderId="32" xfId="7" applyFont="1" applyBorder="1" applyAlignment="1"/>
    <xf numFmtId="0" fontId="31" fillId="0" borderId="32" xfId="7" applyFont="1" applyBorder="1" applyAlignment="1">
      <alignment horizontal="left"/>
    </xf>
    <xf numFmtId="5" fontId="31" fillId="0" borderId="32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2" xfId="7" applyFont="1" applyBorder="1" applyAlignment="1">
      <alignment horizontal="left"/>
    </xf>
    <xf numFmtId="43" fontId="11" fillId="0" borderId="32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4" xfId="6" applyFont="1" applyBorder="1" applyAlignment="1">
      <alignment horizontal="center"/>
    </xf>
    <xf numFmtId="0" fontId="2" fillId="0" borderId="36" xfId="6" applyFont="1" applyBorder="1" applyAlignment="1">
      <alignment horizontal="center"/>
    </xf>
    <xf numFmtId="0" fontId="2" fillId="0" borderId="37" xfId="6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36" xfId="7" applyFont="1" applyBorder="1" applyAlignment="1">
      <alignment horizontal="center"/>
    </xf>
    <xf numFmtId="0" fontId="3" fillId="0" borderId="37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20" xfId="6" applyNumberFormat="1" applyFont="1" applyFill="1" applyBorder="1" applyAlignment="1">
      <alignment horizontal="center" wrapText="1"/>
    </xf>
    <xf numFmtId="164" fontId="3" fillId="3" borderId="21" xfId="6" applyNumberFormat="1" applyFont="1" applyFill="1" applyBorder="1" applyAlignment="1">
      <alignment horizontal="center" wrapText="1"/>
    </xf>
    <xf numFmtId="164" fontId="3" fillId="3" borderId="19" xfId="6" applyNumberFormat="1" applyFont="1" applyFill="1" applyBorder="1" applyAlignment="1">
      <alignment horizontal="center" wrapText="1"/>
    </xf>
    <xf numFmtId="164" fontId="3" fillId="0" borderId="2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2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23" xfId="6" applyNumberFormat="1" applyFont="1" applyBorder="1" applyAlignment="1">
      <alignment horizontal="center"/>
    </xf>
    <xf numFmtId="5" fontId="6" fillId="0" borderId="24" xfId="6" applyNumberFormat="1" applyFont="1" applyBorder="1" applyAlignment="1">
      <alignment horizontal="center"/>
    </xf>
    <xf numFmtId="5" fontId="6" fillId="0" borderId="25" xfId="6" applyNumberFormat="1" applyFont="1" applyBorder="1" applyAlignment="1">
      <alignment horizontal="center"/>
    </xf>
    <xf numFmtId="5" fontId="6" fillId="0" borderId="20" xfId="6" applyNumberFormat="1" applyFont="1" applyBorder="1" applyAlignment="1">
      <alignment horizontal="center"/>
    </xf>
    <xf numFmtId="5" fontId="6" fillId="0" borderId="21" xfId="6" applyNumberFormat="1" applyFont="1" applyBorder="1" applyAlignment="1">
      <alignment horizontal="center"/>
    </xf>
    <xf numFmtId="5" fontId="6" fillId="0" borderId="19" xfId="6" applyNumberFormat="1" applyFont="1" applyBorder="1" applyAlignment="1">
      <alignment horizontal="center"/>
    </xf>
    <xf numFmtId="0" fontId="3" fillId="0" borderId="13" xfId="7" applyFont="1" applyBorder="1" applyAlignment="1">
      <alignment horizontal="center"/>
    </xf>
    <xf numFmtId="0" fontId="3" fillId="0" borderId="26" xfId="7" applyFont="1" applyBorder="1" applyAlignment="1">
      <alignment horizontal="center"/>
    </xf>
    <xf numFmtId="0" fontId="3" fillId="0" borderId="27" xfId="7" applyFont="1" applyBorder="1" applyAlignment="1">
      <alignment horizontal="center"/>
    </xf>
    <xf numFmtId="0" fontId="15" fillId="0" borderId="14" xfId="6" applyFont="1" applyBorder="1" applyAlignment="1"/>
    <xf numFmtId="0" fontId="15" fillId="0" borderId="8" xfId="6" applyFont="1" applyBorder="1" applyAlignment="1"/>
    <xf numFmtId="164" fontId="12" fillId="0" borderId="18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20" xfId="6" applyNumberFormat="1" applyFont="1" applyBorder="1" applyAlignment="1">
      <alignment horizontal="center" wrapText="1"/>
    </xf>
    <xf numFmtId="164" fontId="12" fillId="0" borderId="21" xfId="6" applyNumberFormat="1" applyFont="1" applyBorder="1" applyAlignment="1">
      <alignment horizontal="center" wrapText="1"/>
    </xf>
    <xf numFmtId="164" fontId="12" fillId="0" borderId="19" xfId="6" applyNumberFormat="1" applyFont="1" applyBorder="1" applyAlignment="1">
      <alignment horizontal="center" wrapText="1"/>
    </xf>
    <xf numFmtId="0" fontId="14" fillId="0" borderId="2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23" xfId="6" applyNumberFormat="1" applyFont="1" applyBorder="1" applyAlignment="1">
      <alignment horizontal="center" wrapText="1"/>
    </xf>
    <xf numFmtId="164" fontId="12" fillId="0" borderId="24" xfId="6" applyNumberFormat="1" applyFont="1" applyBorder="1" applyAlignment="1">
      <alignment horizontal="center" wrapText="1"/>
    </xf>
    <xf numFmtId="164" fontId="12" fillId="0" borderId="2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164" fontId="12" fillId="3" borderId="30" xfId="6" applyNumberFormat="1" applyFont="1" applyFill="1" applyBorder="1" applyAlignment="1">
      <alignment horizontal="center" wrapText="1"/>
    </xf>
    <xf numFmtId="0" fontId="14" fillId="0" borderId="14" xfId="6" applyFont="1" applyBorder="1" applyAlignment="1">
      <alignment horizontal="center"/>
    </xf>
    <xf numFmtId="0" fontId="2" fillId="0" borderId="34" xfId="6" applyFont="1" applyBorder="1" applyAlignment="1">
      <alignment horizontal="center" wrapText="1"/>
    </xf>
    <xf numFmtId="0" fontId="2" fillId="0" borderId="36" xfId="6" applyFont="1" applyBorder="1" applyAlignment="1">
      <alignment horizontal="center" wrapText="1"/>
    </xf>
    <xf numFmtId="0" fontId="2" fillId="0" borderId="37" xfId="6" applyFont="1" applyBorder="1" applyAlignment="1">
      <alignment horizontal="center" wrapText="1"/>
    </xf>
    <xf numFmtId="0" fontId="2" fillId="0" borderId="13" xfId="7" applyFont="1" applyBorder="1" applyAlignment="1">
      <alignment horizontal="center"/>
    </xf>
    <xf numFmtId="0" fontId="2" fillId="0" borderId="26" xfId="7" applyFont="1" applyBorder="1" applyAlignment="1">
      <alignment horizontal="center"/>
    </xf>
    <xf numFmtId="0" fontId="2" fillId="0" borderId="27" xfId="7" applyFont="1" applyBorder="1" applyAlignment="1">
      <alignment horizontal="center"/>
    </xf>
    <xf numFmtId="164" fontId="3" fillId="0" borderId="13" xfId="7" applyNumberFormat="1" applyFont="1" applyBorder="1" applyAlignment="1">
      <alignment wrapText="1"/>
    </xf>
    <xf numFmtId="164" fontId="3" fillId="0" borderId="26" xfId="7" applyNumberFormat="1" applyFont="1" applyBorder="1" applyAlignment="1">
      <alignment wrapText="1"/>
    </xf>
    <xf numFmtId="164" fontId="3" fillId="0" borderId="27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13" xfId="8" applyFont="1" applyBorder="1" applyAlignment="1" applyProtection="1">
      <alignment horizontal="center"/>
      <protection locked="0"/>
    </xf>
    <xf numFmtId="0" fontId="3" fillId="0" borderId="26" xfId="8" applyFont="1" applyBorder="1" applyAlignment="1" applyProtection="1">
      <alignment horizontal="center"/>
      <protection locked="0"/>
    </xf>
    <xf numFmtId="0" fontId="3" fillId="0" borderId="27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13" xfId="8" applyNumberFormat="1" applyFont="1" applyBorder="1" applyAlignment="1" applyProtection="1">
      <alignment horizontal="center"/>
      <protection locked="0"/>
    </xf>
    <xf numFmtId="164" fontId="3" fillId="0" borderId="26" xfId="8" applyNumberFormat="1" applyFont="1" applyBorder="1" applyAlignment="1" applyProtection="1">
      <alignment horizontal="center"/>
      <protection locked="0"/>
    </xf>
    <xf numFmtId="164" fontId="3" fillId="0" borderId="27" xfId="8" applyNumberFormat="1" applyFont="1" applyBorder="1" applyAlignment="1" applyProtection="1">
      <alignment horizontal="center"/>
      <protection locked="0"/>
    </xf>
    <xf numFmtId="0" fontId="1" fillId="0" borderId="34" xfId="7" applyFont="1" applyBorder="1"/>
    <xf numFmtId="0" fontId="1" fillId="0" borderId="36" xfId="7" applyFont="1" applyBorder="1"/>
    <xf numFmtId="0" fontId="1" fillId="0" borderId="37" xfId="7" applyFont="1" applyBorder="1"/>
    <xf numFmtId="0" fontId="2" fillId="0" borderId="34" xfId="7" applyFont="1" applyBorder="1" applyAlignment="1">
      <alignment horizontal="center"/>
    </xf>
    <xf numFmtId="0" fontId="2" fillId="0" borderId="36" xfId="7" applyFont="1" applyBorder="1" applyAlignment="1">
      <alignment horizontal="center"/>
    </xf>
    <xf numFmtId="0" fontId="2" fillId="0" borderId="37" xfId="7" applyFont="1" applyBorder="1" applyAlignment="1">
      <alignment horizontal="center"/>
    </xf>
    <xf numFmtId="0" fontId="3" fillId="0" borderId="34" xfId="7" applyFont="1" applyBorder="1" applyAlignment="1">
      <alignment horizontal="left"/>
    </xf>
    <xf numFmtId="0" fontId="3" fillId="0" borderId="36" xfId="7" applyFont="1" applyBorder="1" applyAlignment="1">
      <alignment horizontal="left"/>
    </xf>
    <xf numFmtId="0" fontId="3" fillId="0" borderId="37" xfId="7" applyFont="1" applyBorder="1" applyAlignment="1">
      <alignment horizontal="left"/>
    </xf>
    <xf numFmtId="0" fontId="3" fillId="0" borderId="34" xfId="7" applyFont="1" applyBorder="1" applyAlignment="1">
      <alignment horizontal="left" wrapText="1"/>
    </xf>
    <xf numFmtId="0" fontId="3" fillId="0" borderId="36" xfId="7" applyFont="1" applyBorder="1" applyAlignment="1">
      <alignment horizontal="left" wrapText="1"/>
    </xf>
    <xf numFmtId="0" fontId="3" fillId="0" borderId="37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9361439</v>
      </c>
      <c r="D13" s="22">
        <v>5266042</v>
      </c>
      <c r="E13" s="22">
        <f t="shared" ref="E13:E22" si="0">D13-C13</f>
        <v>-4095397</v>
      </c>
      <c r="F13" s="23">
        <f t="shared" ref="F13:F22" si="1">IF(C13=0,0,E13/C13)</f>
        <v>-0.43747515739834442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25099884</v>
      </c>
      <c r="D15" s="22">
        <v>25143982</v>
      </c>
      <c r="E15" s="22">
        <f t="shared" si="0"/>
        <v>44098</v>
      </c>
      <c r="F15" s="23">
        <f t="shared" si="1"/>
        <v>1.7569005498192741E-3</v>
      </c>
    </row>
    <row r="16" spans="1:8" ht="24" customHeight="1" x14ac:dyDescent="0.2">
      <c r="A16" s="20">
        <v>4</v>
      </c>
      <c r="B16" s="21" t="s">
        <v>19</v>
      </c>
      <c r="C16" s="22">
        <v>653623</v>
      </c>
      <c r="D16" s="22">
        <v>646423</v>
      </c>
      <c r="E16" s="22">
        <f t="shared" si="0"/>
        <v>-7200</v>
      </c>
      <c r="F16" s="23">
        <f t="shared" si="1"/>
        <v>-1.1015524239508096E-2</v>
      </c>
    </row>
    <row r="17" spans="1:11" ht="24" customHeight="1" x14ac:dyDescent="0.2">
      <c r="A17" s="20">
        <v>5</v>
      </c>
      <c r="B17" s="21" t="s">
        <v>20</v>
      </c>
      <c r="C17" s="22">
        <v>142498</v>
      </c>
      <c r="D17" s="22">
        <v>393192</v>
      </c>
      <c r="E17" s="22">
        <f t="shared" si="0"/>
        <v>250694</v>
      </c>
      <c r="F17" s="23">
        <f t="shared" si="1"/>
        <v>1.7592808320116773</v>
      </c>
    </row>
    <row r="18" spans="1:11" ht="24" customHeight="1" x14ac:dyDescent="0.2">
      <c r="A18" s="20">
        <v>6</v>
      </c>
      <c r="B18" s="21" t="s">
        <v>21</v>
      </c>
      <c r="C18" s="22">
        <v>3454150</v>
      </c>
      <c r="D18" s="22">
        <v>2821878</v>
      </c>
      <c r="E18" s="22">
        <f t="shared" si="0"/>
        <v>-632272</v>
      </c>
      <c r="F18" s="23">
        <f t="shared" si="1"/>
        <v>-0.18304705933442381</v>
      </c>
    </row>
    <row r="19" spans="1:11" ht="24" customHeight="1" x14ac:dyDescent="0.2">
      <c r="A19" s="20">
        <v>7</v>
      </c>
      <c r="B19" s="21" t="s">
        <v>22</v>
      </c>
      <c r="C19" s="22">
        <v>3873042</v>
      </c>
      <c r="D19" s="22">
        <v>4086699</v>
      </c>
      <c r="E19" s="22">
        <f t="shared" si="0"/>
        <v>213657</v>
      </c>
      <c r="F19" s="23">
        <f t="shared" si="1"/>
        <v>5.5165164746470603E-2</v>
      </c>
    </row>
    <row r="20" spans="1:11" ht="24" customHeight="1" x14ac:dyDescent="0.2">
      <c r="A20" s="20">
        <v>8</v>
      </c>
      <c r="B20" s="21" t="s">
        <v>23</v>
      </c>
      <c r="C20" s="22">
        <v>2357426</v>
      </c>
      <c r="D20" s="22">
        <v>1678056</v>
      </c>
      <c r="E20" s="22">
        <f t="shared" si="0"/>
        <v>-679370</v>
      </c>
      <c r="F20" s="23">
        <f t="shared" si="1"/>
        <v>-0.28818295887124346</v>
      </c>
    </row>
    <row r="21" spans="1:11" ht="24" customHeight="1" x14ac:dyDescent="0.2">
      <c r="A21" s="20">
        <v>9</v>
      </c>
      <c r="B21" s="21" t="s">
        <v>24</v>
      </c>
      <c r="C21" s="22">
        <v>0</v>
      </c>
      <c r="D21" s="22">
        <v>0</v>
      </c>
      <c r="E21" s="22">
        <f t="shared" si="0"/>
        <v>0</v>
      </c>
      <c r="F21" s="23">
        <f t="shared" si="1"/>
        <v>0</v>
      </c>
    </row>
    <row r="22" spans="1:11" ht="24" customHeight="1" x14ac:dyDescent="0.25">
      <c r="A22" s="24"/>
      <c r="B22" s="25" t="s">
        <v>25</v>
      </c>
      <c r="C22" s="26">
        <f>SUM(C13:C21)</f>
        <v>44942062</v>
      </c>
      <c r="D22" s="26">
        <f>SUM(D13:D21)</f>
        <v>40036272</v>
      </c>
      <c r="E22" s="26">
        <f t="shared" si="0"/>
        <v>-4905790</v>
      </c>
      <c r="F22" s="27">
        <f t="shared" si="1"/>
        <v>-0.10915809781936574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13097882</v>
      </c>
      <c r="D25" s="22">
        <v>12300151</v>
      </c>
      <c r="E25" s="22">
        <f>D25-C25</f>
        <v>-797731</v>
      </c>
      <c r="F25" s="23">
        <f>IF(C25=0,0,E25/C25)</f>
        <v>-6.090534332192029E-2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12762846</v>
      </c>
      <c r="D28" s="22">
        <v>11071609</v>
      </c>
      <c r="E28" s="22">
        <f>D28-C28</f>
        <v>-1691237</v>
      </c>
      <c r="F28" s="23">
        <f>IF(C28=0,0,E28/C28)</f>
        <v>-0.13251252894534651</v>
      </c>
    </row>
    <row r="29" spans="1:11" ht="24" customHeight="1" x14ac:dyDescent="0.25">
      <c r="A29" s="24"/>
      <c r="B29" s="25" t="s">
        <v>32</v>
      </c>
      <c r="C29" s="26">
        <f>SUM(C25:C28)</f>
        <v>25860728</v>
      </c>
      <c r="D29" s="26">
        <f>SUM(D25:D28)</f>
        <v>23371760</v>
      </c>
      <c r="E29" s="26">
        <f>D29-C29</f>
        <v>-2488968</v>
      </c>
      <c r="F29" s="27">
        <f>IF(C29=0,0,E29/C29)</f>
        <v>-9.6245086371891775E-2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7323190</v>
      </c>
      <c r="D31" s="22">
        <v>8751305</v>
      </c>
      <c r="E31" s="22">
        <f>D31-C31</f>
        <v>1428115</v>
      </c>
      <c r="F31" s="23">
        <f>IF(C31=0,0,E31/C31)</f>
        <v>0.19501269255611284</v>
      </c>
    </row>
    <row r="32" spans="1:11" ht="24" customHeight="1" x14ac:dyDescent="0.2">
      <c r="A32" s="20">
        <v>6</v>
      </c>
      <c r="B32" s="21" t="s">
        <v>34</v>
      </c>
      <c r="C32" s="22">
        <v>5188536</v>
      </c>
      <c r="D32" s="22">
        <v>5520613</v>
      </c>
      <c r="E32" s="22">
        <f>D32-C32</f>
        <v>332077</v>
      </c>
      <c r="F32" s="23">
        <f>IF(C32=0,0,E32/C32)</f>
        <v>6.4002061467820601E-2</v>
      </c>
    </row>
    <row r="33" spans="1:8" ht="24" customHeight="1" x14ac:dyDescent="0.2">
      <c r="A33" s="20">
        <v>7</v>
      </c>
      <c r="B33" s="21" t="s">
        <v>35</v>
      </c>
      <c r="C33" s="22">
        <v>22722234</v>
      </c>
      <c r="D33" s="22">
        <v>25049405</v>
      </c>
      <c r="E33" s="22">
        <f>D33-C33</f>
        <v>2327171</v>
      </c>
      <c r="F33" s="23">
        <f>IF(C33=0,0,E33/C33)</f>
        <v>0.10241823053138173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194979035</v>
      </c>
      <c r="D36" s="22">
        <v>201000000</v>
      </c>
      <c r="E36" s="22">
        <f>D36-C36</f>
        <v>6020965</v>
      </c>
      <c r="F36" s="23">
        <f>IF(C36=0,0,E36/C36)</f>
        <v>3.0880063592478031E-2</v>
      </c>
    </row>
    <row r="37" spans="1:8" ht="24" customHeight="1" x14ac:dyDescent="0.2">
      <c r="A37" s="20">
        <v>2</v>
      </c>
      <c r="B37" s="21" t="s">
        <v>39</v>
      </c>
      <c r="C37" s="22">
        <v>141480889</v>
      </c>
      <c r="D37" s="22">
        <v>148400155</v>
      </c>
      <c r="E37" s="22">
        <f>D37-C37</f>
        <v>6919266</v>
      </c>
      <c r="F37" s="23">
        <f>IF(C37=0,0,E37/C37)</f>
        <v>4.8906011609808307E-2</v>
      </c>
    </row>
    <row r="38" spans="1:8" ht="24" customHeight="1" x14ac:dyDescent="0.25">
      <c r="A38" s="24"/>
      <c r="B38" s="25" t="s">
        <v>40</v>
      </c>
      <c r="C38" s="26">
        <f>C36-C37</f>
        <v>53498146</v>
      </c>
      <c r="D38" s="26">
        <f>D36-D37</f>
        <v>52599845</v>
      </c>
      <c r="E38" s="26">
        <f>D38-C38</f>
        <v>-898301</v>
      </c>
      <c r="F38" s="27">
        <f>IF(C38=0,0,E38/C38)</f>
        <v>-1.679125478479198E-2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2219495</v>
      </c>
      <c r="D40" s="22">
        <v>973285</v>
      </c>
      <c r="E40" s="22">
        <f>D40-C40</f>
        <v>-1246210</v>
      </c>
      <c r="F40" s="23">
        <f>IF(C40=0,0,E40/C40)</f>
        <v>-0.56148358072444404</v>
      </c>
    </row>
    <row r="41" spans="1:8" ht="24" customHeight="1" x14ac:dyDescent="0.25">
      <c r="A41" s="24"/>
      <c r="B41" s="25" t="s">
        <v>42</v>
      </c>
      <c r="C41" s="26">
        <f>+C38+C40</f>
        <v>55717641</v>
      </c>
      <c r="D41" s="26">
        <f>+D38+D40</f>
        <v>53573130</v>
      </c>
      <c r="E41" s="26">
        <f>D41-C41</f>
        <v>-2144511</v>
      </c>
      <c r="F41" s="27">
        <f>IF(C41=0,0,E41/C41)</f>
        <v>-3.8488905156627146E-2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161754391</v>
      </c>
      <c r="D43" s="26">
        <f>D22+D29+D31+D32+D33+D41</f>
        <v>156302485</v>
      </c>
      <c r="E43" s="26">
        <f>D43-C43</f>
        <v>-5451906</v>
      </c>
      <c r="F43" s="27">
        <f>IF(C43=0,0,E43/C43)</f>
        <v>-3.370484081634606E-2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18926708</v>
      </c>
      <c r="D49" s="22">
        <v>18303326</v>
      </c>
      <c r="E49" s="22">
        <f t="shared" ref="E49:E56" si="2">D49-C49</f>
        <v>-623382</v>
      </c>
      <c r="F49" s="23">
        <f t="shared" ref="F49:F56" si="3">IF(C49=0,0,E49/C49)</f>
        <v>-3.293663113521908E-2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2916129</v>
      </c>
      <c r="D50" s="22">
        <v>3347027</v>
      </c>
      <c r="E50" s="22">
        <f t="shared" si="2"/>
        <v>430898</v>
      </c>
      <c r="F50" s="23">
        <f t="shared" si="3"/>
        <v>0.14776369632481964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4285117</v>
      </c>
      <c r="D51" s="22">
        <v>1603251</v>
      </c>
      <c r="E51" s="22">
        <f t="shared" si="2"/>
        <v>-2681866</v>
      </c>
      <c r="F51" s="23">
        <f t="shared" si="3"/>
        <v>-0.62585595679184491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23158</v>
      </c>
      <c r="D52" s="22">
        <v>0</v>
      </c>
      <c r="E52" s="22">
        <f t="shared" si="2"/>
        <v>-23158</v>
      </c>
      <c r="F52" s="23">
        <f t="shared" si="3"/>
        <v>-1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6889131</v>
      </c>
      <c r="D53" s="22">
        <v>1347947</v>
      </c>
      <c r="E53" s="22">
        <f t="shared" si="2"/>
        <v>-5541184</v>
      </c>
      <c r="F53" s="23">
        <f t="shared" si="3"/>
        <v>-0.80433715079594215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2802971</v>
      </c>
      <c r="D54" s="22">
        <v>7244596</v>
      </c>
      <c r="E54" s="22">
        <f t="shared" si="2"/>
        <v>4441625</v>
      </c>
      <c r="F54" s="23">
        <f t="shared" si="3"/>
        <v>1.5846132550069194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3678922</v>
      </c>
      <c r="D55" s="22">
        <v>1925908</v>
      </c>
      <c r="E55" s="22">
        <f t="shared" si="2"/>
        <v>-1753014</v>
      </c>
      <c r="F55" s="23">
        <f t="shared" si="3"/>
        <v>-0.4765020840343992</v>
      </c>
    </row>
    <row r="56" spans="1:6" ht="24" customHeight="1" x14ac:dyDescent="0.25">
      <c r="A56" s="24"/>
      <c r="B56" s="25" t="s">
        <v>54</v>
      </c>
      <c r="C56" s="26">
        <f>SUM(C49:C55)</f>
        <v>39522136</v>
      </c>
      <c r="D56" s="26">
        <f>SUM(D49:D55)</f>
        <v>33772055</v>
      </c>
      <c r="E56" s="26">
        <f t="shared" si="2"/>
        <v>-5750081</v>
      </c>
      <c r="F56" s="27">
        <f t="shared" si="3"/>
        <v>-0.14549013747637526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39479470</v>
      </c>
      <c r="D59" s="22">
        <v>38119850</v>
      </c>
      <c r="E59" s="22">
        <f>D59-C59</f>
        <v>-1359620</v>
      </c>
      <c r="F59" s="23">
        <f>IF(C59=0,0,E59/C59)</f>
        <v>-3.4438658877639444E-2</v>
      </c>
    </row>
    <row r="60" spans="1:6" ht="24" customHeight="1" x14ac:dyDescent="0.2">
      <c r="A60" s="20">
        <v>2</v>
      </c>
      <c r="B60" s="21" t="s">
        <v>57</v>
      </c>
      <c r="C60" s="22">
        <v>10941557</v>
      </c>
      <c r="D60" s="22">
        <v>11375025</v>
      </c>
      <c r="E60" s="22">
        <f>D60-C60</f>
        <v>433468</v>
      </c>
      <c r="F60" s="23">
        <f>IF(C60=0,0,E60/C60)</f>
        <v>3.9616665160177846E-2</v>
      </c>
    </row>
    <row r="61" spans="1:6" ht="24" customHeight="1" x14ac:dyDescent="0.25">
      <c r="A61" s="24"/>
      <c r="B61" s="25" t="s">
        <v>58</v>
      </c>
      <c r="C61" s="26">
        <f>SUM(C59:C60)</f>
        <v>50421027</v>
      </c>
      <c r="D61" s="26">
        <f>SUM(D59:D60)</f>
        <v>49494875</v>
      </c>
      <c r="E61" s="26">
        <f>D61-C61</f>
        <v>-926152</v>
      </c>
      <c r="F61" s="27">
        <f>IF(C61=0,0,E61/C61)</f>
        <v>-1.8368368418993131E-2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34595139</v>
      </c>
      <c r="D63" s="22">
        <v>48438669</v>
      </c>
      <c r="E63" s="22">
        <f>D63-C63</f>
        <v>13843530</v>
      </c>
      <c r="F63" s="23">
        <f>IF(C63=0,0,E63/C63)</f>
        <v>0.40015824188479199</v>
      </c>
    </row>
    <row r="64" spans="1:6" ht="24" customHeight="1" x14ac:dyDescent="0.2">
      <c r="A64" s="20">
        <v>4</v>
      </c>
      <c r="B64" s="21" t="s">
        <v>60</v>
      </c>
      <c r="C64" s="22">
        <v>12417672</v>
      </c>
      <c r="D64" s="22">
        <v>9591427</v>
      </c>
      <c r="E64" s="22">
        <f>D64-C64</f>
        <v>-2826245</v>
      </c>
      <c r="F64" s="23">
        <f>IF(C64=0,0,E64/C64)</f>
        <v>-0.22759861912925386</v>
      </c>
    </row>
    <row r="65" spans="1:6" ht="24" customHeight="1" x14ac:dyDescent="0.25">
      <c r="A65" s="24"/>
      <c r="B65" s="25" t="s">
        <v>61</v>
      </c>
      <c r="C65" s="26">
        <f>SUM(C61:C64)</f>
        <v>97433838</v>
      </c>
      <c r="D65" s="26">
        <f>SUM(D61:D64)</f>
        <v>107524971</v>
      </c>
      <c r="E65" s="26">
        <f>D65-C65</f>
        <v>10091133</v>
      </c>
      <c r="F65" s="27">
        <f>IF(C65=0,0,E65/C65)</f>
        <v>0.1035690803845785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11344473</v>
      </c>
      <c r="D70" s="22">
        <v>2829380</v>
      </c>
      <c r="E70" s="22">
        <f>D70-C70</f>
        <v>-8515093</v>
      </c>
      <c r="F70" s="23">
        <f>IF(C70=0,0,E70/C70)</f>
        <v>-0.7505939676527944</v>
      </c>
    </row>
    <row r="71" spans="1:6" ht="24" customHeight="1" x14ac:dyDescent="0.2">
      <c r="A71" s="20">
        <v>2</v>
      </c>
      <c r="B71" s="21" t="s">
        <v>65</v>
      </c>
      <c r="C71" s="22">
        <v>974762</v>
      </c>
      <c r="D71" s="22">
        <v>494603</v>
      </c>
      <c r="E71" s="22">
        <f>D71-C71</f>
        <v>-480159</v>
      </c>
      <c r="F71" s="23">
        <f>IF(C71=0,0,E71/C71)</f>
        <v>-0.49259101195984251</v>
      </c>
    </row>
    <row r="72" spans="1:6" ht="24" customHeight="1" x14ac:dyDescent="0.2">
      <c r="A72" s="20">
        <v>3</v>
      </c>
      <c r="B72" s="21" t="s">
        <v>66</v>
      </c>
      <c r="C72" s="22">
        <v>12479182</v>
      </c>
      <c r="D72" s="22">
        <v>11681476</v>
      </c>
      <c r="E72" s="22">
        <f>D72-C72</f>
        <v>-797706</v>
      </c>
      <c r="F72" s="23">
        <f>IF(C72=0,0,E72/C72)</f>
        <v>-6.3922939820895308E-2</v>
      </c>
    </row>
    <row r="73" spans="1:6" ht="24" customHeight="1" x14ac:dyDescent="0.25">
      <c r="A73" s="20"/>
      <c r="B73" s="25" t="s">
        <v>67</v>
      </c>
      <c r="C73" s="26">
        <f>SUM(C70:C72)</f>
        <v>24798417</v>
      </c>
      <c r="D73" s="26">
        <f>SUM(D70:D72)</f>
        <v>15005459</v>
      </c>
      <c r="E73" s="26">
        <f>D73-C73</f>
        <v>-9792958</v>
      </c>
      <c r="F73" s="27">
        <f>IF(C73=0,0,E73/C73)</f>
        <v>-0.3949025455939385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161754391</v>
      </c>
      <c r="D75" s="26">
        <f>D56+D65+D67+D73</f>
        <v>156302485</v>
      </c>
      <c r="E75" s="26">
        <f>D75-C75</f>
        <v>-5451906</v>
      </c>
      <c r="F75" s="27">
        <f>IF(C75=0,0,E75/C75)</f>
        <v>-3.370484081634606E-2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0" fitToHeight="0" orientation="portrait" horizontalDpi="1200" verticalDpi="1200" r:id="rId1"/>
  <headerFooter>
    <oddHeader>&amp;LOFFICE OF HEALTH CARE ACCESS&amp;CTWELVE MONTHS ACTUAL FILING&amp;RMANCHESTER MEMORIAL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298979957</v>
      </c>
      <c r="D11" s="76">
        <v>299755216</v>
      </c>
      <c r="E11" s="76">
        <v>297145105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28987736</v>
      </c>
      <c r="D12" s="185">
        <v>29000109</v>
      </c>
      <c r="E12" s="185">
        <v>18422521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327967693</v>
      </c>
      <c r="D13" s="76">
        <f>+D11+D12</f>
        <v>328755325</v>
      </c>
      <c r="E13" s="76">
        <f>+E11+E12</f>
        <v>315567626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327855198</v>
      </c>
      <c r="D14" s="185">
        <v>326582604</v>
      </c>
      <c r="E14" s="185">
        <v>315848076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112495</v>
      </c>
      <c r="D15" s="76">
        <f>+D13-D14</f>
        <v>2172721</v>
      </c>
      <c r="E15" s="76">
        <f>+E13-E14</f>
        <v>-280450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-2138589</v>
      </c>
      <c r="D16" s="185">
        <v>-2125751</v>
      </c>
      <c r="E16" s="185">
        <v>-2235410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-2026094</v>
      </c>
      <c r="D17" s="76">
        <f>D15+D16</f>
        <v>46970</v>
      </c>
      <c r="E17" s="76">
        <f>E15+E16</f>
        <v>-2515860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3.4525767839327208E-4</v>
      </c>
      <c r="D20" s="189">
        <f>IF(+D27=0,0,+D24/+D27)</f>
        <v>6.6519420559266323E-3</v>
      </c>
      <c r="E20" s="189">
        <f>IF(+E27=0,0,+E24/+E27)</f>
        <v>-8.9505638322233676E-4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-6.5635296962299602E-3</v>
      </c>
      <c r="D21" s="189">
        <f>IF(+D27=0,0,+D26/+D27)</f>
        <v>-6.5081400130656874E-3</v>
      </c>
      <c r="E21" s="189">
        <f>IF(+E27=0,0,+E26/+E27)</f>
        <v>-7.1343126746979636E-3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-6.2182720178366874E-3</v>
      </c>
      <c r="D22" s="189">
        <f>IF(+D27=0,0,+D28/+D27)</f>
        <v>1.4380204286094437E-4</v>
      </c>
      <c r="E22" s="189">
        <f>IF(+E27=0,0,+E28/+E27)</f>
        <v>-8.0293690579203002E-3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112495</v>
      </c>
      <c r="D24" s="76">
        <f>+D15</f>
        <v>2172721</v>
      </c>
      <c r="E24" s="76">
        <f>+E15</f>
        <v>-280450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327967693</v>
      </c>
      <c r="D25" s="76">
        <f>+D13</f>
        <v>328755325</v>
      </c>
      <c r="E25" s="76">
        <f>+E13</f>
        <v>315567626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-2138589</v>
      </c>
      <c r="D26" s="76">
        <f>+D16</f>
        <v>-2125751</v>
      </c>
      <c r="E26" s="76">
        <f>+E16</f>
        <v>-2235410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325829104</v>
      </c>
      <c r="D27" s="76">
        <f>SUM(D25:D26)</f>
        <v>326629574</v>
      </c>
      <c r="E27" s="76">
        <f>SUM(E25:E26)</f>
        <v>313332216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-2026094</v>
      </c>
      <c r="D28" s="76">
        <f>+D17</f>
        <v>46970</v>
      </c>
      <c r="E28" s="76">
        <f>+E17</f>
        <v>-2515860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70965928</v>
      </c>
      <c r="D31" s="76">
        <v>59544873</v>
      </c>
      <c r="E31" s="76">
        <v>42167565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85849149</v>
      </c>
      <c r="D32" s="76">
        <v>77693789</v>
      </c>
      <c r="E32" s="76">
        <v>58707549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34247888</v>
      </c>
      <c r="D33" s="76">
        <f>+D32-C32</f>
        <v>-8155360</v>
      </c>
      <c r="E33" s="76">
        <f>+E32-D32</f>
        <v>-18986240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1.6637</v>
      </c>
      <c r="D34" s="193">
        <f>IF(C32=0,0,+D33/C32)</f>
        <v>-9.4996398857721931E-2</v>
      </c>
      <c r="E34" s="193">
        <f>IF(D32=0,0,+E33/D32)</f>
        <v>-0.24437268724273442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1.311508725619533</v>
      </c>
      <c r="D38" s="338">
        <f>IF(+D40=0,0,+D39/+D40)</f>
        <v>1.3327302292232019</v>
      </c>
      <c r="E38" s="338">
        <f>IF(+E40=0,0,+E39/+E40)</f>
        <v>1.4463231559046146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84389707</v>
      </c>
      <c r="D39" s="341">
        <v>81233895</v>
      </c>
      <c r="E39" s="341">
        <v>74771961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64345517</v>
      </c>
      <c r="D40" s="341">
        <v>60952992</v>
      </c>
      <c r="E40" s="341">
        <v>51697963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25.954656364633504</v>
      </c>
      <c r="D42" s="343">
        <f>IF((D48/365)=0,0,+D45/(D48/365))</f>
        <v>24.071590136151443</v>
      </c>
      <c r="E42" s="343">
        <f>IF((E48/365)=0,0,+E45/(E48/365))</f>
        <v>19.559583787515329</v>
      </c>
    </row>
    <row r="43" spans="1:14" ht="24" customHeight="1" x14ac:dyDescent="0.2">
      <c r="A43" s="339">
        <v>5</v>
      </c>
      <c r="B43" s="344" t="s">
        <v>16</v>
      </c>
      <c r="C43" s="345">
        <v>22439356</v>
      </c>
      <c r="D43" s="345">
        <v>20733601</v>
      </c>
      <c r="E43" s="345">
        <v>16286829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22439356</v>
      </c>
      <c r="D45" s="341">
        <f>+D43+D44</f>
        <v>20733601</v>
      </c>
      <c r="E45" s="341">
        <f>+E43+E44</f>
        <v>16286829</v>
      </c>
    </row>
    <row r="46" spans="1:14" ht="24" customHeight="1" x14ac:dyDescent="0.2">
      <c r="A46" s="339">
        <v>8</v>
      </c>
      <c r="B46" s="340" t="s">
        <v>334</v>
      </c>
      <c r="C46" s="341">
        <f>+C14</f>
        <v>327855198</v>
      </c>
      <c r="D46" s="341">
        <f>+D14</f>
        <v>326582604</v>
      </c>
      <c r="E46" s="341">
        <f>+E14</f>
        <v>315848076</v>
      </c>
    </row>
    <row r="47" spans="1:14" ht="24" customHeight="1" x14ac:dyDescent="0.2">
      <c r="A47" s="339">
        <v>9</v>
      </c>
      <c r="B47" s="340" t="s">
        <v>356</v>
      </c>
      <c r="C47" s="341">
        <v>12290822</v>
      </c>
      <c r="D47" s="341">
        <v>12196877</v>
      </c>
      <c r="E47" s="341">
        <v>11920720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315564376</v>
      </c>
      <c r="D48" s="341">
        <f>+D46-D47</f>
        <v>314385727</v>
      </c>
      <c r="E48" s="341">
        <f>+E46-E47</f>
        <v>303927356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55.516532400865927</v>
      </c>
      <c r="D50" s="350">
        <f>IF((D55/365)=0,0,+D54/(D55/365))</f>
        <v>51.713660272053446</v>
      </c>
      <c r="E50" s="350">
        <f>IF((E55/365)=0,0,+E54/(E55/365))</f>
        <v>51.659534993854265</v>
      </c>
    </row>
    <row r="51" spans="1:5" ht="24" customHeight="1" x14ac:dyDescent="0.2">
      <c r="A51" s="339">
        <v>12</v>
      </c>
      <c r="B51" s="344" t="s">
        <v>359</v>
      </c>
      <c r="C51" s="351">
        <v>46524143</v>
      </c>
      <c r="D51" s="351">
        <v>44610272</v>
      </c>
      <c r="E51" s="351">
        <v>41607499</v>
      </c>
    </row>
    <row r="52" spans="1:5" ht="24" customHeight="1" x14ac:dyDescent="0.2">
      <c r="A52" s="339">
        <v>13</v>
      </c>
      <c r="B52" s="344" t="s">
        <v>21</v>
      </c>
      <c r="C52" s="341">
        <v>3463096</v>
      </c>
      <c r="D52" s="341">
        <v>3602585</v>
      </c>
      <c r="E52" s="341">
        <v>3573134</v>
      </c>
    </row>
    <row r="53" spans="1:5" ht="24" customHeight="1" x14ac:dyDescent="0.2">
      <c r="A53" s="339">
        <v>14</v>
      </c>
      <c r="B53" s="344" t="s">
        <v>49</v>
      </c>
      <c r="C53" s="341">
        <v>4512361</v>
      </c>
      <c r="D53" s="341">
        <v>5743160</v>
      </c>
      <c r="E53" s="341">
        <v>3124803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45474878</v>
      </c>
      <c r="D54" s="352">
        <f>+D51+D52-D53</f>
        <v>42469697</v>
      </c>
      <c r="E54" s="352">
        <f>+E51+E52-E53</f>
        <v>42055830</v>
      </c>
    </row>
    <row r="55" spans="1:5" ht="24" customHeight="1" x14ac:dyDescent="0.2">
      <c r="A55" s="339">
        <v>16</v>
      </c>
      <c r="B55" s="340" t="s">
        <v>75</v>
      </c>
      <c r="C55" s="341">
        <f>+C11</f>
        <v>298979957</v>
      </c>
      <c r="D55" s="341">
        <f>+D11</f>
        <v>299755216</v>
      </c>
      <c r="E55" s="341">
        <f>+E11</f>
        <v>297145105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74.425744764675215</v>
      </c>
      <c r="D57" s="355">
        <f>IF((D61/365)=0,0,+D58/(D61/365))</f>
        <v>70.766069097023603</v>
      </c>
      <c r="E57" s="355">
        <f>IF((E61/365)=0,0,+E58/(E61/365))</f>
        <v>62.086403617448639</v>
      </c>
    </row>
    <row r="58" spans="1:5" ht="24" customHeight="1" x14ac:dyDescent="0.2">
      <c r="A58" s="339">
        <v>18</v>
      </c>
      <c r="B58" s="340" t="s">
        <v>54</v>
      </c>
      <c r="C58" s="353">
        <f>+C40</f>
        <v>64345517</v>
      </c>
      <c r="D58" s="353">
        <f>+D40</f>
        <v>60952992</v>
      </c>
      <c r="E58" s="353">
        <f>+E40</f>
        <v>51697963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327855198</v>
      </c>
      <c r="D59" s="353">
        <f t="shared" si="0"/>
        <v>326582604</v>
      </c>
      <c r="E59" s="353">
        <f t="shared" si="0"/>
        <v>315848076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12290822</v>
      </c>
      <c r="D60" s="356">
        <f t="shared" si="0"/>
        <v>12196877</v>
      </c>
      <c r="E60" s="356">
        <f t="shared" si="0"/>
        <v>11920720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315564376</v>
      </c>
      <c r="D61" s="353">
        <f>+D59-D60</f>
        <v>314385727</v>
      </c>
      <c r="E61" s="353">
        <f>+E59-E60</f>
        <v>303927356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30.392657987169152</v>
      </c>
      <c r="D65" s="357">
        <f>IF(D67=0,0,(D66/D67)*100)</f>
        <v>28.141033736990963</v>
      </c>
      <c r="E65" s="357">
        <f>IF(E67=0,0,(E66/E67)*100)</f>
        <v>22.527869905578729</v>
      </c>
    </row>
    <row r="66" spans="1:5" ht="24" customHeight="1" x14ac:dyDescent="0.2">
      <c r="A66" s="339">
        <v>2</v>
      </c>
      <c r="B66" s="340" t="s">
        <v>67</v>
      </c>
      <c r="C66" s="353">
        <f>+C32</f>
        <v>85849149</v>
      </c>
      <c r="D66" s="353">
        <f>+D32</f>
        <v>77693789</v>
      </c>
      <c r="E66" s="353">
        <f>+E32</f>
        <v>58707549</v>
      </c>
    </row>
    <row r="67" spans="1:5" ht="24" customHeight="1" x14ac:dyDescent="0.2">
      <c r="A67" s="339">
        <v>3</v>
      </c>
      <c r="B67" s="340" t="s">
        <v>43</v>
      </c>
      <c r="C67" s="353">
        <v>282466736</v>
      </c>
      <c r="D67" s="353">
        <v>276087189</v>
      </c>
      <c r="E67" s="353">
        <v>260599645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6.900122957197742</v>
      </c>
      <c r="D69" s="357">
        <f>IF(D75=0,0,(D72/D75)*100)</f>
        <v>8.5294203824179</v>
      </c>
      <c r="E69" s="357">
        <f>IF(E75=0,0,(E72/E75)*100)</f>
        <v>7.1346116588238768</v>
      </c>
    </row>
    <row r="70" spans="1:5" ht="24" customHeight="1" x14ac:dyDescent="0.2">
      <c r="A70" s="339">
        <v>5</v>
      </c>
      <c r="B70" s="340" t="s">
        <v>366</v>
      </c>
      <c r="C70" s="353">
        <f>+C28</f>
        <v>-2026094</v>
      </c>
      <c r="D70" s="353">
        <f>+D28</f>
        <v>46970</v>
      </c>
      <c r="E70" s="353">
        <f>+E28</f>
        <v>-2515860</v>
      </c>
    </row>
    <row r="71" spans="1:5" ht="24" customHeight="1" x14ac:dyDescent="0.2">
      <c r="A71" s="339">
        <v>6</v>
      </c>
      <c r="B71" s="340" t="s">
        <v>356</v>
      </c>
      <c r="C71" s="356">
        <f>+C47</f>
        <v>12290822</v>
      </c>
      <c r="D71" s="356">
        <f>+D47</f>
        <v>12196877</v>
      </c>
      <c r="E71" s="356">
        <f>+E47</f>
        <v>11920720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10264728</v>
      </c>
      <c r="D72" s="353">
        <f>+D70+D71</f>
        <v>12243847</v>
      </c>
      <c r="E72" s="353">
        <f>+E70+E71</f>
        <v>9404860</v>
      </c>
    </row>
    <row r="73" spans="1:5" ht="24" customHeight="1" x14ac:dyDescent="0.2">
      <c r="A73" s="339">
        <v>8</v>
      </c>
      <c r="B73" s="340" t="s">
        <v>54</v>
      </c>
      <c r="C73" s="341">
        <f>+C40</f>
        <v>64345517</v>
      </c>
      <c r="D73" s="341">
        <f>+D40</f>
        <v>60952992</v>
      </c>
      <c r="E73" s="341">
        <f>+E40</f>
        <v>51697963</v>
      </c>
    </row>
    <row r="74" spans="1:5" ht="24" customHeight="1" x14ac:dyDescent="0.2">
      <c r="A74" s="339">
        <v>9</v>
      </c>
      <c r="B74" s="340" t="s">
        <v>58</v>
      </c>
      <c r="C74" s="353">
        <v>84416006</v>
      </c>
      <c r="D74" s="353">
        <v>82595414</v>
      </c>
      <c r="E74" s="353">
        <v>80122246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148761523</v>
      </c>
      <c r="D75" s="341">
        <f>+D73+D74</f>
        <v>143548406</v>
      </c>
      <c r="E75" s="341">
        <f>+E73+E74</f>
        <v>131820209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49.579143777245555</v>
      </c>
      <c r="D77" s="359">
        <f>IF(D80=0,0,(D78/D80)*100)</f>
        <v>51.528994126946905</v>
      </c>
      <c r="E77" s="359">
        <f>IF(E80=0,0,(E78/E80)*100)</f>
        <v>57.712572434469124</v>
      </c>
    </row>
    <row r="78" spans="1:5" ht="24" customHeight="1" x14ac:dyDescent="0.2">
      <c r="A78" s="339">
        <v>12</v>
      </c>
      <c r="B78" s="340" t="s">
        <v>58</v>
      </c>
      <c r="C78" s="341">
        <f>+C74</f>
        <v>84416006</v>
      </c>
      <c r="D78" s="341">
        <f>+D74</f>
        <v>82595414</v>
      </c>
      <c r="E78" s="341">
        <f>+E74</f>
        <v>80122246</v>
      </c>
    </row>
    <row r="79" spans="1:5" ht="24" customHeight="1" x14ac:dyDescent="0.2">
      <c r="A79" s="339">
        <v>13</v>
      </c>
      <c r="B79" s="340" t="s">
        <v>67</v>
      </c>
      <c r="C79" s="341">
        <f>+C32</f>
        <v>85849149</v>
      </c>
      <c r="D79" s="341">
        <f>+D32</f>
        <v>77693789</v>
      </c>
      <c r="E79" s="341">
        <f>+E32</f>
        <v>58707549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170265155</v>
      </c>
      <c r="D80" s="341">
        <f>+D78+D79</f>
        <v>160289203</v>
      </c>
      <c r="E80" s="341">
        <f>+E78+E79</f>
        <v>138829795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FILING&amp;R&amp;8EASTERN CONNECTICUT HEALTH NETWORK,INC.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16758</v>
      </c>
      <c r="D11" s="376">
        <v>4683</v>
      </c>
      <c r="E11" s="376">
        <v>4684</v>
      </c>
      <c r="F11" s="377">
        <v>82</v>
      </c>
      <c r="G11" s="377">
        <v>158</v>
      </c>
      <c r="H11" s="378">
        <f>IF(F11=0,0,$C11/(F11*365))</f>
        <v>0.55990644837955228</v>
      </c>
      <c r="I11" s="378">
        <f>IF(G11=0,0,$C11/(G11*365))</f>
        <v>0.29058435928559045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5278</v>
      </c>
      <c r="D13" s="376">
        <v>589</v>
      </c>
      <c r="E13" s="376">
        <v>0</v>
      </c>
      <c r="F13" s="377">
        <v>22</v>
      </c>
      <c r="G13" s="377">
        <v>25</v>
      </c>
      <c r="H13" s="378">
        <f>IF(F13=0,0,$C13/(F13*365))</f>
        <v>0.65728518057285179</v>
      </c>
      <c r="I13" s="378">
        <f>IF(G13=0,0,$C13/(G13*365))</f>
        <v>0.57841095890410954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1426</v>
      </c>
      <c r="D15" s="376">
        <v>182</v>
      </c>
      <c r="E15" s="376">
        <v>179</v>
      </c>
      <c r="F15" s="377">
        <v>5</v>
      </c>
      <c r="G15" s="377">
        <v>10</v>
      </c>
      <c r="H15" s="378">
        <f t="shared" ref="H15:I17" si="0">IF(F15=0,0,$C15/(F15*365))</f>
        <v>0.7813698630136986</v>
      </c>
      <c r="I15" s="378">
        <f t="shared" si="0"/>
        <v>0.3906849315068493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9321</v>
      </c>
      <c r="D16" s="376">
        <v>1130</v>
      </c>
      <c r="E16" s="376">
        <v>1123</v>
      </c>
      <c r="F16" s="377">
        <v>26</v>
      </c>
      <c r="G16" s="377">
        <v>26</v>
      </c>
      <c r="H16" s="378">
        <f t="shared" si="0"/>
        <v>0.98219178082191783</v>
      </c>
      <c r="I16" s="378">
        <f t="shared" si="0"/>
        <v>0.98219178082191783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10747</v>
      </c>
      <c r="D17" s="381">
        <f>SUM(D15:D16)</f>
        <v>1312</v>
      </c>
      <c r="E17" s="381">
        <f>SUM(E15:E16)</f>
        <v>1302</v>
      </c>
      <c r="F17" s="381">
        <f>SUM(F15:F16)</f>
        <v>31</v>
      </c>
      <c r="G17" s="381">
        <f>SUM(G15:G16)</f>
        <v>36</v>
      </c>
      <c r="H17" s="382">
        <f t="shared" si="0"/>
        <v>0.94980114891736633</v>
      </c>
      <c r="I17" s="382">
        <f t="shared" si="0"/>
        <v>0.81788432267884326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3768</v>
      </c>
      <c r="D21" s="376">
        <v>1410</v>
      </c>
      <c r="E21" s="376">
        <v>1417</v>
      </c>
      <c r="F21" s="377">
        <v>20</v>
      </c>
      <c r="G21" s="377">
        <v>30</v>
      </c>
      <c r="H21" s="378">
        <f>IF(F21=0,0,$C21/(F21*365))</f>
        <v>0.51616438356164385</v>
      </c>
      <c r="I21" s="378">
        <f>IF(G21=0,0,$C21/(G21*365))</f>
        <v>0.3441095890410959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4141</v>
      </c>
      <c r="D23" s="376">
        <v>1401</v>
      </c>
      <c r="E23" s="376">
        <v>1400</v>
      </c>
      <c r="F23" s="377">
        <v>26</v>
      </c>
      <c r="G23" s="377">
        <v>34</v>
      </c>
      <c r="H23" s="378">
        <f>IF(F23=0,0,$C23/(F23*365))</f>
        <v>0.43635405690200213</v>
      </c>
      <c r="I23" s="378">
        <f>IF(G23=0,0,$C23/(G23*365))</f>
        <v>0.33368251410153105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36551</v>
      </c>
      <c r="D31" s="384">
        <f>SUM(D10:D29)-D13-D17-D23</f>
        <v>7405</v>
      </c>
      <c r="E31" s="384">
        <f>SUM(E10:E29)-E17-E23</f>
        <v>7403</v>
      </c>
      <c r="F31" s="384">
        <f>SUM(F10:F29)-F17-F23</f>
        <v>155</v>
      </c>
      <c r="G31" s="384">
        <f>SUM(G10:G29)-G17-G23</f>
        <v>249</v>
      </c>
      <c r="H31" s="385">
        <f>IF(F31=0,0,$C31/(F31*365))</f>
        <v>0.64606274856385326</v>
      </c>
      <c r="I31" s="385">
        <f>IF(G31=0,0,$C31/(G31*365))</f>
        <v>0.4021675744072179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40692</v>
      </c>
      <c r="D33" s="384">
        <f>SUM(D10:D29)-D13-D17</f>
        <v>8806</v>
      </c>
      <c r="E33" s="384">
        <f>SUM(E10:E29)-E17</f>
        <v>8803</v>
      </c>
      <c r="F33" s="384">
        <f>SUM(F10:F29)-F17</f>
        <v>181</v>
      </c>
      <c r="G33" s="384">
        <f>SUM(G10:G29)-G17</f>
        <v>283</v>
      </c>
      <c r="H33" s="385">
        <f>IF(F33=0,0,$C33/(F33*365))</f>
        <v>0.6159388481041399</v>
      </c>
      <c r="I33" s="385">
        <f>IF(G33=0,0,$C33/(G33*365))</f>
        <v>0.39393968730335449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40692</v>
      </c>
      <c r="D36" s="384">
        <f t="shared" si="1"/>
        <v>8806</v>
      </c>
      <c r="E36" s="384">
        <f t="shared" si="1"/>
        <v>8803</v>
      </c>
      <c r="F36" s="384">
        <f t="shared" si="1"/>
        <v>181</v>
      </c>
      <c r="G36" s="384">
        <f t="shared" si="1"/>
        <v>283</v>
      </c>
      <c r="H36" s="387">
        <f t="shared" si="1"/>
        <v>0.6159388481041399</v>
      </c>
      <c r="I36" s="387">
        <f t="shared" si="1"/>
        <v>0.39393968730335449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44106</v>
      </c>
      <c r="D37" s="384">
        <v>9110</v>
      </c>
      <c r="E37" s="384">
        <v>8994</v>
      </c>
      <c r="F37" s="386">
        <v>171</v>
      </c>
      <c r="G37" s="386">
        <v>283</v>
      </c>
      <c r="H37" s="385">
        <f>IF(F37=0,0,$C37/(F37*365))</f>
        <v>0.70665705359288633</v>
      </c>
      <c r="I37" s="385">
        <f>IF(G37=0,0,$C37/(G37*365))</f>
        <v>0.42699065782467688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-3414</v>
      </c>
      <c r="D38" s="384">
        <f t="shared" si="2"/>
        <v>-304</v>
      </c>
      <c r="E38" s="384">
        <f t="shared" si="2"/>
        <v>-191</v>
      </c>
      <c r="F38" s="384">
        <f t="shared" si="2"/>
        <v>10</v>
      </c>
      <c r="G38" s="384">
        <f t="shared" si="2"/>
        <v>0</v>
      </c>
      <c r="H38" s="387">
        <f t="shared" si="2"/>
        <v>-9.0718205488746428E-2</v>
      </c>
      <c r="I38" s="387">
        <f t="shared" si="2"/>
        <v>-3.3050970521322387E-2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-7.740443477077949E-2</v>
      </c>
      <c r="D40" s="389">
        <f t="shared" si="3"/>
        <v>-3.3369923161361142E-2</v>
      </c>
      <c r="E40" s="389">
        <f t="shared" si="3"/>
        <v>-2.1236379808761398E-2</v>
      </c>
      <c r="F40" s="389">
        <f t="shared" si="3"/>
        <v>5.8479532163742687E-2</v>
      </c>
      <c r="G40" s="389">
        <f t="shared" si="3"/>
        <v>0</v>
      </c>
      <c r="H40" s="389">
        <f t="shared" si="3"/>
        <v>-0.12837656544642698</v>
      </c>
      <c r="I40" s="389">
        <f t="shared" si="3"/>
        <v>-7.7404434770779393E-2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283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scale="70" fitToHeight="0" orientation="landscape" horizontalDpi="1200" verticalDpi="1200" r:id="rId1"/>
  <headerFooter>
    <oddHeader>&amp;LOFFICE OF HEALTH CARE ACCESS&amp;CTWELVE MONTHS ACTUAL FILING&amp;RMANCHESTER MEMORIAL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4002</v>
      </c>
      <c r="D12" s="409">
        <v>3677</v>
      </c>
      <c r="E12" s="409">
        <f>+D12-C12</f>
        <v>-325</v>
      </c>
      <c r="F12" s="410">
        <f>IF(C12=0,0,+E12/C12)</f>
        <v>-8.120939530234883E-2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8804</v>
      </c>
      <c r="D13" s="409">
        <v>9216</v>
      </c>
      <c r="E13" s="409">
        <f>+D13-C13</f>
        <v>412</v>
      </c>
      <c r="F13" s="410">
        <f>IF(C13=0,0,+E13/C13)</f>
        <v>4.6796910495229438E-2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3256</v>
      </c>
      <c r="D14" s="409">
        <v>3408</v>
      </c>
      <c r="E14" s="409">
        <f>+D14-C14</f>
        <v>152</v>
      </c>
      <c r="F14" s="410">
        <f>IF(C14=0,0,+E14/C14)</f>
        <v>4.6683046683046681E-2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16062</v>
      </c>
      <c r="D16" s="401">
        <f>SUM(D12:D15)</f>
        <v>16301</v>
      </c>
      <c r="E16" s="401">
        <f>+D16-C16</f>
        <v>239</v>
      </c>
      <c r="F16" s="402">
        <f>IF(C16=0,0,+E16/C16)</f>
        <v>1.4879840617606773E-2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602</v>
      </c>
      <c r="D19" s="409">
        <v>513</v>
      </c>
      <c r="E19" s="409">
        <f>+D19-C19</f>
        <v>-89</v>
      </c>
      <c r="F19" s="410">
        <f>IF(C19=0,0,+E19/C19)</f>
        <v>-0.14784053156146179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2124</v>
      </c>
      <c r="D20" s="409">
        <v>2218</v>
      </c>
      <c r="E20" s="409">
        <f>+D20-C20</f>
        <v>94</v>
      </c>
      <c r="F20" s="410">
        <f>IF(C20=0,0,+E20/C20)</f>
        <v>4.4256120527306965E-2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43</v>
      </c>
      <c r="D21" s="409">
        <v>45</v>
      </c>
      <c r="E21" s="409">
        <f>+D21-C21</f>
        <v>2</v>
      </c>
      <c r="F21" s="410">
        <f>IF(C21=0,0,+E21/C21)</f>
        <v>4.6511627906976744E-2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2769</v>
      </c>
      <c r="D23" s="401">
        <f>SUM(D19:D22)</f>
        <v>2776</v>
      </c>
      <c r="E23" s="401">
        <f>+D23-C23</f>
        <v>7</v>
      </c>
      <c r="F23" s="402">
        <f>IF(C23=0,0,+E23/C23)</f>
        <v>2.527988443481401E-3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6</v>
      </c>
      <c r="D33" s="409">
        <v>5</v>
      </c>
      <c r="E33" s="409">
        <f>+D33-C33</f>
        <v>-1</v>
      </c>
      <c r="F33" s="410">
        <f>IF(C33=0,0,+E33/C33)</f>
        <v>-0.16666666666666666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392</v>
      </c>
      <c r="D34" s="409">
        <v>331</v>
      </c>
      <c r="E34" s="409">
        <f>+D34-C34</f>
        <v>-61</v>
      </c>
      <c r="F34" s="410">
        <f>IF(C34=0,0,+E34/C34)</f>
        <v>-0.15561224489795919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398</v>
      </c>
      <c r="D37" s="401">
        <f>SUM(D33:D36)</f>
        <v>336</v>
      </c>
      <c r="E37" s="401">
        <f>+D37-C37</f>
        <v>-62</v>
      </c>
      <c r="F37" s="402">
        <f>IF(C37=0,0,+E37/C37)</f>
        <v>-0.15577889447236182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80</v>
      </c>
      <c r="D59" s="409">
        <v>76</v>
      </c>
      <c r="E59" s="409">
        <f>+D59-C59</f>
        <v>-4</v>
      </c>
      <c r="F59" s="410">
        <f>IF(C59=0,0,+E59/C59)</f>
        <v>-0.05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80</v>
      </c>
      <c r="D60" s="401">
        <f>SUM(D58:D59)</f>
        <v>76</v>
      </c>
      <c r="E60" s="401">
        <f>SUM(E58:E59)</f>
        <v>-4</v>
      </c>
      <c r="F60" s="402">
        <f>IF(C60=0,0,+E60/C60)</f>
        <v>-0.05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1257</v>
      </c>
      <c r="D63" s="409">
        <v>1117</v>
      </c>
      <c r="E63" s="409">
        <f>+D63-C63</f>
        <v>-140</v>
      </c>
      <c r="F63" s="410">
        <f>IF(C63=0,0,+E63/C63)</f>
        <v>-0.11137629276054097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5101</v>
      </c>
      <c r="D64" s="409">
        <v>5153</v>
      </c>
      <c r="E64" s="409">
        <f>+D64-C64</f>
        <v>52</v>
      </c>
      <c r="F64" s="410">
        <f>IF(C64=0,0,+E64/C64)</f>
        <v>1.0194079592236817E-2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6358</v>
      </c>
      <c r="D65" s="401">
        <f>SUM(D63:D64)</f>
        <v>6270</v>
      </c>
      <c r="E65" s="401">
        <f>+D65-C65</f>
        <v>-88</v>
      </c>
      <c r="F65" s="402">
        <f>IF(C65=0,0,+E65/C65)</f>
        <v>-1.384083044982699E-2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519</v>
      </c>
      <c r="D68" s="409">
        <v>474</v>
      </c>
      <c r="E68" s="409">
        <f>+D68-C68</f>
        <v>-45</v>
      </c>
      <c r="F68" s="410">
        <f>IF(C68=0,0,+E68/C68)</f>
        <v>-8.6705202312138727E-2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6069</v>
      </c>
      <c r="D69" s="409">
        <v>5863</v>
      </c>
      <c r="E69" s="409">
        <f>+D69-C69</f>
        <v>-206</v>
      </c>
      <c r="F69" s="412">
        <f>IF(C69=0,0,+E69/C69)</f>
        <v>-3.3942988960290001E-2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6588</v>
      </c>
      <c r="D70" s="401">
        <f>SUM(D68:D69)</f>
        <v>6337</v>
      </c>
      <c r="E70" s="401">
        <f>+D70-C70</f>
        <v>-251</v>
      </c>
      <c r="F70" s="402">
        <f>IF(C70=0,0,+E70/C70)</f>
        <v>-3.8099574984820889E-2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5484</v>
      </c>
      <c r="D73" s="376">
        <v>4907</v>
      </c>
      <c r="E73" s="409">
        <f>+D73-C73</f>
        <v>-577</v>
      </c>
      <c r="F73" s="410">
        <f>IF(C73=0,0,+E73/C73)</f>
        <v>-0.10521517140773158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35557</v>
      </c>
      <c r="D74" s="376">
        <v>34872</v>
      </c>
      <c r="E74" s="409">
        <f>+D74-C74</f>
        <v>-685</v>
      </c>
      <c r="F74" s="410">
        <f>IF(C74=0,0,+E74/C74)</f>
        <v>-1.9264842365778891E-2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41041</v>
      </c>
      <c r="D75" s="401">
        <f>SUM(D73:D74)</f>
        <v>39779</v>
      </c>
      <c r="E75" s="401">
        <f>SUM(E73:E74)</f>
        <v>-1262</v>
      </c>
      <c r="F75" s="402">
        <f>IF(C75=0,0,+E75/C75)</f>
        <v>-3.0749738066811239E-2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69242</v>
      </c>
      <c r="D81" s="376">
        <v>70908</v>
      </c>
      <c r="E81" s="409">
        <f t="shared" si="0"/>
        <v>1666</v>
      </c>
      <c r="F81" s="410">
        <f t="shared" si="1"/>
        <v>2.4060541289968516E-2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69242</v>
      </c>
      <c r="D92" s="381">
        <f>SUM(D79:D91)</f>
        <v>70908</v>
      </c>
      <c r="E92" s="401">
        <f t="shared" si="0"/>
        <v>1666</v>
      </c>
      <c r="F92" s="402">
        <f t="shared" si="1"/>
        <v>2.4060541289968516E-2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83714</v>
      </c>
      <c r="D95" s="414">
        <v>81129</v>
      </c>
      <c r="E95" s="415">
        <f t="shared" ref="E95:E100" si="2">+D95-C95</f>
        <v>-2585</v>
      </c>
      <c r="F95" s="412">
        <f t="shared" ref="F95:F100" si="3">IF(C95=0,0,+E95/C95)</f>
        <v>-3.08789449793344E-2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7308</v>
      </c>
      <c r="D96" s="414">
        <v>7540</v>
      </c>
      <c r="E96" s="409">
        <f t="shared" si="2"/>
        <v>232</v>
      </c>
      <c r="F96" s="410">
        <f t="shared" si="3"/>
        <v>3.1746031746031744E-2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722</v>
      </c>
      <c r="D97" s="414">
        <v>657</v>
      </c>
      <c r="E97" s="409">
        <f t="shared" si="2"/>
        <v>-65</v>
      </c>
      <c r="F97" s="410">
        <f t="shared" si="3"/>
        <v>-9.0027700831024932E-2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6069</v>
      </c>
      <c r="D98" s="414">
        <v>5863</v>
      </c>
      <c r="E98" s="409">
        <f t="shared" si="2"/>
        <v>-206</v>
      </c>
      <c r="F98" s="410">
        <f t="shared" si="3"/>
        <v>-3.3942988960290001E-2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37641</v>
      </c>
      <c r="D99" s="414">
        <v>39902</v>
      </c>
      <c r="E99" s="409">
        <f t="shared" si="2"/>
        <v>2261</v>
      </c>
      <c r="F99" s="410">
        <f t="shared" si="3"/>
        <v>6.0067479609999731E-2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135454</v>
      </c>
      <c r="D100" s="381">
        <f>SUM(D95:D99)</f>
        <v>135091</v>
      </c>
      <c r="E100" s="401">
        <f t="shared" si="2"/>
        <v>-363</v>
      </c>
      <c r="F100" s="402">
        <f t="shared" si="3"/>
        <v>-2.6798765632613285E-3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354.1</v>
      </c>
      <c r="D104" s="416">
        <v>313.7</v>
      </c>
      <c r="E104" s="417">
        <f>+D104-C104</f>
        <v>-40.400000000000034</v>
      </c>
      <c r="F104" s="410">
        <f>IF(C104=0,0,+E104/C104)</f>
        <v>-0.11409206438859089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42.6</v>
      </c>
      <c r="D105" s="416">
        <v>51.9</v>
      </c>
      <c r="E105" s="417">
        <f>+D105-C105</f>
        <v>9.2999999999999972</v>
      </c>
      <c r="F105" s="410">
        <f>IF(C105=0,0,+E105/C105)</f>
        <v>0.21830985915492951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756</v>
      </c>
      <c r="D106" s="416">
        <v>769</v>
      </c>
      <c r="E106" s="417">
        <f>+D106-C106</f>
        <v>13</v>
      </c>
      <c r="F106" s="410">
        <f>IF(C106=0,0,+E106/C106)</f>
        <v>1.7195767195767195E-2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1152.7</v>
      </c>
      <c r="D107" s="418">
        <f>SUM(D104:D106)</f>
        <v>1134.5999999999999</v>
      </c>
      <c r="E107" s="418">
        <f>+D107-C107</f>
        <v>-18.100000000000136</v>
      </c>
      <c r="F107" s="402">
        <f>IF(C107=0,0,+E107/C107)</f>
        <v>-1.5702264249154278E-2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FILING&amp;RMANCHESTER MEMORIAL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5101</v>
      </c>
      <c r="D12" s="409">
        <v>5153</v>
      </c>
      <c r="E12" s="409">
        <f>+D12-C12</f>
        <v>52</v>
      </c>
      <c r="F12" s="410">
        <f>IF(C12=0,0,+E12/C12)</f>
        <v>1.0194079592236817E-2</v>
      </c>
    </row>
    <row r="13" spans="1:6" ht="15.75" customHeight="1" x14ac:dyDescent="0.25">
      <c r="A13" s="374"/>
      <c r="B13" s="399" t="s">
        <v>622</v>
      </c>
      <c r="C13" s="401">
        <f>SUM(C11:C12)</f>
        <v>5101</v>
      </c>
      <c r="D13" s="401">
        <f>SUM(D11:D12)</f>
        <v>5153</v>
      </c>
      <c r="E13" s="401">
        <f>+D13-C13</f>
        <v>52</v>
      </c>
      <c r="F13" s="402">
        <f>IF(C13=0,0,+E13/C13)</f>
        <v>1.0194079592236817E-2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6069</v>
      </c>
      <c r="D16" s="409">
        <v>5863</v>
      </c>
      <c r="E16" s="409">
        <f>+D16-C16</f>
        <v>-206</v>
      </c>
      <c r="F16" s="410">
        <f>IF(C16=0,0,+E16/C16)</f>
        <v>-3.3942988960290001E-2</v>
      </c>
    </row>
    <row r="17" spans="1:6" ht="15.75" customHeight="1" x14ac:dyDescent="0.25">
      <c r="A17" s="374"/>
      <c r="B17" s="399" t="s">
        <v>623</v>
      </c>
      <c r="C17" s="401">
        <f>SUM(C15:C16)</f>
        <v>6069</v>
      </c>
      <c r="D17" s="401">
        <f>SUM(D15:D16)</f>
        <v>5863</v>
      </c>
      <c r="E17" s="401">
        <f>+D17-C17</f>
        <v>-206</v>
      </c>
      <c r="F17" s="402">
        <f>IF(C17=0,0,+E17/C17)</f>
        <v>-3.3942988960290001E-2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625</v>
      </c>
      <c r="C20" s="409">
        <v>35557</v>
      </c>
      <c r="D20" s="409">
        <v>34872</v>
      </c>
      <c r="E20" s="409">
        <f>+D20-C20</f>
        <v>-685</v>
      </c>
      <c r="F20" s="410">
        <f>IF(C20=0,0,+E20/C20)</f>
        <v>-1.9264842365778891E-2</v>
      </c>
    </row>
    <row r="21" spans="1:6" ht="15.75" customHeight="1" x14ac:dyDescent="0.25">
      <c r="A21" s="374"/>
      <c r="B21" s="399" t="s">
        <v>626</v>
      </c>
      <c r="C21" s="401">
        <f>SUM(C19:C20)</f>
        <v>35557</v>
      </c>
      <c r="D21" s="401">
        <f>SUM(D19:D20)</f>
        <v>34872</v>
      </c>
      <c r="E21" s="401">
        <f>+D21-C21</f>
        <v>-685</v>
      </c>
      <c r="F21" s="402">
        <f>IF(C21=0,0,+E21/C21)</f>
        <v>-1.9264842365778891E-2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627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628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629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scale="82" fitToHeight="0" orientation="portrait" horizontalDpi="1200" verticalDpi="1200" r:id="rId1"/>
  <headerFooter>
    <oddHeader>&amp;LOFFICE OF HEALTH CARE ACCESS&amp;CTWELVE MONTHS ACTUAL FILING&amp;RMANCHESTER MEMORIAL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125637142</v>
      </c>
      <c r="D15" s="448">
        <v>117408412</v>
      </c>
      <c r="E15" s="448">
        <f t="shared" ref="E15:E24" si="0">D15-C15</f>
        <v>-8228730</v>
      </c>
      <c r="F15" s="449">
        <f t="shared" ref="F15:F24" si="1">IF(C15=0,0,E15/C15)</f>
        <v>-6.5495997990785246E-2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37000671</v>
      </c>
      <c r="D16" s="448">
        <v>35626977</v>
      </c>
      <c r="E16" s="448">
        <f t="shared" si="0"/>
        <v>-1373694</v>
      </c>
      <c r="F16" s="449">
        <f t="shared" si="1"/>
        <v>-3.7126191576363578E-2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0.29450423983697432</v>
      </c>
      <c r="D17" s="453">
        <f>IF(LN_IA1=0,0,LN_IA2/LN_IA1)</f>
        <v>0.30344484175460956</v>
      </c>
      <c r="E17" s="454">
        <f t="shared" si="0"/>
        <v>8.940601917635238E-3</v>
      </c>
      <c r="F17" s="449">
        <f t="shared" si="1"/>
        <v>3.0358143307493281E-2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3676</v>
      </c>
      <c r="D18" s="456">
        <v>3353</v>
      </c>
      <c r="E18" s="456">
        <f t="shared" si="0"/>
        <v>-323</v>
      </c>
      <c r="F18" s="449">
        <f t="shared" si="1"/>
        <v>-8.7867247007616972E-2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1.46454</v>
      </c>
      <c r="D19" s="459">
        <v>1.48956</v>
      </c>
      <c r="E19" s="460">
        <f t="shared" si="0"/>
        <v>2.5020000000000042E-2</v>
      </c>
      <c r="F19" s="449">
        <f t="shared" si="1"/>
        <v>1.7083862509730048E-2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5383.6490400000002</v>
      </c>
      <c r="D20" s="463">
        <f>LN_IA4*LN_IA5</f>
        <v>4994.4946799999998</v>
      </c>
      <c r="E20" s="463">
        <f t="shared" si="0"/>
        <v>-389.15436000000045</v>
      </c>
      <c r="F20" s="449">
        <f t="shared" si="1"/>
        <v>-7.2284496464873657E-2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6872.7866034892941</v>
      </c>
      <c r="D21" s="465">
        <f>IF(LN_IA6=0,0,LN_IA2/LN_IA6)</f>
        <v>7133.2495642982649</v>
      </c>
      <c r="E21" s="465">
        <f t="shared" si="0"/>
        <v>260.46296080897082</v>
      </c>
      <c r="F21" s="449">
        <f t="shared" si="1"/>
        <v>3.7897722690347246E-2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21107</v>
      </c>
      <c r="D22" s="456">
        <v>18652</v>
      </c>
      <c r="E22" s="456">
        <f t="shared" si="0"/>
        <v>-2455</v>
      </c>
      <c r="F22" s="449">
        <f t="shared" si="1"/>
        <v>-0.11631212393992514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1753.0047377647227</v>
      </c>
      <c r="D23" s="465">
        <f>IF(LN_IA8=0,0,LN_IA2/LN_IA8)</f>
        <v>1910.0888376581599</v>
      </c>
      <c r="E23" s="465">
        <f t="shared" si="0"/>
        <v>157.08409989343727</v>
      </c>
      <c r="F23" s="449">
        <f t="shared" si="1"/>
        <v>8.9608485652889383E-2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5.7418389553862896</v>
      </c>
      <c r="D24" s="466">
        <f>IF(LN_IA4=0,0,LN_IA8/LN_IA4)</f>
        <v>5.5627796003578887</v>
      </c>
      <c r="E24" s="466">
        <f t="shared" si="0"/>
        <v>-0.17905935502840098</v>
      </c>
      <c r="F24" s="449">
        <f t="shared" si="1"/>
        <v>-3.1185018670791775E-2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130988495</v>
      </c>
      <c r="D27" s="448">
        <v>139661667</v>
      </c>
      <c r="E27" s="448">
        <f t="shared" ref="E27:E32" si="2">D27-C27</f>
        <v>8673172</v>
      </c>
      <c r="F27" s="449">
        <f t="shared" ref="F27:F32" si="3">IF(C27=0,0,E27/C27)</f>
        <v>6.6213234986782624E-2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25691861</v>
      </c>
      <c r="D28" s="448">
        <v>27599085</v>
      </c>
      <c r="E28" s="448">
        <f t="shared" si="2"/>
        <v>1907224</v>
      </c>
      <c r="F28" s="449">
        <f t="shared" si="3"/>
        <v>7.4234560120031781E-2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0.19613830206996424</v>
      </c>
      <c r="D29" s="453">
        <f>IF(LN_IA11=0,0,LN_IA12/LN_IA11)</f>
        <v>0.19761388785370865</v>
      </c>
      <c r="E29" s="454">
        <f t="shared" si="2"/>
        <v>1.4755857837444042E-3</v>
      </c>
      <c r="F29" s="449">
        <f t="shared" si="3"/>
        <v>7.5231903619622951E-3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1.0425937180264735</v>
      </c>
      <c r="D30" s="453">
        <f>IF(LN_IA1=0,0,LN_IA11/LN_IA1)</f>
        <v>1.1895371432159392</v>
      </c>
      <c r="E30" s="454">
        <f t="shared" si="2"/>
        <v>0.14694342518946568</v>
      </c>
      <c r="F30" s="449">
        <f t="shared" si="3"/>
        <v>0.1409402556804342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3832.5745074653164</v>
      </c>
      <c r="D31" s="463">
        <f>LN_IA14*LN_IA4</f>
        <v>3988.518041203044</v>
      </c>
      <c r="E31" s="463">
        <f t="shared" si="2"/>
        <v>155.94353373772765</v>
      </c>
      <c r="F31" s="449">
        <f t="shared" si="3"/>
        <v>4.0688976413627856E-2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6703.5516074001607</v>
      </c>
      <c r="D32" s="465">
        <f>IF(LN_IA15=0,0,LN_IA12/LN_IA15)</f>
        <v>6919.6339880853029</v>
      </c>
      <c r="E32" s="465">
        <f t="shared" si="2"/>
        <v>216.0823806851422</v>
      </c>
      <c r="F32" s="449">
        <f t="shared" si="3"/>
        <v>3.2234014644804895E-2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256625637</v>
      </c>
      <c r="D35" s="448">
        <f>LN_IA1+LN_IA11</f>
        <v>257070079</v>
      </c>
      <c r="E35" s="448">
        <f>D35-C35</f>
        <v>444442</v>
      </c>
      <c r="F35" s="449">
        <f>IF(C35=0,0,E35/C35)</f>
        <v>1.731869057182311E-3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62692532</v>
      </c>
      <c r="D36" s="448">
        <f>LN_IA2+LN_IA12</f>
        <v>63226062</v>
      </c>
      <c r="E36" s="448">
        <f>D36-C36</f>
        <v>533530</v>
      </c>
      <c r="F36" s="449">
        <f>IF(C36=0,0,E36/C36)</f>
        <v>8.5102640295338528E-3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193933105</v>
      </c>
      <c r="D37" s="448">
        <f>LN_IA17-LN_IA18</f>
        <v>193844017</v>
      </c>
      <c r="E37" s="448">
        <f>D37-C37</f>
        <v>-89088</v>
      </c>
      <c r="F37" s="449">
        <f>IF(C37=0,0,E37/C37)</f>
        <v>-4.5937489630767269E-4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58063977</v>
      </c>
      <c r="D42" s="448">
        <v>55023979</v>
      </c>
      <c r="E42" s="448">
        <f t="shared" ref="E42:E53" si="4">D42-C42</f>
        <v>-3039998</v>
      </c>
      <c r="F42" s="449">
        <f t="shared" ref="F42:F53" si="5">IF(C42=0,0,E42/C42)</f>
        <v>-5.2356007236638302E-2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25754284</v>
      </c>
      <c r="D43" s="448">
        <v>27169517</v>
      </c>
      <c r="E43" s="448">
        <f t="shared" si="4"/>
        <v>1415233</v>
      </c>
      <c r="F43" s="449">
        <f t="shared" si="5"/>
        <v>5.4951362654849963E-2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0.44355012058509186</v>
      </c>
      <c r="D44" s="453">
        <f>IF(LN_IB1=0,0,LN_IB2/LN_IB1)</f>
        <v>0.49377594084935222</v>
      </c>
      <c r="E44" s="454">
        <f t="shared" si="4"/>
        <v>5.0225820264260368E-2</v>
      </c>
      <c r="F44" s="449">
        <f t="shared" si="5"/>
        <v>0.11323595222566264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3214</v>
      </c>
      <c r="D45" s="456">
        <v>3108</v>
      </c>
      <c r="E45" s="456">
        <f t="shared" si="4"/>
        <v>-106</v>
      </c>
      <c r="F45" s="449">
        <f t="shared" si="5"/>
        <v>-3.2980709396390792E-2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1.0006200000000001</v>
      </c>
      <c r="D46" s="459">
        <v>1.02108</v>
      </c>
      <c r="E46" s="460">
        <f t="shared" si="4"/>
        <v>2.0459999999999923E-2</v>
      </c>
      <c r="F46" s="449">
        <f t="shared" si="5"/>
        <v>2.0447322659950751E-2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3215.9926800000003</v>
      </c>
      <c r="D47" s="463">
        <f>LN_IB4*LN_IB5</f>
        <v>3173.5166399999998</v>
      </c>
      <c r="E47" s="463">
        <f t="shared" si="4"/>
        <v>-42.476040000000467</v>
      </c>
      <c r="F47" s="449">
        <f t="shared" si="5"/>
        <v>-1.3207753943022179E-2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8008.1911131713141</v>
      </c>
      <c r="D48" s="465">
        <f>IF(LN_IB6=0,0,LN_IB2/LN_IB6)</f>
        <v>8561.3280414373385</v>
      </c>
      <c r="E48" s="465">
        <f t="shared" si="4"/>
        <v>553.13692826602437</v>
      </c>
      <c r="F48" s="449">
        <f t="shared" si="5"/>
        <v>6.9071394582012821E-2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-1135.40450968202</v>
      </c>
      <c r="D49" s="465">
        <f>LN_IA7-LN_IB7</f>
        <v>-1428.0784771390736</v>
      </c>
      <c r="E49" s="465">
        <f t="shared" si="4"/>
        <v>-292.67396745705355</v>
      </c>
      <c r="F49" s="449">
        <f t="shared" si="5"/>
        <v>0.25777065791205944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-3651452.591976366</v>
      </c>
      <c r="D50" s="479">
        <f>LN_IB8*LN_IB6</f>
        <v>-4532030.8104267092</v>
      </c>
      <c r="E50" s="479">
        <f t="shared" si="4"/>
        <v>-880578.21845034324</v>
      </c>
      <c r="F50" s="449">
        <f t="shared" si="5"/>
        <v>0.24115833254560376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11754</v>
      </c>
      <c r="D51" s="456">
        <v>10691</v>
      </c>
      <c r="E51" s="456">
        <f t="shared" si="4"/>
        <v>-1063</v>
      </c>
      <c r="F51" s="449">
        <f t="shared" si="5"/>
        <v>-9.0437297941126427E-2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2191.1080483239748</v>
      </c>
      <c r="D52" s="465">
        <f>IF(LN_IB10=0,0,LN_IB2/LN_IB10)</f>
        <v>2541.3447759797959</v>
      </c>
      <c r="E52" s="465">
        <f t="shared" si="4"/>
        <v>350.23672765582114</v>
      </c>
      <c r="F52" s="449">
        <f t="shared" si="5"/>
        <v>0.15984457175615993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3.6571250777846918</v>
      </c>
      <c r="D53" s="466">
        <f>IF(LN_IB4=0,0,LN_IB10/LN_IB4)</f>
        <v>3.4398326898326896</v>
      </c>
      <c r="E53" s="466">
        <f t="shared" si="4"/>
        <v>-0.21729238795200212</v>
      </c>
      <c r="F53" s="449">
        <f t="shared" si="5"/>
        <v>-5.9416176184935755E-2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158248779</v>
      </c>
      <c r="D56" s="448">
        <v>151755473</v>
      </c>
      <c r="E56" s="448">
        <f t="shared" ref="E56:E63" si="6">D56-C56</f>
        <v>-6493306</v>
      </c>
      <c r="F56" s="449">
        <f t="shared" ref="F56:F63" si="7">IF(C56=0,0,E56/C56)</f>
        <v>-4.103226603726276E-2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59710061</v>
      </c>
      <c r="D57" s="448">
        <v>61123790</v>
      </c>
      <c r="E57" s="448">
        <f t="shared" si="6"/>
        <v>1413729</v>
      </c>
      <c r="F57" s="449">
        <f t="shared" si="7"/>
        <v>2.3676562648294732E-2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0.37731767270065319</v>
      </c>
      <c r="D58" s="453">
        <f>IF(LN_IB13=0,0,LN_IB14/LN_IB13)</f>
        <v>0.40277815878179235</v>
      </c>
      <c r="E58" s="454">
        <f t="shared" si="6"/>
        <v>2.5460486081139155E-2</v>
      </c>
      <c r="F58" s="449">
        <f t="shared" si="7"/>
        <v>6.7477586986333285E-2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2.7254209438667973</v>
      </c>
      <c r="D59" s="453">
        <f>IF(LN_IB1=0,0,LN_IB13/LN_IB1)</f>
        <v>2.757987985565348</v>
      </c>
      <c r="E59" s="454">
        <f t="shared" si="6"/>
        <v>3.2567041698550625E-2</v>
      </c>
      <c r="F59" s="449">
        <f t="shared" si="7"/>
        <v>1.194936208729095E-2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8759.5029135878867</v>
      </c>
      <c r="D60" s="463">
        <f>LN_IB16*LN_IB4</f>
        <v>8571.8266591371012</v>
      </c>
      <c r="E60" s="463">
        <f t="shared" si="6"/>
        <v>-187.67625445078556</v>
      </c>
      <c r="F60" s="449">
        <f t="shared" si="7"/>
        <v>-2.1425445747573078E-2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6816.6038174810992</v>
      </c>
      <c r="D61" s="465">
        <f>IF(LN_IB17=0,0,LN_IB14/LN_IB17)</f>
        <v>7130.7776545907354</v>
      </c>
      <c r="E61" s="465">
        <f t="shared" si="6"/>
        <v>314.17383710963622</v>
      </c>
      <c r="F61" s="449">
        <f t="shared" si="7"/>
        <v>4.6089496400530297E-2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-113.05221008093849</v>
      </c>
      <c r="D62" s="465">
        <f>LN_IA16-LN_IB18</f>
        <v>-211.14366650543252</v>
      </c>
      <c r="E62" s="465">
        <f t="shared" si="6"/>
        <v>-98.091456424494027</v>
      </c>
      <c r="F62" s="449">
        <f t="shared" si="7"/>
        <v>0.86766509344900489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-990281.16359153064</v>
      </c>
      <c r="D63" s="448">
        <f>LN_IB19*LN_IB17</f>
        <v>-1809886.9094592198</v>
      </c>
      <c r="E63" s="448">
        <f t="shared" si="6"/>
        <v>-819605.74586768914</v>
      </c>
      <c r="F63" s="449">
        <f t="shared" si="7"/>
        <v>0.82764953631467697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216312756</v>
      </c>
      <c r="D66" s="448">
        <f>LN_IB1+LN_IB13</f>
        <v>206779452</v>
      </c>
      <c r="E66" s="448">
        <f>D66-C66</f>
        <v>-9533304</v>
      </c>
      <c r="F66" s="449">
        <f>IF(C66=0,0,E66/C66)</f>
        <v>-4.4071853071854905E-2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85464345</v>
      </c>
      <c r="D67" s="448">
        <f>LN_IB2+LN_IB14</f>
        <v>88293307</v>
      </c>
      <c r="E67" s="448">
        <f>D67-C67</f>
        <v>2828962</v>
      </c>
      <c r="F67" s="449">
        <f>IF(C67=0,0,E67/C67)</f>
        <v>3.3101078584291496E-2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130848411</v>
      </c>
      <c r="D68" s="448">
        <f>LN_IB21-LN_IB22</f>
        <v>118486145</v>
      </c>
      <c r="E68" s="448">
        <f>D68-C68</f>
        <v>-12362266</v>
      </c>
      <c r="F68" s="449">
        <f>IF(C68=0,0,E68/C68)</f>
        <v>-9.4477769393775821E-2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-4641733.7555678971</v>
      </c>
      <c r="D70" s="441">
        <f>LN_IB9+LN_IB20</f>
        <v>-6341917.7198859286</v>
      </c>
      <c r="E70" s="448">
        <f>D70-C70</f>
        <v>-1700183.9643180314</v>
      </c>
      <c r="F70" s="449">
        <f>IF(C70=0,0,E70/C70)</f>
        <v>0.36628209497768166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216312755</v>
      </c>
      <c r="D73" s="488">
        <v>206779452</v>
      </c>
      <c r="E73" s="488">
        <f>D73-C73</f>
        <v>-9533303</v>
      </c>
      <c r="F73" s="489">
        <f>IF(C73=0,0,E73/C73)</f>
        <v>-4.407184865266036E-2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85464346</v>
      </c>
      <c r="D74" s="488">
        <v>88293307</v>
      </c>
      <c r="E74" s="488">
        <f>D74-C74</f>
        <v>2828961</v>
      </c>
      <c r="F74" s="489">
        <f>IF(C74=0,0,E74/C74)</f>
        <v>3.3101066496197137E-2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130848409</v>
      </c>
      <c r="D76" s="441">
        <f>LN_IB32-LN_IB33</f>
        <v>118486145</v>
      </c>
      <c r="E76" s="488">
        <f>D76-C76</f>
        <v>-12362264</v>
      </c>
      <c r="F76" s="489">
        <f>IF(E76=0,0,E76/C76)</f>
        <v>-9.4477755552992621E-2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0.60490380699002244</v>
      </c>
      <c r="D77" s="453">
        <f>IF(LN_IB32=0,0,LN_IB34/LN_IB32)</f>
        <v>0.57300734601037628</v>
      </c>
      <c r="E77" s="493">
        <f>D77-C77</f>
        <v>-3.1896460979646157E-2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1659376</v>
      </c>
      <c r="D83" s="448">
        <v>1236061</v>
      </c>
      <c r="E83" s="448">
        <f t="shared" ref="E83:E95" si="8">D83-C83</f>
        <v>-423315</v>
      </c>
      <c r="F83" s="449">
        <f t="shared" ref="F83:F95" si="9">IF(C83=0,0,E83/C83)</f>
        <v>-0.25510493101021109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71650</v>
      </c>
      <c r="D84" s="448">
        <v>43966</v>
      </c>
      <c r="E84" s="448">
        <f t="shared" si="8"/>
        <v>-27684</v>
      </c>
      <c r="F84" s="449">
        <f t="shared" si="9"/>
        <v>-0.38637822749476625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4.3178881700108959E-2</v>
      </c>
      <c r="D85" s="453">
        <f>IF(LN_IC1=0,0,LN_IC2/LN_IC1)</f>
        <v>3.5569441961197705E-2</v>
      </c>
      <c r="E85" s="454">
        <f t="shared" si="8"/>
        <v>-7.6094397389112542E-3</v>
      </c>
      <c r="F85" s="449">
        <f t="shared" si="9"/>
        <v>-0.17623058864194838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101</v>
      </c>
      <c r="D86" s="456">
        <v>64</v>
      </c>
      <c r="E86" s="456">
        <f t="shared" si="8"/>
        <v>-37</v>
      </c>
      <c r="F86" s="449">
        <f t="shared" si="9"/>
        <v>-0.36633663366336633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1.0187999999999999</v>
      </c>
      <c r="D87" s="459">
        <v>1.0867899999999999</v>
      </c>
      <c r="E87" s="460">
        <f t="shared" si="8"/>
        <v>6.7989999999999995E-2</v>
      </c>
      <c r="F87" s="449">
        <f t="shared" si="9"/>
        <v>6.673537495092266E-2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102.89879999999999</v>
      </c>
      <c r="D88" s="463">
        <f>LN_IC4*LN_IC5</f>
        <v>69.554559999999995</v>
      </c>
      <c r="E88" s="463">
        <f t="shared" si="8"/>
        <v>-33.344239999999999</v>
      </c>
      <c r="F88" s="449">
        <f t="shared" si="9"/>
        <v>-0.32404887131822724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696.31521456032533</v>
      </c>
      <c r="D89" s="465">
        <f>IF(LN_IC6=0,0,LN_IC2/LN_IC6)</f>
        <v>632.10808895922855</v>
      </c>
      <c r="E89" s="465">
        <f t="shared" si="8"/>
        <v>-64.207125601096777</v>
      </c>
      <c r="F89" s="449">
        <f t="shared" si="9"/>
        <v>-9.2209855907915375E-2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7311.8758986109888</v>
      </c>
      <c r="D90" s="465">
        <f>LN_IB7-LN_IC7</f>
        <v>7929.2199524781099</v>
      </c>
      <c r="E90" s="465">
        <f t="shared" si="8"/>
        <v>617.34405386712115</v>
      </c>
      <c r="F90" s="449">
        <f t="shared" si="9"/>
        <v>8.4430324369208151E-2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6176.4713889289687</v>
      </c>
      <c r="D91" s="465">
        <f>LN_IA7-LN_IC7</f>
        <v>6501.1414753390363</v>
      </c>
      <c r="E91" s="465">
        <f t="shared" si="8"/>
        <v>324.6700864100676</v>
      </c>
      <c r="F91" s="449">
        <f t="shared" si="9"/>
        <v>5.2565626223416706E-2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635551.49415512418</v>
      </c>
      <c r="D92" s="441">
        <f>LN_IC9*LN_IC6</f>
        <v>452184.03481495747</v>
      </c>
      <c r="E92" s="441">
        <f t="shared" si="8"/>
        <v>-183367.45934016671</v>
      </c>
      <c r="F92" s="449">
        <f t="shared" si="9"/>
        <v>-0.28851707694264461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432</v>
      </c>
      <c r="D93" s="456">
        <v>208</v>
      </c>
      <c r="E93" s="456">
        <f t="shared" si="8"/>
        <v>-224</v>
      </c>
      <c r="F93" s="449">
        <f t="shared" si="9"/>
        <v>-0.51851851851851849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165.8564814814815</v>
      </c>
      <c r="D94" s="499">
        <f>IF(LN_IC11=0,0,LN_IC2/LN_IC11)</f>
        <v>211.375</v>
      </c>
      <c r="E94" s="499">
        <f t="shared" si="8"/>
        <v>45.518518518518505</v>
      </c>
      <c r="F94" s="449">
        <f t="shared" si="9"/>
        <v>0.27444521981856235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4.2772277227722775</v>
      </c>
      <c r="D95" s="466">
        <f>IF(LN_IC4=0,0,LN_IC11/LN_IC4)</f>
        <v>3.25</v>
      </c>
      <c r="E95" s="466">
        <f t="shared" si="8"/>
        <v>-1.0272277227722775</v>
      </c>
      <c r="F95" s="449">
        <f t="shared" si="9"/>
        <v>-0.24016203703703709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6888511</v>
      </c>
      <c r="D98" s="448">
        <v>7304045</v>
      </c>
      <c r="E98" s="448">
        <f t="shared" ref="E98:E106" si="10">D98-C98</f>
        <v>415534</v>
      </c>
      <c r="F98" s="449">
        <f t="shared" ref="F98:F106" si="11">IF(C98=0,0,E98/C98)</f>
        <v>6.0322760608206911E-2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337348</v>
      </c>
      <c r="D99" s="448">
        <v>305620</v>
      </c>
      <c r="E99" s="448">
        <f t="shared" si="10"/>
        <v>-31728</v>
      </c>
      <c r="F99" s="449">
        <f t="shared" si="11"/>
        <v>-9.4051246783736678E-2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4.8972557349476545E-2</v>
      </c>
      <c r="D100" s="453">
        <f>IF(LN_IC14=0,0,LN_IC15/LN_IC14)</f>
        <v>4.1842568056467341E-2</v>
      </c>
      <c r="E100" s="454">
        <f t="shared" si="10"/>
        <v>-7.1299892930092035E-3</v>
      </c>
      <c r="F100" s="449">
        <f t="shared" si="11"/>
        <v>-0.14559152470083153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4.151265897542209</v>
      </c>
      <c r="D101" s="453">
        <f>IF(LN_IC1=0,0,LN_IC14/LN_IC1)</f>
        <v>5.9091298892206776</v>
      </c>
      <c r="E101" s="454">
        <f t="shared" si="10"/>
        <v>1.7578639916784686</v>
      </c>
      <c r="F101" s="449">
        <f t="shared" si="11"/>
        <v>0.42345251666948786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419.2778556517631</v>
      </c>
      <c r="D102" s="463">
        <f>LN_IC17*LN_IC4</f>
        <v>378.18431291012337</v>
      </c>
      <c r="E102" s="463">
        <f t="shared" si="10"/>
        <v>-41.093542741639737</v>
      </c>
      <c r="F102" s="449">
        <f t="shared" si="11"/>
        <v>-9.8010286466859192E-2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804.59293390440575</v>
      </c>
      <c r="D103" s="465">
        <f>IF(LN_IC18=0,0,LN_IC15/LN_IC18)</f>
        <v>808.12447678820433</v>
      </c>
      <c r="E103" s="465">
        <f t="shared" si="10"/>
        <v>3.5315428837985792</v>
      </c>
      <c r="F103" s="449">
        <f t="shared" si="11"/>
        <v>4.389229304638865E-3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6012.0108835766932</v>
      </c>
      <c r="D104" s="465">
        <f>LN_IB18-LN_IC19</f>
        <v>6322.653177802531</v>
      </c>
      <c r="E104" s="465">
        <f t="shared" si="10"/>
        <v>310.64229422583776</v>
      </c>
      <c r="F104" s="449">
        <f t="shared" si="11"/>
        <v>5.1670281415230744E-2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5898.9586734957547</v>
      </c>
      <c r="D105" s="465">
        <f>LN_IA16-LN_IC19</f>
        <v>6111.5095112970985</v>
      </c>
      <c r="E105" s="465">
        <f t="shared" si="10"/>
        <v>212.55083780134373</v>
      </c>
      <c r="F105" s="449">
        <f t="shared" si="11"/>
        <v>3.6031925220351639E-2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2473302.7432016688</v>
      </c>
      <c r="D106" s="448">
        <f>LN_IC21*LN_IC18</f>
        <v>2311277.0253735771</v>
      </c>
      <c r="E106" s="448">
        <f t="shared" si="10"/>
        <v>-162025.7178280917</v>
      </c>
      <c r="F106" s="449">
        <f t="shared" si="11"/>
        <v>-6.5509860559306549E-2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8547887</v>
      </c>
      <c r="D109" s="448">
        <f>LN_IC1+LN_IC14</f>
        <v>8540106</v>
      </c>
      <c r="E109" s="448">
        <f>D109-C109</f>
        <v>-7781</v>
      </c>
      <c r="F109" s="449">
        <f>IF(C109=0,0,E109/C109)</f>
        <v>-9.1028344197811688E-4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408998</v>
      </c>
      <c r="D110" s="448">
        <f>LN_IC2+LN_IC15</f>
        <v>349586</v>
      </c>
      <c r="E110" s="448">
        <f>D110-C110</f>
        <v>-59412</v>
      </c>
      <c r="F110" s="449">
        <f>IF(C110=0,0,E110/C110)</f>
        <v>-0.14526232402114436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8138889</v>
      </c>
      <c r="D111" s="448">
        <f>LN_IC23-LN_IC24</f>
        <v>8190520</v>
      </c>
      <c r="E111" s="448">
        <f>D111-C111</f>
        <v>51631</v>
      </c>
      <c r="F111" s="449">
        <f>IF(C111=0,0,E111/C111)</f>
        <v>6.3437405277305048E-3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3108854.2373567931</v>
      </c>
      <c r="D113" s="448">
        <f>LN_IC10+LN_IC22</f>
        <v>2763461.0601885347</v>
      </c>
      <c r="E113" s="448">
        <f>D113-C113</f>
        <v>-345393.17716825847</v>
      </c>
      <c r="F113" s="449">
        <f>IF(C113=0,0,E113/C113)</f>
        <v>-0.11109982996884354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47690262</v>
      </c>
      <c r="D118" s="448">
        <v>45897932</v>
      </c>
      <c r="E118" s="448">
        <f t="shared" ref="E118:E130" si="12">D118-C118</f>
        <v>-1792330</v>
      </c>
      <c r="F118" s="449">
        <f t="shared" ref="F118:F130" si="13">IF(C118=0,0,E118/C118)</f>
        <v>-3.7582724959657379E-2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12454005</v>
      </c>
      <c r="D119" s="448">
        <v>13073310</v>
      </c>
      <c r="E119" s="448">
        <f t="shared" si="12"/>
        <v>619305</v>
      </c>
      <c r="F119" s="449">
        <f t="shared" si="13"/>
        <v>4.9727376855878892E-2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0.26114356427733609</v>
      </c>
      <c r="D120" s="453">
        <f>IF(LN_ID1=0,0,LN_1D2/LN_ID1)</f>
        <v>0.28483440168938329</v>
      </c>
      <c r="E120" s="454">
        <f t="shared" si="12"/>
        <v>2.3690837412047194E-2</v>
      </c>
      <c r="F120" s="449">
        <f t="shared" si="13"/>
        <v>9.0719591262403768E-2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2180</v>
      </c>
      <c r="D121" s="456">
        <v>2269</v>
      </c>
      <c r="E121" s="456">
        <f t="shared" si="12"/>
        <v>89</v>
      </c>
      <c r="F121" s="449">
        <f t="shared" si="13"/>
        <v>4.0825688073394498E-2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1.0111699999999999</v>
      </c>
      <c r="D122" s="459">
        <v>1.02108</v>
      </c>
      <c r="E122" s="460">
        <f t="shared" si="12"/>
        <v>9.9100000000000854E-3</v>
      </c>
      <c r="F122" s="449">
        <f t="shared" si="13"/>
        <v>9.8005281011106799E-3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2204.3505999999998</v>
      </c>
      <c r="D123" s="463">
        <f>LN_ID4*LN_ID5</f>
        <v>2316.83052</v>
      </c>
      <c r="E123" s="463">
        <f t="shared" si="12"/>
        <v>112.47992000000022</v>
      </c>
      <c r="F123" s="449">
        <f t="shared" si="13"/>
        <v>5.1026329477715675E-2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5649.7387484549881</v>
      </c>
      <c r="D124" s="465">
        <f>IF(LN_ID6=0,0,LN_1D2/LN_ID6)</f>
        <v>5642.7562944914935</v>
      </c>
      <c r="E124" s="465">
        <f t="shared" si="12"/>
        <v>-6.9824539634946632</v>
      </c>
      <c r="F124" s="449">
        <f t="shared" si="13"/>
        <v>-1.2358897064760964E-3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2358.452364716326</v>
      </c>
      <c r="D125" s="465">
        <f>LN_IB7-LN_ID7</f>
        <v>2918.571746945845</v>
      </c>
      <c r="E125" s="465">
        <f t="shared" si="12"/>
        <v>560.11938222951903</v>
      </c>
      <c r="F125" s="449">
        <f t="shared" si="13"/>
        <v>0.23749446484872722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1223.0478550343059</v>
      </c>
      <c r="D126" s="465">
        <f>LN_IA7-LN_ID7</f>
        <v>1490.4932698067714</v>
      </c>
      <c r="E126" s="465">
        <f t="shared" si="12"/>
        <v>267.44541477246548</v>
      </c>
      <c r="F126" s="449">
        <f t="shared" si="13"/>
        <v>0.21867125940461565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2696026.2730735852</v>
      </c>
      <c r="D127" s="479">
        <f>LN_ID9*LN_ID6</f>
        <v>3453220.2973429225</v>
      </c>
      <c r="E127" s="479">
        <f t="shared" si="12"/>
        <v>757194.0242693373</v>
      </c>
      <c r="F127" s="449">
        <f t="shared" si="13"/>
        <v>0.28085558061201821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11034</v>
      </c>
      <c r="D128" s="456">
        <v>10980</v>
      </c>
      <c r="E128" s="456">
        <f t="shared" si="12"/>
        <v>-54</v>
      </c>
      <c r="F128" s="449">
        <f t="shared" si="13"/>
        <v>-4.8939641109298528E-3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1128.6935834692767</v>
      </c>
      <c r="D129" s="465">
        <f>IF(LN_ID11=0,0,LN_1D2/LN_ID11)</f>
        <v>1190.6475409836066</v>
      </c>
      <c r="E129" s="465">
        <f t="shared" si="12"/>
        <v>61.953957514329886</v>
      </c>
      <c r="F129" s="449">
        <f t="shared" si="13"/>
        <v>5.4889970512547251E-2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5.0614678899082568</v>
      </c>
      <c r="D130" s="466">
        <f>IF(LN_ID4=0,0,LN_ID11/LN_ID4)</f>
        <v>4.8391361833406785</v>
      </c>
      <c r="E130" s="466">
        <f t="shared" si="12"/>
        <v>-0.22233170656757828</v>
      </c>
      <c r="F130" s="449">
        <f t="shared" si="13"/>
        <v>-4.3926329555675242E-2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78735429</v>
      </c>
      <c r="D133" s="448">
        <v>85970911</v>
      </c>
      <c r="E133" s="448">
        <f t="shared" ref="E133:E141" si="14">D133-C133</f>
        <v>7235482</v>
      </c>
      <c r="F133" s="449">
        <f t="shared" ref="F133:F141" si="15">IF(C133=0,0,E133/C133)</f>
        <v>9.1896139919425593E-2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14833196</v>
      </c>
      <c r="D134" s="448">
        <v>16314131</v>
      </c>
      <c r="E134" s="448">
        <f t="shared" si="14"/>
        <v>1480935</v>
      </c>
      <c r="F134" s="449">
        <f t="shared" si="15"/>
        <v>9.9839238961043866E-2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0.1883929025140639</v>
      </c>
      <c r="D135" s="453">
        <f>IF(LN_ID14=0,0,LN_ID15/LN_ID14)</f>
        <v>0.18976338403579324</v>
      </c>
      <c r="E135" s="454">
        <f t="shared" si="14"/>
        <v>1.3704815217293331E-3</v>
      </c>
      <c r="F135" s="449">
        <f t="shared" si="15"/>
        <v>7.2745921074549181E-3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1.6509749726264871</v>
      </c>
      <c r="D136" s="453">
        <f>IF(LN_ID1=0,0,LN_ID14/LN_ID1)</f>
        <v>1.8730889879744472</v>
      </c>
      <c r="E136" s="454">
        <f t="shared" si="14"/>
        <v>0.22211401534796016</v>
      </c>
      <c r="F136" s="449">
        <f t="shared" si="15"/>
        <v>0.13453505899886875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3599.1254403257417</v>
      </c>
      <c r="D137" s="463">
        <f>LN_ID17*LN_ID4</f>
        <v>4250.038913714021</v>
      </c>
      <c r="E137" s="463">
        <f t="shared" si="14"/>
        <v>650.91347338827927</v>
      </c>
      <c r="F137" s="449">
        <f t="shared" si="15"/>
        <v>0.18085323342588688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4121.3334311175076</v>
      </c>
      <c r="D138" s="465">
        <f>IF(LN_ID18=0,0,LN_ID15/LN_ID18)</f>
        <v>3838.5839121043291</v>
      </c>
      <c r="E138" s="465">
        <f t="shared" si="14"/>
        <v>-282.74951901317854</v>
      </c>
      <c r="F138" s="449">
        <f t="shared" si="15"/>
        <v>-6.8606319711557645E-2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2695.2703863635916</v>
      </c>
      <c r="D139" s="465">
        <f>LN_IB18-LN_ID19</f>
        <v>3292.1937424864063</v>
      </c>
      <c r="E139" s="465">
        <f t="shared" si="14"/>
        <v>596.92335612281477</v>
      </c>
      <c r="F139" s="449">
        <f t="shared" si="15"/>
        <v>0.22147067661295852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2582.2181762826531</v>
      </c>
      <c r="D140" s="465">
        <f>LN_IA16-LN_ID19</f>
        <v>3081.0500759809738</v>
      </c>
      <c r="E140" s="465">
        <f t="shared" si="14"/>
        <v>498.83189969832074</v>
      </c>
      <c r="F140" s="449">
        <f t="shared" si="15"/>
        <v>0.19317960979441187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9293727.1307304371</v>
      </c>
      <c r="D141" s="441">
        <f>LN_ID21*LN_ID18</f>
        <v>13094582.718020679</v>
      </c>
      <c r="E141" s="441">
        <f t="shared" si="14"/>
        <v>3800855.5872902423</v>
      </c>
      <c r="F141" s="449">
        <f t="shared" si="15"/>
        <v>0.40897000028356928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126425691</v>
      </c>
      <c r="D144" s="448">
        <f>LN_ID1+LN_ID14</f>
        <v>131868843</v>
      </c>
      <c r="E144" s="448">
        <f>D144-C144</f>
        <v>5443152</v>
      </c>
      <c r="F144" s="449">
        <f>IF(C144=0,0,E144/C144)</f>
        <v>4.3054160566146325E-2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27287201</v>
      </c>
      <c r="D145" s="448">
        <f>LN_1D2+LN_ID15</f>
        <v>29387441</v>
      </c>
      <c r="E145" s="448">
        <f>D145-C145</f>
        <v>2100240</v>
      </c>
      <c r="F145" s="449">
        <f>IF(C145=0,0,E145/C145)</f>
        <v>7.6967952850862206E-2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99138490</v>
      </c>
      <c r="D146" s="448">
        <f>LN_ID23-LN_ID24</f>
        <v>102481402</v>
      </c>
      <c r="E146" s="448">
        <f>D146-C146</f>
        <v>3342912</v>
      </c>
      <c r="F146" s="449">
        <f>IF(C146=0,0,E146/C146)</f>
        <v>3.3719617879997971E-2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11989753.403804023</v>
      </c>
      <c r="D148" s="448">
        <f>LN_ID10+LN_ID22</f>
        <v>16547803.015363602</v>
      </c>
      <c r="E148" s="448">
        <f>D148-C148</f>
        <v>4558049.6115595791</v>
      </c>
      <c r="F148" s="503">
        <f>IF(C148=0,0,E148/C148)</f>
        <v>0.38016208157487491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8008.1911131713141</v>
      </c>
      <c r="D160" s="465">
        <f>LN_IB7-LN_IE7</f>
        <v>8561.3280414373385</v>
      </c>
      <c r="E160" s="465">
        <f t="shared" si="16"/>
        <v>553.13692826602437</v>
      </c>
      <c r="F160" s="449">
        <f t="shared" si="17"/>
        <v>6.9071394582012821E-2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6872.7866034892941</v>
      </c>
      <c r="D161" s="465">
        <f>LN_IA7-LN_IE7</f>
        <v>7133.2495642982649</v>
      </c>
      <c r="E161" s="465">
        <f t="shared" si="16"/>
        <v>260.46296080897082</v>
      </c>
      <c r="F161" s="449">
        <f t="shared" si="17"/>
        <v>3.7897722690347246E-2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6816.6038174810992</v>
      </c>
      <c r="D174" s="465">
        <f>LN_IB18-LN_IE19</f>
        <v>7130.7776545907354</v>
      </c>
      <c r="E174" s="465">
        <f t="shared" si="18"/>
        <v>314.17383710963622</v>
      </c>
      <c r="F174" s="449">
        <f t="shared" si="19"/>
        <v>4.6089496400530297E-2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6703.5516074001607</v>
      </c>
      <c r="D175" s="465">
        <f>LN_IA16-LN_IE19</f>
        <v>6919.6339880853029</v>
      </c>
      <c r="E175" s="465">
        <f t="shared" si="18"/>
        <v>216.0823806851422</v>
      </c>
      <c r="F175" s="449">
        <f t="shared" si="19"/>
        <v>3.2234014644804895E-2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47690262</v>
      </c>
      <c r="D188" s="448">
        <f>LN_ID1+LN_IE1</f>
        <v>45897932</v>
      </c>
      <c r="E188" s="448">
        <f t="shared" ref="E188:E200" si="20">D188-C188</f>
        <v>-1792330</v>
      </c>
      <c r="F188" s="449">
        <f t="shared" ref="F188:F200" si="21">IF(C188=0,0,E188/C188)</f>
        <v>-3.7582724959657379E-2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12454005</v>
      </c>
      <c r="D189" s="448">
        <f>LN_1D2+LN_IE2</f>
        <v>13073310</v>
      </c>
      <c r="E189" s="448">
        <f t="shared" si="20"/>
        <v>619305</v>
      </c>
      <c r="F189" s="449">
        <f t="shared" si="21"/>
        <v>4.9727376855878892E-2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0.26114356427733609</v>
      </c>
      <c r="D190" s="453">
        <f>IF(LN_IF1=0,0,LN_IF2/LN_IF1)</f>
        <v>0.28483440168938329</v>
      </c>
      <c r="E190" s="454">
        <f t="shared" si="20"/>
        <v>2.3690837412047194E-2</v>
      </c>
      <c r="F190" s="449">
        <f t="shared" si="21"/>
        <v>9.0719591262403768E-2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2180</v>
      </c>
      <c r="D191" s="456">
        <f>LN_ID4+LN_IE4</f>
        <v>2269</v>
      </c>
      <c r="E191" s="456">
        <f t="shared" si="20"/>
        <v>89</v>
      </c>
      <c r="F191" s="449">
        <f t="shared" si="21"/>
        <v>4.0825688073394498E-2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1.0111699999999999</v>
      </c>
      <c r="D192" s="459">
        <f>IF((LN_ID4+LN_IE4)=0,0,(LN_ID6+LN_IE6)/(LN_ID4+LN_IE4))</f>
        <v>1.02108</v>
      </c>
      <c r="E192" s="460">
        <f t="shared" si="20"/>
        <v>9.9100000000000854E-3</v>
      </c>
      <c r="F192" s="449">
        <f t="shared" si="21"/>
        <v>9.8005281011106799E-3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2204.3505999999998</v>
      </c>
      <c r="D193" s="463">
        <f>LN_IF4*LN_IF5</f>
        <v>2316.83052</v>
      </c>
      <c r="E193" s="463">
        <f t="shared" si="20"/>
        <v>112.47992000000022</v>
      </c>
      <c r="F193" s="449">
        <f t="shared" si="21"/>
        <v>5.1026329477715675E-2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5649.7387484549881</v>
      </c>
      <c r="D194" s="465">
        <f>IF(LN_IF6=0,0,LN_IF2/LN_IF6)</f>
        <v>5642.7562944914935</v>
      </c>
      <c r="E194" s="465">
        <f t="shared" si="20"/>
        <v>-6.9824539634946632</v>
      </c>
      <c r="F194" s="449">
        <f t="shared" si="21"/>
        <v>-1.2358897064760964E-3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2358.452364716326</v>
      </c>
      <c r="D195" s="465">
        <f>LN_IB7-LN_IF7</f>
        <v>2918.571746945845</v>
      </c>
      <c r="E195" s="465">
        <f t="shared" si="20"/>
        <v>560.11938222951903</v>
      </c>
      <c r="F195" s="449">
        <f t="shared" si="21"/>
        <v>0.23749446484872722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1223.0478550343059</v>
      </c>
      <c r="D196" s="465">
        <f>LN_IA7-LN_IF7</f>
        <v>1490.4932698067714</v>
      </c>
      <c r="E196" s="465">
        <f t="shared" si="20"/>
        <v>267.44541477246548</v>
      </c>
      <c r="F196" s="449">
        <f t="shared" si="21"/>
        <v>0.21867125940461565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2696026.2730735852</v>
      </c>
      <c r="D197" s="479">
        <f>LN_IF9*LN_IF6</f>
        <v>3453220.2973429225</v>
      </c>
      <c r="E197" s="479">
        <f t="shared" si="20"/>
        <v>757194.0242693373</v>
      </c>
      <c r="F197" s="449">
        <f t="shared" si="21"/>
        <v>0.28085558061201821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11034</v>
      </c>
      <c r="D198" s="456">
        <f>LN_ID11+LN_IE11</f>
        <v>10980</v>
      </c>
      <c r="E198" s="456">
        <f t="shared" si="20"/>
        <v>-54</v>
      </c>
      <c r="F198" s="449">
        <f t="shared" si="21"/>
        <v>-4.8939641109298528E-3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1128.6935834692767</v>
      </c>
      <c r="D199" s="519">
        <f>IF(LN_IF11=0,0,LN_IF2/LN_IF11)</f>
        <v>1190.6475409836066</v>
      </c>
      <c r="E199" s="519">
        <f t="shared" si="20"/>
        <v>61.953957514329886</v>
      </c>
      <c r="F199" s="449">
        <f t="shared" si="21"/>
        <v>5.4889970512547251E-2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5.0614678899082568</v>
      </c>
      <c r="D200" s="466">
        <f>IF(LN_IF4=0,0,LN_IF11/LN_IF4)</f>
        <v>4.8391361833406785</v>
      </c>
      <c r="E200" s="466">
        <f t="shared" si="20"/>
        <v>-0.22233170656757828</v>
      </c>
      <c r="F200" s="449">
        <f t="shared" si="21"/>
        <v>-4.3926329555675242E-2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78735429</v>
      </c>
      <c r="D203" s="448">
        <f>LN_ID14+LN_IE14</f>
        <v>85970911</v>
      </c>
      <c r="E203" s="448">
        <f t="shared" ref="E203:E211" si="22">D203-C203</f>
        <v>7235482</v>
      </c>
      <c r="F203" s="449">
        <f t="shared" ref="F203:F211" si="23">IF(C203=0,0,E203/C203)</f>
        <v>9.1896139919425593E-2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14833196</v>
      </c>
      <c r="D204" s="448">
        <f>LN_ID15+LN_IE15</f>
        <v>16314131</v>
      </c>
      <c r="E204" s="448">
        <f t="shared" si="22"/>
        <v>1480935</v>
      </c>
      <c r="F204" s="449">
        <f t="shared" si="23"/>
        <v>9.9839238961043866E-2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0.1883929025140639</v>
      </c>
      <c r="D205" s="453">
        <f>IF(LN_IF14=0,0,LN_IF15/LN_IF14)</f>
        <v>0.18976338403579324</v>
      </c>
      <c r="E205" s="454">
        <f t="shared" si="22"/>
        <v>1.3704815217293331E-3</v>
      </c>
      <c r="F205" s="449">
        <f t="shared" si="23"/>
        <v>7.2745921074549181E-3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1.6509749726264871</v>
      </c>
      <c r="D206" s="453">
        <f>IF(LN_IF1=0,0,LN_IF14/LN_IF1)</f>
        <v>1.8730889879744472</v>
      </c>
      <c r="E206" s="454">
        <f t="shared" si="22"/>
        <v>0.22211401534796016</v>
      </c>
      <c r="F206" s="449">
        <f t="shared" si="23"/>
        <v>0.13453505899886875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3599.1254403257417</v>
      </c>
      <c r="D207" s="463">
        <f>LN_ID18+LN_IE18</f>
        <v>4250.038913714021</v>
      </c>
      <c r="E207" s="463">
        <f t="shared" si="22"/>
        <v>650.91347338827927</v>
      </c>
      <c r="F207" s="449">
        <f t="shared" si="23"/>
        <v>0.18085323342588688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4121.3334311175076</v>
      </c>
      <c r="D208" s="465">
        <f>IF(LN_IF18=0,0,LN_IF15/LN_IF18)</f>
        <v>3838.5839121043291</v>
      </c>
      <c r="E208" s="465">
        <f t="shared" si="22"/>
        <v>-282.74951901317854</v>
      </c>
      <c r="F208" s="449">
        <f t="shared" si="23"/>
        <v>-6.8606319711557645E-2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2695.2703863635916</v>
      </c>
      <c r="D209" s="465">
        <f>LN_IB18-LN_IF19</f>
        <v>3292.1937424864063</v>
      </c>
      <c r="E209" s="465">
        <f t="shared" si="22"/>
        <v>596.92335612281477</v>
      </c>
      <c r="F209" s="449">
        <f t="shared" si="23"/>
        <v>0.22147067661295852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2582.2181762826531</v>
      </c>
      <c r="D210" s="465">
        <f>LN_IA16-LN_IF19</f>
        <v>3081.0500759809738</v>
      </c>
      <c r="E210" s="465">
        <f t="shared" si="22"/>
        <v>498.83189969832074</v>
      </c>
      <c r="F210" s="449">
        <f t="shared" si="23"/>
        <v>0.19317960979441187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9293727.1307304371</v>
      </c>
      <c r="D211" s="441">
        <f>LN_IF21*LN_IF18</f>
        <v>13094582.718020679</v>
      </c>
      <c r="E211" s="441">
        <f t="shared" si="22"/>
        <v>3800855.5872902423</v>
      </c>
      <c r="F211" s="449">
        <f t="shared" si="23"/>
        <v>0.40897000028356928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126425691</v>
      </c>
      <c r="D214" s="448">
        <f>LN_IF1+LN_IF14</f>
        <v>131868843</v>
      </c>
      <c r="E214" s="448">
        <f>D214-C214</f>
        <v>5443152</v>
      </c>
      <c r="F214" s="449">
        <f>IF(C214=0,0,E214/C214)</f>
        <v>4.3054160566146325E-2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27287201</v>
      </c>
      <c r="D215" s="448">
        <f>LN_IF2+LN_IF15</f>
        <v>29387441</v>
      </c>
      <c r="E215" s="448">
        <f>D215-C215</f>
        <v>2100240</v>
      </c>
      <c r="F215" s="449">
        <f>IF(C215=0,0,E215/C215)</f>
        <v>7.6967952850862206E-2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99138490</v>
      </c>
      <c r="D216" s="448">
        <f>LN_IF23-LN_IF24</f>
        <v>102481402</v>
      </c>
      <c r="E216" s="448">
        <f>D216-C216</f>
        <v>3342912</v>
      </c>
      <c r="F216" s="449">
        <f>IF(C216=0,0,E216/C216)</f>
        <v>3.3719617879997971E-2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992558</v>
      </c>
      <c r="D221" s="448">
        <v>1605652</v>
      </c>
      <c r="E221" s="448">
        <f t="shared" ref="E221:E230" si="24">D221-C221</f>
        <v>613094</v>
      </c>
      <c r="F221" s="449">
        <f t="shared" ref="F221:F230" si="25">IF(C221=0,0,E221/C221)</f>
        <v>0.61769085534548107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327784</v>
      </c>
      <c r="D222" s="448">
        <v>345852</v>
      </c>
      <c r="E222" s="448">
        <f t="shared" si="24"/>
        <v>18068</v>
      </c>
      <c r="F222" s="449">
        <f t="shared" si="25"/>
        <v>5.5121665487028043E-2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0.33024165842197634</v>
      </c>
      <c r="D223" s="453">
        <f>IF(LN_IG1=0,0,LN_IG2/LN_IG1)</f>
        <v>0.21539661146998229</v>
      </c>
      <c r="E223" s="454">
        <f t="shared" si="24"/>
        <v>-0.11484504695199405</v>
      </c>
      <c r="F223" s="449">
        <f t="shared" si="25"/>
        <v>-0.34776062929422213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40</v>
      </c>
      <c r="D224" s="456">
        <v>76</v>
      </c>
      <c r="E224" s="456">
        <f t="shared" si="24"/>
        <v>36</v>
      </c>
      <c r="F224" s="449">
        <f t="shared" si="25"/>
        <v>0.9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1.1261000000000001</v>
      </c>
      <c r="D225" s="459">
        <v>1.0809</v>
      </c>
      <c r="E225" s="460">
        <f t="shared" si="24"/>
        <v>-4.5200000000000129E-2</v>
      </c>
      <c r="F225" s="449">
        <f t="shared" si="25"/>
        <v>-4.0138531213924272E-2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45.044000000000004</v>
      </c>
      <c r="D226" s="463">
        <f>LN_IG3*LN_IG4</f>
        <v>82.148399999999995</v>
      </c>
      <c r="E226" s="463">
        <f t="shared" si="24"/>
        <v>37.104399999999991</v>
      </c>
      <c r="F226" s="449">
        <f t="shared" si="25"/>
        <v>0.82373679069354377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7276.9736257881177</v>
      </c>
      <c r="D227" s="465">
        <f>IF(LN_IG5=0,0,LN_IG2/LN_IG5)</f>
        <v>4210.0880844909943</v>
      </c>
      <c r="E227" s="465">
        <f t="shared" si="24"/>
        <v>-3066.8855412971234</v>
      </c>
      <c r="F227" s="449">
        <f t="shared" si="25"/>
        <v>-0.42145068802073204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211</v>
      </c>
      <c r="D228" s="456">
        <v>369</v>
      </c>
      <c r="E228" s="456">
        <f t="shared" si="24"/>
        <v>158</v>
      </c>
      <c r="F228" s="449">
        <f t="shared" si="25"/>
        <v>0.74881516587677721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1553.4786729857819</v>
      </c>
      <c r="D229" s="465">
        <f>IF(LN_IG6=0,0,LN_IG2/LN_IG6)</f>
        <v>937.26829268292681</v>
      </c>
      <c r="E229" s="465">
        <f t="shared" si="24"/>
        <v>-616.21038030285513</v>
      </c>
      <c r="F229" s="449">
        <f t="shared" si="25"/>
        <v>-0.39666484710633354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5.2750000000000004</v>
      </c>
      <c r="D230" s="466">
        <f>IF(LN_IG3=0,0,LN_IG6/LN_IG3)</f>
        <v>4.8552631578947372</v>
      </c>
      <c r="E230" s="466">
        <f t="shared" si="24"/>
        <v>-0.41973684210526319</v>
      </c>
      <c r="F230" s="449">
        <f t="shared" si="25"/>
        <v>-7.9570965328011972E-2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1603026</v>
      </c>
      <c r="D233" s="448">
        <v>1722468</v>
      </c>
      <c r="E233" s="448">
        <f>D233-C233</f>
        <v>119442</v>
      </c>
      <c r="F233" s="449">
        <f>IF(C233=0,0,E233/C233)</f>
        <v>7.4510332333973375E-2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329314</v>
      </c>
      <c r="D234" s="448">
        <v>369044</v>
      </c>
      <c r="E234" s="448">
        <f>D234-C234</f>
        <v>39730</v>
      </c>
      <c r="F234" s="449">
        <f>IF(C234=0,0,E234/C234)</f>
        <v>0.12064473420504443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2595584</v>
      </c>
      <c r="D237" s="448">
        <f>LN_IG1+LN_IG9</f>
        <v>3328120</v>
      </c>
      <c r="E237" s="448">
        <f>D237-C237</f>
        <v>732536</v>
      </c>
      <c r="F237" s="449">
        <f>IF(C237=0,0,E237/C237)</f>
        <v>0.28222396192918436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657098</v>
      </c>
      <c r="D238" s="448">
        <f>LN_IG2+LN_IG10</f>
        <v>714896</v>
      </c>
      <c r="E238" s="448">
        <f>D238-C238</f>
        <v>57798</v>
      </c>
      <c r="F238" s="449">
        <f>IF(C238=0,0,E238/C238)</f>
        <v>8.7959482451628226E-2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1938486</v>
      </c>
      <c r="D239" s="448">
        <f>LN_IG13-LN_IG14</f>
        <v>2613224</v>
      </c>
      <c r="E239" s="448">
        <f>D239-C239</f>
        <v>674738</v>
      </c>
      <c r="F239" s="449">
        <f>IF(C239=0,0,E239/C239)</f>
        <v>0.3480747346124759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17340796</v>
      </c>
      <c r="D243" s="448">
        <v>12387148</v>
      </c>
      <c r="E243" s="441">
        <f>D243-C243</f>
        <v>-4953648</v>
      </c>
      <c r="F243" s="503">
        <f>IF(C243=0,0,E243/C243)</f>
        <v>-0.28566439510619929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185309559</v>
      </c>
      <c r="D244" s="448">
        <v>179724323</v>
      </c>
      <c r="E244" s="441">
        <f>D244-C244</f>
        <v>-5585236</v>
      </c>
      <c r="F244" s="503">
        <f>IF(C244=0,0,E244/C244)</f>
        <v>-3.0140031794042531E-2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2411263</v>
      </c>
      <c r="D248" s="441">
        <v>1553798</v>
      </c>
      <c r="E248" s="441">
        <f>D248-C248</f>
        <v>-857465</v>
      </c>
      <c r="F248" s="449">
        <f>IF(C248=0,0,E248/C248)</f>
        <v>-0.35560824348069869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5822470</v>
      </c>
      <c r="D249" s="441">
        <v>6806310</v>
      </c>
      <c r="E249" s="441">
        <f>D249-C249</f>
        <v>983840</v>
      </c>
      <c r="F249" s="449">
        <f>IF(C249=0,0,E249/C249)</f>
        <v>0.16897296164686121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8233733</v>
      </c>
      <c r="D250" s="441">
        <f>LN_IH4+LN_IH5</f>
        <v>8360108</v>
      </c>
      <c r="E250" s="441">
        <f>D250-C250</f>
        <v>126375</v>
      </c>
      <c r="F250" s="449">
        <f>IF(C250=0,0,E250/C250)</f>
        <v>1.5348445231342819E-2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2296126.7922059274</v>
      </c>
      <c r="D251" s="441">
        <f>LN_IH6*LN_III10</f>
        <v>2417985.3918527132</v>
      </c>
      <c r="E251" s="441">
        <f>D251-C251</f>
        <v>121858.59964678576</v>
      </c>
      <c r="F251" s="449">
        <f>IF(C251=0,0,E251/C251)</f>
        <v>5.307137221708657E-2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126425691</v>
      </c>
      <c r="D254" s="441">
        <f>LN_IF23</f>
        <v>131868843</v>
      </c>
      <c r="E254" s="441">
        <f>D254-C254</f>
        <v>5443152</v>
      </c>
      <c r="F254" s="449">
        <f>IF(C254=0,0,E254/C254)</f>
        <v>4.3054160566146325E-2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27287201</v>
      </c>
      <c r="D255" s="441">
        <f>LN_IF24</f>
        <v>29387441</v>
      </c>
      <c r="E255" s="441">
        <f>D255-C255</f>
        <v>2100240</v>
      </c>
      <c r="F255" s="449">
        <f>IF(C255=0,0,E255/C255)</f>
        <v>7.6967952850862206E-2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35256112.425341919</v>
      </c>
      <c r="D256" s="441">
        <f>LN_IH8*LN_III10</f>
        <v>38140289.098480418</v>
      </c>
      <c r="E256" s="441">
        <f>D256-C256</f>
        <v>2884176.6731384993</v>
      </c>
      <c r="F256" s="449">
        <f>IF(C256=0,0,E256/C256)</f>
        <v>8.1806429431095395E-2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7968911.4253419191</v>
      </c>
      <c r="D257" s="441">
        <f>LN_IH10-LN_IH9</f>
        <v>8752848.0984804183</v>
      </c>
      <c r="E257" s="441">
        <f>D257-C257</f>
        <v>783936.67313849926</v>
      </c>
      <c r="F257" s="449">
        <f>IF(C257=0,0,E257/C257)</f>
        <v>9.8374374026231975E-2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232383939</v>
      </c>
      <c r="D261" s="448">
        <f>LN_IA1+LN_IB1+LN_IF1+LN_IG1</f>
        <v>219935975</v>
      </c>
      <c r="E261" s="448">
        <f t="shared" ref="E261:E274" si="26">D261-C261</f>
        <v>-12447964</v>
      </c>
      <c r="F261" s="503">
        <f t="shared" ref="F261:F274" si="27">IF(C261=0,0,E261/C261)</f>
        <v>-5.3566369748126182E-2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75536744</v>
      </c>
      <c r="D262" s="448">
        <f>+LN_IA2+LN_IB2+LN_IF2+LN_IG2</f>
        <v>76215656</v>
      </c>
      <c r="E262" s="448">
        <f t="shared" si="26"/>
        <v>678912</v>
      </c>
      <c r="F262" s="503">
        <f t="shared" si="27"/>
        <v>8.987837760123735E-3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0.32505148301148301</v>
      </c>
      <c r="D263" s="453">
        <f>IF(LN_IIA1=0,0,LN_IIA2/LN_IIA1)</f>
        <v>0.34653564974988743</v>
      </c>
      <c r="E263" s="454">
        <f t="shared" si="26"/>
        <v>2.148416673840442E-2</v>
      </c>
      <c r="F263" s="458">
        <f t="shared" si="27"/>
        <v>6.6094658419526275E-2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9110</v>
      </c>
      <c r="D264" s="456">
        <f>LN_IA4+LN_IB4+LN_IF4+LN_IG3</f>
        <v>8806</v>
      </c>
      <c r="E264" s="456">
        <f t="shared" si="26"/>
        <v>-304</v>
      </c>
      <c r="F264" s="503">
        <f t="shared" si="27"/>
        <v>-3.3369923161361142E-2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1.1908931196487376</v>
      </c>
      <c r="D265" s="525">
        <f>IF(LN_IIA4=0,0,LN_IIA6/LN_IIA4)</f>
        <v>1.1999761798773563</v>
      </c>
      <c r="E265" s="525">
        <f t="shared" si="26"/>
        <v>9.0830602286187112E-3</v>
      </c>
      <c r="F265" s="503">
        <f t="shared" si="27"/>
        <v>7.62709942542772E-3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10849.036319999999</v>
      </c>
      <c r="D266" s="463">
        <f>LN_IA6+LN_IB6+LN_IF6+LN_IG5</f>
        <v>10566.990239999999</v>
      </c>
      <c r="E266" s="463">
        <f t="shared" si="26"/>
        <v>-282.04608000000007</v>
      </c>
      <c r="F266" s="503">
        <f t="shared" si="27"/>
        <v>-2.5997339457704029E-2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369575729</v>
      </c>
      <c r="D267" s="448">
        <f>LN_IA11+LN_IB13+LN_IF14+LN_IG9</f>
        <v>379110519</v>
      </c>
      <c r="E267" s="448">
        <f t="shared" si="26"/>
        <v>9534790</v>
      </c>
      <c r="F267" s="503">
        <f t="shared" si="27"/>
        <v>2.5799286186350186E-2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1.5903669186018918</v>
      </c>
      <c r="D268" s="453">
        <f>IF(LN_IIA1=0,0,LN_IIA7/LN_IIA1)</f>
        <v>1.72373127679544</v>
      </c>
      <c r="E268" s="454">
        <f t="shared" si="26"/>
        <v>0.13336435819354819</v>
      </c>
      <c r="F268" s="458">
        <f t="shared" si="27"/>
        <v>8.3857603320113189E-2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100564432</v>
      </c>
      <c r="D269" s="448">
        <f>LN_IA12+LN_IB14+LN_IF15+LN_IG10</f>
        <v>105406050</v>
      </c>
      <c r="E269" s="448">
        <f t="shared" si="26"/>
        <v>4841618</v>
      </c>
      <c r="F269" s="503">
        <f t="shared" si="27"/>
        <v>4.8144437389155643E-2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0.27210778227268273</v>
      </c>
      <c r="D270" s="453">
        <f>IF(LN_IIA7=0,0,LN_IIA9/LN_IIA7)</f>
        <v>0.2780351499558365</v>
      </c>
      <c r="E270" s="454">
        <f t="shared" si="26"/>
        <v>5.9273676831537725E-3</v>
      </c>
      <c r="F270" s="458">
        <f t="shared" si="27"/>
        <v>2.1783161193140301E-2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601959668</v>
      </c>
      <c r="D271" s="441">
        <f>LN_IIA1+LN_IIA7</f>
        <v>599046494</v>
      </c>
      <c r="E271" s="441">
        <f t="shared" si="26"/>
        <v>-2913174</v>
      </c>
      <c r="F271" s="503">
        <f t="shared" si="27"/>
        <v>-4.8394836977682697E-3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176101176</v>
      </c>
      <c r="D272" s="441">
        <f>LN_IIA2+LN_IIA9</f>
        <v>181621706</v>
      </c>
      <c r="E272" s="441">
        <f t="shared" si="26"/>
        <v>5520530</v>
      </c>
      <c r="F272" s="503">
        <f t="shared" si="27"/>
        <v>3.1348626541823889E-2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0.29254647007347345</v>
      </c>
      <c r="D273" s="453">
        <f>IF(LN_IIA11=0,0,LN_IIA12/LN_IIA11)</f>
        <v>0.30318465731643196</v>
      </c>
      <c r="E273" s="454">
        <f t="shared" si="26"/>
        <v>1.0638187242958508E-2</v>
      </c>
      <c r="F273" s="458">
        <f t="shared" si="27"/>
        <v>3.6364093678131586E-2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44106</v>
      </c>
      <c r="D274" s="508">
        <f>LN_IA8+LN_IB10+LN_IF11+LN_IG6</f>
        <v>40692</v>
      </c>
      <c r="E274" s="528">
        <f t="shared" si="26"/>
        <v>-3414</v>
      </c>
      <c r="F274" s="458">
        <f t="shared" si="27"/>
        <v>-7.740443477077949E-2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174319962</v>
      </c>
      <c r="D277" s="448">
        <f>LN_IA1+LN_IF1+LN_IG1</f>
        <v>164911996</v>
      </c>
      <c r="E277" s="448">
        <f t="shared" ref="E277:E291" si="28">D277-C277</f>
        <v>-9407966</v>
      </c>
      <c r="F277" s="503">
        <f t="shared" ref="F277:F291" si="29">IF(C277=0,0,E277/C277)</f>
        <v>-5.3969527597763016E-2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49782460</v>
      </c>
      <c r="D278" s="448">
        <f>LN_IA2+LN_IF2+LN_IG2</f>
        <v>49046139</v>
      </c>
      <c r="E278" s="448">
        <f t="shared" si="28"/>
        <v>-736321</v>
      </c>
      <c r="F278" s="503">
        <f t="shared" si="29"/>
        <v>-1.479077168946653E-2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0.28558094798116124</v>
      </c>
      <c r="D279" s="453">
        <f>IF(D277=0,0,LN_IIB2/D277)</f>
        <v>0.29740795205704745</v>
      </c>
      <c r="E279" s="454">
        <f t="shared" si="28"/>
        <v>1.1827004075886216E-2</v>
      </c>
      <c r="F279" s="458">
        <f t="shared" si="29"/>
        <v>4.1413841362647211E-2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5896</v>
      </c>
      <c r="D280" s="456">
        <f>LN_IA4+LN_IF4+LN_IG3</f>
        <v>5698</v>
      </c>
      <c r="E280" s="456">
        <f t="shared" si="28"/>
        <v>-198</v>
      </c>
      <c r="F280" s="503">
        <f t="shared" si="29"/>
        <v>-3.3582089552238806E-2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1.2946139145183175</v>
      </c>
      <c r="D281" s="525">
        <f>IF(LN_IIB4=0,0,LN_IIB6/LN_IIB4)</f>
        <v>1.2975559143559143</v>
      </c>
      <c r="E281" s="525">
        <f t="shared" si="28"/>
        <v>2.9419998375967982E-3</v>
      </c>
      <c r="F281" s="503">
        <f t="shared" si="29"/>
        <v>2.2724920569785608E-3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7633.0436399999999</v>
      </c>
      <c r="D282" s="463">
        <f>LN_IA6+LN_IF6+LN_IG5</f>
        <v>7393.4735999999994</v>
      </c>
      <c r="E282" s="463">
        <f t="shared" si="28"/>
        <v>-239.57004000000052</v>
      </c>
      <c r="F282" s="503">
        <f t="shared" si="29"/>
        <v>-3.1385912527024482E-2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211326950</v>
      </c>
      <c r="D283" s="448">
        <f>LN_IA11+LN_IF14+LN_IG9</f>
        <v>227355046</v>
      </c>
      <c r="E283" s="448">
        <f t="shared" si="28"/>
        <v>16028096</v>
      </c>
      <c r="F283" s="503">
        <f t="shared" si="29"/>
        <v>7.5845016454361355E-2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1.2122934606881111</v>
      </c>
      <c r="D284" s="453">
        <f>IF(D277=0,0,LN_IIB7/D277)</f>
        <v>1.3786446802814758</v>
      </c>
      <c r="E284" s="454">
        <f t="shared" si="28"/>
        <v>0.16635121959336474</v>
      </c>
      <c r="F284" s="458">
        <f t="shared" si="29"/>
        <v>0.13722025647069147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40854371</v>
      </c>
      <c r="D285" s="448">
        <f>LN_IA12+LN_IF15+LN_IG10</f>
        <v>44282260</v>
      </c>
      <c r="E285" s="448">
        <f t="shared" si="28"/>
        <v>3427889</v>
      </c>
      <c r="F285" s="503">
        <f t="shared" si="29"/>
        <v>8.3905073462029314E-2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0.19332305226569541</v>
      </c>
      <c r="D286" s="453">
        <f>IF(LN_IIB7=0,0,LN_IIB9/LN_IIB7)</f>
        <v>0.19477139733243484</v>
      </c>
      <c r="E286" s="454">
        <f t="shared" si="28"/>
        <v>1.4483450667394371E-3</v>
      </c>
      <c r="F286" s="458">
        <f t="shared" si="29"/>
        <v>7.4918384008798395E-3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385646912</v>
      </c>
      <c r="D287" s="441">
        <f>D277+LN_IIB7</f>
        <v>392267042</v>
      </c>
      <c r="E287" s="441">
        <f t="shared" si="28"/>
        <v>6620130</v>
      </c>
      <c r="F287" s="503">
        <f t="shared" si="29"/>
        <v>1.7166298481861044E-2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90636831</v>
      </c>
      <c r="D288" s="441">
        <f>LN_IIB2+LN_IIB9</f>
        <v>93328399</v>
      </c>
      <c r="E288" s="441">
        <f t="shared" si="28"/>
        <v>2691568</v>
      </c>
      <c r="F288" s="503">
        <f t="shared" si="29"/>
        <v>2.9696183883569361E-2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0.23502542916770458</v>
      </c>
      <c r="D289" s="453">
        <f>IF(LN_IIB11=0,0,LN_IIB12/LN_IIB11)</f>
        <v>0.23792057197606725</v>
      </c>
      <c r="E289" s="454">
        <f t="shared" si="28"/>
        <v>2.8951428083626718E-3</v>
      </c>
      <c r="F289" s="458">
        <f t="shared" si="29"/>
        <v>1.2318423664261519E-2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32352</v>
      </c>
      <c r="D290" s="508">
        <f>LN_IA8+LN_IF11+LN_IG6</f>
        <v>30001</v>
      </c>
      <c r="E290" s="528">
        <f t="shared" si="28"/>
        <v>-2351</v>
      </c>
      <c r="F290" s="458">
        <f t="shared" si="29"/>
        <v>-7.2669386745796247E-2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295010081</v>
      </c>
      <c r="D291" s="516">
        <f>LN_IIB11-LN_IIB12</f>
        <v>298938643</v>
      </c>
      <c r="E291" s="441">
        <f t="shared" si="28"/>
        <v>3928562</v>
      </c>
      <c r="F291" s="503">
        <f t="shared" si="29"/>
        <v>1.3316704251879447E-2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5.7418389553862896</v>
      </c>
      <c r="D294" s="466">
        <f>IF(LN_IA4=0,0,LN_IA8/LN_IA4)</f>
        <v>5.5627796003578887</v>
      </c>
      <c r="E294" s="466">
        <f t="shared" ref="E294:E300" si="30">D294-C294</f>
        <v>-0.17905935502840098</v>
      </c>
      <c r="F294" s="503">
        <f t="shared" ref="F294:F300" si="31">IF(C294=0,0,E294/C294)</f>
        <v>-3.1185018670791775E-2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3.6571250777846918</v>
      </c>
      <c r="D295" s="466">
        <f>IF(LN_IB4=0,0,(LN_IB10)/(LN_IB4))</f>
        <v>3.4398326898326896</v>
      </c>
      <c r="E295" s="466">
        <f t="shared" si="30"/>
        <v>-0.21729238795200212</v>
      </c>
      <c r="F295" s="503">
        <f t="shared" si="31"/>
        <v>-5.9416176184935755E-2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4.2772277227722775</v>
      </c>
      <c r="D296" s="466">
        <f>IF(LN_IC4=0,0,LN_IC11/LN_IC4)</f>
        <v>3.25</v>
      </c>
      <c r="E296" s="466">
        <f t="shared" si="30"/>
        <v>-1.0272277227722775</v>
      </c>
      <c r="F296" s="503">
        <f t="shared" si="31"/>
        <v>-0.24016203703703709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5.0614678899082568</v>
      </c>
      <c r="D297" s="466">
        <f>IF(LN_ID4=0,0,LN_ID11/LN_ID4)</f>
        <v>4.8391361833406785</v>
      </c>
      <c r="E297" s="466">
        <f t="shared" si="30"/>
        <v>-0.22233170656757828</v>
      </c>
      <c r="F297" s="503">
        <f t="shared" si="31"/>
        <v>-4.3926329555675242E-2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5.2750000000000004</v>
      </c>
      <c r="D299" s="466">
        <f>IF(LN_IG3=0,0,LN_IG6/LN_IG3)</f>
        <v>4.8552631578947372</v>
      </c>
      <c r="E299" s="466">
        <f t="shared" si="30"/>
        <v>-0.41973684210526319</v>
      </c>
      <c r="F299" s="503">
        <f t="shared" si="31"/>
        <v>-7.9570965328011972E-2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4.8414928649835343</v>
      </c>
      <c r="D300" s="466">
        <f>IF(LN_IIA4=0,0,LN_IIA14/LN_IIA4)</f>
        <v>4.6209402679990914</v>
      </c>
      <c r="E300" s="466">
        <f t="shared" si="30"/>
        <v>-0.22055259698444285</v>
      </c>
      <c r="F300" s="503">
        <f t="shared" si="31"/>
        <v>-4.5554667358823617E-2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601959668</v>
      </c>
      <c r="D304" s="441">
        <f>LN_IIA11</f>
        <v>599046494</v>
      </c>
      <c r="E304" s="441">
        <f t="shared" ref="E304:E316" si="32">D304-C304</f>
        <v>-2913174</v>
      </c>
      <c r="F304" s="449">
        <f>IF(C304=0,0,E304/C304)</f>
        <v>-4.8394836977682697E-3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295010081</v>
      </c>
      <c r="D305" s="441">
        <f>LN_IIB14</f>
        <v>298938643</v>
      </c>
      <c r="E305" s="441">
        <f t="shared" si="32"/>
        <v>3928562</v>
      </c>
      <c r="F305" s="449">
        <f>IF(C305=0,0,E305/C305)</f>
        <v>1.3316704251879447E-2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8233733</v>
      </c>
      <c r="D306" s="441">
        <f>LN_IH6</f>
        <v>8360108</v>
      </c>
      <c r="E306" s="441">
        <f t="shared" si="32"/>
        <v>126375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130848409</v>
      </c>
      <c r="D307" s="441">
        <f>LN_IB32-LN_IB33</f>
        <v>118486145</v>
      </c>
      <c r="E307" s="441">
        <f t="shared" si="32"/>
        <v>-12362264</v>
      </c>
      <c r="F307" s="449">
        <f t="shared" ref="F307:F316" si="33">IF(C307=0,0,E307/C307)</f>
        <v>-9.4477755552992621E-2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434092223</v>
      </c>
      <c r="D309" s="441">
        <f>LN_III2+LN_III3+LN_III4+LN_III5</f>
        <v>425784896</v>
      </c>
      <c r="E309" s="441">
        <f t="shared" si="32"/>
        <v>-8307327</v>
      </c>
      <c r="F309" s="449">
        <f t="shared" si="33"/>
        <v>-1.9137239876329228E-2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167867445</v>
      </c>
      <c r="D310" s="441">
        <f>LN_III1-LN_III6</f>
        <v>173261598</v>
      </c>
      <c r="E310" s="441">
        <f t="shared" si="32"/>
        <v>5394153</v>
      </c>
      <c r="F310" s="449">
        <f t="shared" si="33"/>
        <v>3.2133407403680925E-2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167867445</v>
      </c>
      <c r="D312" s="441">
        <f>LN_III7+LN_III8</f>
        <v>173261598</v>
      </c>
      <c r="E312" s="441">
        <f t="shared" si="32"/>
        <v>5394153</v>
      </c>
      <c r="F312" s="449">
        <f t="shared" si="33"/>
        <v>3.2133407403680925E-2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0.27886825965888468</v>
      </c>
      <c r="D313" s="532">
        <f>IF(LN_III1=0,0,LN_III9/LN_III1)</f>
        <v>0.28922896592397052</v>
      </c>
      <c r="E313" s="532">
        <f t="shared" si="32"/>
        <v>1.0360706265085839E-2</v>
      </c>
      <c r="F313" s="449">
        <f t="shared" si="33"/>
        <v>3.715269094359893E-2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2296126.7922059274</v>
      </c>
      <c r="D314" s="441">
        <f>D313*LN_III5</f>
        <v>2417985.3918527132</v>
      </c>
      <c r="E314" s="441">
        <f t="shared" si="32"/>
        <v>121858.59964678576</v>
      </c>
      <c r="F314" s="449">
        <f t="shared" si="33"/>
        <v>5.307137221708657E-2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7968911.4253419191</v>
      </c>
      <c r="D315" s="441">
        <f>D313*LN_IH8-LN_IH9</f>
        <v>8752848.0984804183</v>
      </c>
      <c r="E315" s="441">
        <f t="shared" si="32"/>
        <v>783936.67313849926</v>
      </c>
      <c r="F315" s="449">
        <f t="shared" si="33"/>
        <v>9.8374374026231975E-2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10265038.217547847</v>
      </c>
      <c r="D318" s="441">
        <f>D314+D315+D316</f>
        <v>11170833.490333132</v>
      </c>
      <c r="E318" s="441">
        <f>D318-C318</f>
        <v>905795.27278528549</v>
      </c>
      <c r="F318" s="449">
        <f>IF(C318=0,0,E318/C318)</f>
        <v>8.8240808615485652E-2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9293727.1307304371</v>
      </c>
      <c r="D322" s="441">
        <f>LN_ID22</f>
        <v>13094582.718020679</v>
      </c>
      <c r="E322" s="441">
        <f>LN_IV2-C322</f>
        <v>3800855.5872902423</v>
      </c>
      <c r="F322" s="449">
        <f>IF(C322=0,0,E322/C322)</f>
        <v>0.40897000028356928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3108854.2373567931</v>
      </c>
      <c r="D324" s="441">
        <f>LN_IC10+LN_IC22</f>
        <v>2763461.0601885347</v>
      </c>
      <c r="E324" s="441">
        <f>LN_IV1-C324</f>
        <v>-345393.17716825847</v>
      </c>
      <c r="F324" s="449">
        <f>IF(C324=0,0,E324/C324)</f>
        <v>-0.11109982996884354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12402581.36808723</v>
      </c>
      <c r="D325" s="516">
        <f>LN_IV1+LN_IV2+LN_IV3</f>
        <v>15858043.778209213</v>
      </c>
      <c r="E325" s="441">
        <f>LN_IV4-C325</f>
        <v>3455462.4101219829</v>
      </c>
      <c r="F325" s="449">
        <f>IF(C325=0,0,E325/C325)</f>
        <v>0.27860832415203068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-3896909</v>
      </c>
      <c r="D330" s="516">
        <v>-5329253</v>
      </c>
      <c r="E330" s="518">
        <f t="shared" si="34"/>
        <v>-1432344</v>
      </c>
      <c r="F330" s="543">
        <f t="shared" si="35"/>
        <v>0.36755900638172462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172204267</v>
      </c>
      <c r="D331" s="516">
        <v>176292453</v>
      </c>
      <c r="E331" s="518">
        <f t="shared" si="34"/>
        <v>4088186</v>
      </c>
      <c r="F331" s="542">
        <f t="shared" si="35"/>
        <v>2.3740329268379861E-2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601959668</v>
      </c>
      <c r="D333" s="516">
        <v>599046493</v>
      </c>
      <c r="E333" s="518">
        <f t="shared" si="34"/>
        <v>-2913175</v>
      </c>
      <c r="F333" s="542">
        <f t="shared" si="35"/>
        <v>-4.8394853590091351E-3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8233733</v>
      </c>
      <c r="D335" s="516">
        <v>8360108</v>
      </c>
      <c r="E335" s="516">
        <f t="shared" si="34"/>
        <v>126375</v>
      </c>
      <c r="F335" s="542">
        <f t="shared" si="35"/>
        <v>1.5348445231342819E-2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scale="81" fitToHeight="0" orientation="portrait" horizontalDpi="1200" verticalDpi="1200" r:id="rId1"/>
  <headerFooter>
    <oddHeader>&amp;LOFFICE OF HEALTH CARE ACCESS&amp;CTWELVE MONTHS ACTUAL FILING&amp;RMANCHESTER MEMORIAL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C8" sqref="C1:C6553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58063977</v>
      </c>
      <c r="D14" s="589">
        <v>55023979</v>
      </c>
      <c r="E14" s="590">
        <f t="shared" ref="E14:E22" si="0">D14-C14</f>
        <v>-3039998</v>
      </c>
    </row>
    <row r="15" spans="1:5" s="421" customFormat="1" x14ac:dyDescent="0.2">
      <c r="A15" s="588">
        <v>2</v>
      </c>
      <c r="B15" s="587" t="s">
        <v>636</v>
      </c>
      <c r="C15" s="589">
        <v>125637142</v>
      </c>
      <c r="D15" s="591">
        <v>117408412</v>
      </c>
      <c r="E15" s="590">
        <f t="shared" si="0"/>
        <v>-8228730</v>
      </c>
    </row>
    <row r="16" spans="1:5" s="421" customFormat="1" x14ac:dyDescent="0.2">
      <c r="A16" s="588">
        <v>3</v>
      </c>
      <c r="B16" s="587" t="s">
        <v>778</v>
      </c>
      <c r="C16" s="589">
        <v>47690262</v>
      </c>
      <c r="D16" s="591">
        <v>45897932</v>
      </c>
      <c r="E16" s="590">
        <f t="shared" si="0"/>
        <v>-1792330</v>
      </c>
    </row>
    <row r="17" spans="1:5" s="421" customFormat="1" x14ac:dyDescent="0.2">
      <c r="A17" s="588">
        <v>4</v>
      </c>
      <c r="B17" s="587" t="s">
        <v>115</v>
      </c>
      <c r="C17" s="589">
        <v>47690262</v>
      </c>
      <c r="D17" s="591">
        <v>45897932</v>
      </c>
      <c r="E17" s="590">
        <f t="shared" si="0"/>
        <v>-1792330</v>
      </c>
    </row>
    <row r="18" spans="1:5" s="421" customFormat="1" x14ac:dyDescent="0.2">
      <c r="A18" s="588">
        <v>5</v>
      </c>
      <c r="B18" s="587" t="s">
        <v>744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992558</v>
      </c>
      <c r="D19" s="591">
        <v>1605652</v>
      </c>
      <c r="E19" s="590">
        <f t="shared" si="0"/>
        <v>613094</v>
      </c>
    </row>
    <row r="20" spans="1:5" s="421" customFormat="1" x14ac:dyDescent="0.2">
      <c r="A20" s="588">
        <v>7</v>
      </c>
      <c r="B20" s="587" t="s">
        <v>759</v>
      </c>
      <c r="C20" s="589">
        <v>1659376</v>
      </c>
      <c r="D20" s="591">
        <v>1236061</v>
      </c>
      <c r="E20" s="590">
        <f t="shared" si="0"/>
        <v>-423315</v>
      </c>
    </row>
    <row r="21" spans="1:5" s="421" customFormat="1" x14ac:dyDescent="0.2">
      <c r="A21" s="588"/>
      <c r="B21" s="592" t="s">
        <v>779</v>
      </c>
      <c r="C21" s="593">
        <f>SUM(C15+C16+C19)</f>
        <v>174319962</v>
      </c>
      <c r="D21" s="593">
        <f>SUM(D15+D16+D19)</f>
        <v>164911996</v>
      </c>
      <c r="E21" s="593">
        <f t="shared" si="0"/>
        <v>-9407966</v>
      </c>
    </row>
    <row r="22" spans="1:5" s="421" customFormat="1" x14ac:dyDescent="0.2">
      <c r="A22" s="588"/>
      <c r="B22" s="592" t="s">
        <v>465</v>
      </c>
      <c r="C22" s="593">
        <f>SUM(C14+C21)</f>
        <v>232383939</v>
      </c>
      <c r="D22" s="593">
        <f>SUM(D14+D21)</f>
        <v>219935975</v>
      </c>
      <c r="E22" s="593">
        <f t="shared" si="0"/>
        <v>-12447964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158248779</v>
      </c>
      <c r="D25" s="589">
        <v>151755473</v>
      </c>
      <c r="E25" s="590">
        <f t="shared" ref="E25:E33" si="1">D25-C25</f>
        <v>-6493306</v>
      </c>
    </row>
    <row r="26" spans="1:5" s="421" customFormat="1" x14ac:dyDescent="0.2">
      <c r="A26" s="588">
        <v>2</v>
      </c>
      <c r="B26" s="587" t="s">
        <v>636</v>
      </c>
      <c r="C26" s="589">
        <v>130988495</v>
      </c>
      <c r="D26" s="591">
        <v>139661667</v>
      </c>
      <c r="E26" s="590">
        <f t="shared" si="1"/>
        <v>8673172</v>
      </c>
    </row>
    <row r="27" spans="1:5" s="421" customFormat="1" x14ac:dyDescent="0.2">
      <c r="A27" s="588">
        <v>3</v>
      </c>
      <c r="B27" s="587" t="s">
        <v>778</v>
      </c>
      <c r="C27" s="589">
        <v>78735429</v>
      </c>
      <c r="D27" s="591">
        <v>85970911</v>
      </c>
      <c r="E27" s="590">
        <f t="shared" si="1"/>
        <v>7235482</v>
      </c>
    </row>
    <row r="28" spans="1:5" s="421" customFormat="1" x14ac:dyDescent="0.2">
      <c r="A28" s="588">
        <v>4</v>
      </c>
      <c r="B28" s="587" t="s">
        <v>115</v>
      </c>
      <c r="C28" s="589">
        <v>78735429</v>
      </c>
      <c r="D28" s="591">
        <v>85970911</v>
      </c>
      <c r="E28" s="590">
        <f t="shared" si="1"/>
        <v>7235482</v>
      </c>
    </row>
    <row r="29" spans="1:5" s="421" customFormat="1" x14ac:dyDescent="0.2">
      <c r="A29" s="588">
        <v>5</v>
      </c>
      <c r="B29" s="587" t="s">
        <v>744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1603026</v>
      </c>
      <c r="D30" s="591">
        <v>1722468</v>
      </c>
      <c r="E30" s="590">
        <f t="shared" si="1"/>
        <v>119442</v>
      </c>
    </row>
    <row r="31" spans="1:5" s="421" customFormat="1" x14ac:dyDescent="0.2">
      <c r="A31" s="588">
        <v>7</v>
      </c>
      <c r="B31" s="587" t="s">
        <v>759</v>
      </c>
      <c r="C31" s="590">
        <v>6888511</v>
      </c>
      <c r="D31" s="594">
        <v>7304045</v>
      </c>
      <c r="E31" s="590">
        <f t="shared" si="1"/>
        <v>415534</v>
      </c>
    </row>
    <row r="32" spans="1:5" s="421" customFormat="1" x14ac:dyDescent="0.2">
      <c r="A32" s="588"/>
      <c r="B32" s="592" t="s">
        <v>781</v>
      </c>
      <c r="C32" s="593">
        <f>SUM(C26+C27+C30)</f>
        <v>211326950</v>
      </c>
      <c r="D32" s="593">
        <f>SUM(D26+D27+D30)</f>
        <v>227355046</v>
      </c>
      <c r="E32" s="593">
        <f t="shared" si="1"/>
        <v>16028096</v>
      </c>
    </row>
    <row r="33" spans="1:5" s="421" customFormat="1" x14ac:dyDescent="0.2">
      <c r="A33" s="588"/>
      <c r="B33" s="592" t="s">
        <v>467</v>
      </c>
      <c r="C33" s="593">
        <f>SUM(C25+C32)</f>
        <v>369575729</v>
      </c>
      <c r="D33" s="593">
        <f>SUM(D25+D32)</f>
        <v>379110519</v>
      </c>
      <c r="E33" s="593">
        <f t="shared" si="1"/>
        <v>9534790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216312756</v>
      </c>
      <c r="D36" s="590">
        <f t="shared" si="2"/>
        <v>206779452</v>
      </c>
      <c r="E36" s="590">
        <f t="shared" ref="E36:E44" si="3">D36-C36</f>
        <v>-9533304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256625637</v>
      </c>
      <c r="D37" s="590">
        <f t="shared" si="2"/>
        <v>257070079</v>
      </c>
      <c r="E37" s="590">
        <f t="shared" si="3"/>
        <v>444442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126425691</v>
      </c>
      <c r="D38" s="590">
        <f t="shared" si="2"/>
        <v>131868843</v>
      </c>
      <c r="E38" s="590">
        <f t="shared" si="3"/>
        <v>5443152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126425691</v>
      </c>
      <c r="D39" s="590">
        <f t="shared" si="2"/>
        <v>131868843</v>
      </c>
      <c r="E39" s="590">
        <f t="shared" si="3"/>
        <v>5443152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2595584</v>
      </c>
      <c r="D41" s="590">
        <f t="shared" si="2"/>
        <v>3328120</v>
      </c>
      <c r="E41" s="590">
        <f t="shared" si="3"/>
        <v>732536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8547887</v>
      </c>
      <c r="D42" s="590">
        <f t="shared" si="2"/>
        <v>8540106</v>
      </c>
      <c r="E42" s="590">
        <f t="shared" si="3"/>
        <v>-7781</v>
      </c>
    </row>
    <row r="43" spans="1:5" s="421" customFormat="1" x14ac:dyDescent="0.2">
      <c r="A43" s="588"/>
      <c r="B43" s="592" t="s">
        <v>789</v>
      </c>
      <c r="C43" s="593">
        <f>SUM(C37+C38+C41)</f>
        <v>385646912</v>
      </c>
      <c r="D43" s="593">
        <f>SUM(D37+D38+D41)</f>
        <v>392267042</v>
      </c>
      <c r="E43" s="593">
        <f t="shared" si="3"/>
        <v>6620130</v>
      </c>
    </row>
    <row r="44" spans="1:5" s="421" customFormat="1" x14ac:dyDescent="0.2">
      <c r="A44" s="588"/>
      <c r="B44" s="592" t="s">
        <v>726</v>
      </c>
      <c r="C44" s="593">
        <f>SUM(C36+C43)</f>
        <v>601959668</v>
      </c>
      <c r="D44" s="593">
        <f>SUM(D36+D43)</f>
        <v>599046494</v>
      </c>
      <c r="E44" s="593">
        <f t="shared" si="3"/>
        <v>-2913174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25754284</v>
      </c>
      <c r="D47" s="589">
        <v>27169517</v>
      </c>
      <c r="E47" s="590">
        <f t="shared" ref="E47:E55" si="4">D47-C47</f>
        <v>1415233</v>
      </c>
    </row>
    <row r="48" spans="1:5" s="421" customFormat="1" x14ac:dyDescent="0.2">
      <c r="A48" s="588">
        <v>2</v>
      </c>
      <c r="B48" s="587" t="s">
        <v>636</v>
      </c>
      <c r="C48" s="589">
        <v>37000671</v>
      </c>
      <c r="D48" s="591">
        <v>35626977</v>
      </c>
      <c r="E48" s="590">
        <f t="shared" si="4"/>
        <v>-1373694</v>
      </c>
    </row>
    <row r="49" spans="1:5" s="421" customFormat="1" x14ac:dyDescent="0.2">
      <c r="A49" s="588">
        <v>3</v>
      </c>
      <c r="B49" s="587" t="s">
        <v>778</v>
      </c>
      <c r="C49" s="589">
        <v>12454005</v>
      </c>
      <c r="D49" s="591">
        <v>13073310</v>
      </c>
      <c r="E49" s="590">
        <f t="shared" si="4"/>
        <v>619305</v>
      </c>
    </row>
    <row r="50" spans="1:5" s="421" customFormat="1" x14ac:dyDescent="0.2">
      <c r="A50" s="588">
        <v>4</v>
      </c>
      <c r="B50" s="587" t="s">
        <v>115</v>
      </c>
      <c r="C50" s="589">
        <v>12454005</v>
      </c>
      <c r="D50" s="591">
        <v>13073310</v>
      </c>
      <c r="E50" s="590">
        <f t="shared" si="4"/>
        <v>619305</v>
      </c>
    </row>
    <row r="51" spans="1:5" s="421" customFormat="1" x14ac:dyDescent="0.2">
      <c r="A51" s="588">
        <v>5</v>
      </c>
      <c r="B51" s="587" t="s">
        <v>744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327784</v>
      </c>
      <c r="D52" s="591">
        <v>345852</v>
      </c>
      <c r="E52" s="590">
        <f t="shared" si="4"/>
        <v>18068</v>
      </c>
    </row>
    <row r="53" spans="1:5" s="421" customFormat="1" x14ac:dyDescent="0.2">
      <c r="A53" s="588">
        <v>7</v>
      </c>
      <c r="B53" s="587" t="s">
        <v>759</v>
      </c>
      <c r="C53" s="589">
        <v>71650</v>
      </c>
      <c r="D53" s="591">
        <v>43966</v>
      </c>
      <c r="E53" s="590">
        <f t="shared" si="4"/>
        <v>-27684</v>
      </c>
    </row>
    <row r="54" spans="1:5" s="421" customFormat="1" x14ac:dyDescent="0.2">
      <c r="A54" s="588"/>
      <c r="B54" s="592" t="s">
        <v>791</v>
      </c>
      <c r="C54" s="593">
        <f>SUM(C48+C49+C52)</f>
        <v>49782460</v>
      </c>
      <c r="D54" s="593">
        <f>SUM(D48+D49+D52)</f>
        <v>49046139</v>
      </c>
      <c r="E54" s="593">
        <f t="shared" si="4"/>
        <v>-736321</v>
      </c>
    </row>
    <row r="55" spans="1:5" s="421" customFormat="1" x14ac:dyDescent="0.2">
      <c r="A55" s="588"/>
      <c r="B55" s="592" t="s">
        <v>466</v>
      </c>
      <c r="C55" s="593">
        <f>SUM(C47+C54)</f>
        <v>75536744</v>
      </c>
      <c r="D55" s="593">
        <f>SUM(D47+D54)</f>
        <v>76215656</v>
      </c>
      <c r="E55" s="593">
        <f t="shared" si="4"/>
        <v>678912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59710061</v>
      </c>
      <c r="D58" s="589">
        <v>61123790</v>
      </c>
      <c r="E58" s="590">
        <f t="shared" ref="E58:E66" si="5">D58-C58</f>
        <v>1413729</v>
      </c>
    </row>
    <row r="59" spans="1:5" s="421" customFormat="1" x14ac:dyDescent="0.2">
      <c r="A59" s="588">
        <v>2</v>
      </c>
      <c r="B59" s="587" t="s">
        <v>636</v>
      </c>
      <c r="C59" s="589">
        <v>25691861</v>
      </c>
      <c r="D59" s="591">
        <v>27599085</v>
      </c>
      <c r="E59" s="590">
        <f t="shared" si="5"/>
        <v>1907224</v>
      </c>
    </row>
    <row r="60" spans="1:5" s="421" customFormat="1" x14ac:dyDescent="0.2">
      <c r="A60" s="588">
        <v>3</v>
      </c>
      <c r="B60" s="587" t="s">
        <v>778</v>
      </c>
      <c r="C60" s="589">
        <f>C61+C62</f>
        <v>14833196</v>
      </c>
      <c r="D60" s="591">
        <f>D61+D62</f>
        <v>16314131</v>
      </c>
      <c r="E60" s="590">
        <f t="shared" si="5"/>
        <v>1480935</v>
      </c>
    </row>
    <row r="61" spans="1:5" s="421" customFormat="1" x14ac:dyDescent="0.2">
      <c r="A61" s="588">
        <v>4</v>
      </c>
      <c r="B61" s="587" t="s">
        <v>115</v>
      </c>
      <c r="C61" s="589">
        <v>14833196</v>
      </c>
      <c r="D61" s="591">
        <v>16314131</v>
      </c>
      <c r="E61" s="590">
        <f t="shared" si="5"/>
        <v>1480935</v>
      </c>
    </row>
    <row r="62" spans="1:5" s="421" customFormat="1" x14ac:dyDescent="0.2">
      <c r="A62" s="588">
        <v>5</v>
      </c>
      <c r="B62" s="587" t="s">
        <v>744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329314</v>
      </c>
      <c r="D63" s="591">
        <v>369044</v>
      </c>
      <c r="E63" s="590">
        <f t="shared" si="5"/>
        <v>39730</v>
      </c>
    </row>
    <row r="64" spans="1:5" s="421" customFormat="1" x14ac:dyDescent="0.2">
      <c r="A64" s="588">
        <v>7</v>
      </c>
      <c r="B64" s="587" t="s">
        <v>759</v>
      </c>
      <c r="C64" s="589">
        <v>337348</v>
      </c>
      <c r="D64" s="591">
        <v>305620</v>
      </c>
      <c r="E64" s="590">
        <f t="shared" si="5"/>
        <v>-31728</v>
      </c>
    </row>
    <row r="65" spans="1:5" s="421" customFormat="1" x14ac:dyDescent="0.2">
      <c r="A65" s="588"/>
      <c r="B65" s="592" t="s">
        <v>793</v>
      </c>
      <c r="C65" s="593">
        <f>SUM(C59+C60+C63)</f>
        <v>40854371</v>
      </c>
      <c r="D65" s="593">
        <f>SUM(D59+D60+D63)</f>
        <v>44282260</v>
      </c>
      <c r="E65" s="593">
        <f t="shared" si="5"/>
        <v>3427889</v>
      </c>
    </row>
    <row r="66" spans="1:5" s="421" customFormat="1" x14ac:dyDescent="0.2">
      <c r="A66" s="588"/>
      <c r="B66" s="592" t="s">
        <v>468</v>
      </c>
      <c r="C66" s="593">
        <f>SUM(C58+C65)</f>
        <v>100564432</v>
      </c>
      <c r="D66" s="593">
        <f>SUM(D58+D65)</f>
        <v>105406050</v>
      </c>
      <c r="E66" s="593">
        <f t="shared" si="5"/>
        <v>4841618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85464345</v>
      </c>
      <c r="D69" s="590">
        <f t="shared" si="6"/>
        <v>88293307</v>
      </c>
      <c r="E69" s="590">
        <f t="shared" ref="E69:E77" si="7">D69-C69</f>
        <v>2828962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62692532</v>
      </c>
      <c r="D70" s="590">
        <f t="shared" si="6"/>
        <v>63226062</v>
      </c>
      <c r="E70" s="590">
        <f t="shared" si="7"/>
        <v>533530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27287201</v>
      </c>
      <c r="D71" s="590">
        <f t="shared" si="6"/>
        <v>29387441</v>
      </c>
      <c r="E71" s="590">
        <f t="shared" si="7"/>
        <v>2100240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27287201</v>
      </c>
      <c r="D72" s="590">
        <f t="shared" si="6"/>
        <v>29387441</v>
      </c>
      <c r="E72" s="590">
        <f t="shared" si="7"/>
        <v>2100240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657098</v>
      </c>
      <c r="D74" s="590">
        <f t="shared" si="6"/>
        <v>714896</v>
      </c>
      <c r="E74" s="590">
        <f t="shared" si="7"/>
        <v>57798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408998</v>
      </c>
      <c r="D75" s="590">
        <f t="shared" si="6"/>
        <v>349586</v>
      </c>
      <c r="E75" s="590">
        <f t="shared" si="7"/>
        <v>-59412</v>
      </c>
    </row>
    <row r="76" spans="1:5" s="421" customFormat="1" x14ac:dyDescent="0.2">
      <c r="A76" s="588"/>
      <c r="B76" s="592" t="s">
        <v>794</v>
      </c>
      <c r="C76" s="593">
        <f>SUM(C70+C71+C74)</f>
        <v>90636831</v>
      </c>
      <c r="D76" s="593">
        <f>SUM(D70+D71+D74)</f>
        <v>93328399</v>
      </c>
      <c r="E76" s="593">
        <f t="shared" si="7"/>
        <v>2691568</v>
      </c>
    </row>
    <row r="77" spans="1:5" s="421" customFormat="1" x14ac:dyDescent="0.2">
      <c r="A77" s="588"/>
      <c r="B77" s="592" t="s">
        <v>727</v>
      </c>
      <c r="C77" s="593">
        <f>SUM(C69+C76)</f>
        <v>176101176</v>
      </c>
      <c r="D77" s="593">
        <f>SUM(D69+D76)</f>
        <v>181621706</v>
      </c>
      <c r="E77" s="593">
        <f t="shared" si="7"/>
        <v>5520530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9.6458251418930607E-2</v>
      </c>
      <c r="D83" s="599">
        <f t="shared" si="8"/>
        <v>9.1852601678026016E-2</v>
      </c>
      <c r="E83" s="599">
        <f t="shared" ref="E83:E91" si="9">D83-C83</f>
        <v>-4.605649740904591E-3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0.20871355454332532</v>
      </c>
      <c r="D84" s="599">
        <f t="shared" si="8"/>
        <v>0.1959921528227824</v>
      </c>
      <c r="E84" s="599">
        <f t="shared" si="9"/>
        <v>-1.2721401720542924E-2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7.9225012131543676E-2</v>
      </c>
      <c r="D85" s="599">
        <f t="shared" si="8"/>
        <v>7.6618313369178986E-2</v>
      </c>
      <c r="E85" s="599">
        <f t="shared" si="9"/>
        <v>-2.6066987623646898E-3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7.9225012131543676E-2</v>
      </c>
      <c r="D86" s="599">
        <f t="shared" si="8"/>
        <v>7.6618313369178986E-2</v>
      </c>
      <c r="E86" s="599">
        <f t="shared" si="9"/>
        <v>-2.6066987623646898E-3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1.648877911202516E-3</v>
      </c>
      <c r="D88" s="599">
        <f t="shared" si="8"/>
        <v>2.6803462103226999E-3</v>
      </c>
      <c r="E88" s="599">
        <f t="shared" si="9"/>
        <v>1.0314682991201839E-3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2.7566232228036914E-3</v>
      </c>
      <c r="D89" s="599">
        <f t="shared" si="8"/>
        <v>2.0633807431982066E-3</v>
      </c>
      <c r="E89" s="599">
        <f t="shared" si="9"/>
        <v>-6.9324247960548483E-4</v>
      </c>
    </row>
    <row r="90" spans="1:5" s="421" customFormat="1" x14ac:dyDescent="0.2">
      <c r="A90" s="588"/>
      <c r="B90" s="592" t="s">
        <v>797</v>
      </c>
      <c r="C90" s="600">
        <f>SUM(C84+C85+C88)</f>
        <v>0.2895874445860715</v>
      </c>
      <c r="D90" s="600">
        <f>SUM(D84+D85+D88)</f>
        <v>0.27529081240228409</v>
      </c>
      <c r="E90" s="601">
        <f t="shared" si="9"/>
        <v>-1.4296632183787406E-2</v>
      </c>
    </row>
    <row r="91" spans="1:5" s="421" customFormat="1" x14ac:dyDescent="0.2">
      <c r="A91" s="588"/>
      <c r="B91" s="592" t="s">
        <v>798</v>
      </c>
      <c r="C91" s="600">
        <f>SUM(C83+C90)</f>
        <v>0.3860456960050021</v>
      </c>
      <c r="D91" s="600">
        <f>SUM(D83+D90)</f>
        <v>0.36714341408031009</v>
      </c>
      <c r="E91" s="601">
        <f t="shared" si="9"/>
        <v>-1.890228192469201E-2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0.26288933862592267</v>
      </c>
      <c r="D95" s="599">
        <f t="shared" si="10"/>
        <v>0.25332837187091523</v>
      </c>
      <c r="E95" s="599">
        <f t="shared" ref="E95:E103" si="11">D95-C95</f>
        <v>-9.5609667550074495E-3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0.2176034408338467</v>
      </c>
      <c r="D96" s="599">
        <f t="shared" si="10"/>
        <v>0.23313994556155435</v>
      </c>
      <c r="E96" s="599">
        <f t="shared" si="11"/>
        <v>1.5536504727707651E-2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0.13079851223520841</v>
      </c>
      <c r="D97" s="599">
        <f t="shared" si="10"/>
        <v>0.14351291904898453</v>
      </c>
      <c r="E97" s="599">
        <f t="shared" si="11"/>
        <v>1.2714406813776113E-2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0.13079851223520841</v>
      </c>
      <c r="D98" s="599">
        <f t="shared" si="10"/>
        <v>0.14351291904898453</v>
      </c>
      <c r="E98" s="599">
        <f t="shared" si="11"/>
        <v>1.2714406813776113E-2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2.6630123000200736E-3</v>
      </c>
      <c r="D100" s="599">
        <f t="shared" si="10"/>
        <v>2.8753494382357573E-3</v>
      </c>
      <c r="E100" s="599">
        <f t="shared" si="11"/>
        <v>2.1233713821568363E-4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1.1443475977197861E-2</v>
      </c>
      <c r="D101" s="599">
        <f t="shared" si="10"/>
        <v>1.2192784822474897E-2</v>
      </c>
      <c r="E101" s="599">
        <f t="shared" si="11"/>
        <v>7.4930884527703648E-4</v>
      </c>
    </row>
    <row r="102" spans="1:5" s="421" customFormat="1" x14ac:dyDescent="0.2">
      <c r="A102" s="588"/>
      <c r="B102" s="592" t="s">
        <v>800</v>
      </c>
      <c r="C102" s="600">
        <f>SUM(C96+C97+C100)</f>
        <v>0.35106496536907517</v>
      </c>
      <c r="D102" s="600">
        <f>SUM(D96+D97+D100)</f>
        <v>0.37952821404877463</v>
      </c>
      <c r="E102" s="601">
        <f t="shared" si="11"/>
        <v>2.846324867969946E-2</v>
      </c>
    </row>
    <row r="103" spans="1:5" s="421" customFormat="1" x14ac:dyDescent="0.2">
      <c r="A103" s="588"/>
      <c r="B103" s="592" t="s">
        <v>801</v>
      </c>
      <c r="C103" s="600">
        <f>SUM(C95+C102)</f>
        <v>0.61395430399499784</v>
      </c>
      <c r="D103" s="600">
        <f>SUM(D95+D102)</f>
        <v>0.63285658591968985</v>
      </c>
      <c r="E103" s="601">
        <f t="shared" si="11"/>
        <v>1.890228192469201E-2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0.14624708695869243</v>
      </c>
      <c r="D109" s="599">
        <f t="shared" si="12"/>
        <v>0.14959399731659828</v>
      </c>
      <c r="E109" s="599">
        <f t="shared" ref="E109:E117" si="13">D109-C109</f>
        <v>3.3469103579058523E-3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0.21011030045591519</v>
      </c>
      <c r="D110" s="599">
        <f t="shared" si="12"/>
        <v>0.19616034770645752</v>
      </c>
      <c r="E110" s="599">
        <f t="shared" si="13"/>
        <v>-1.3949952749457678E-2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7.0720737265263914E-2</v>
      </c>
      <c r="D111" s="599">
        <f t="shared" si="12"/>
        <v>7.1980988880260818E-2</v>
      </c>
      <c r="E111" s="599">
        <f t="shared" si="13"/>
        <v>1.2602516149969045E-3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7.0720737265263914E-2</v>
      </c>
      <c r="D112" s="599">
        <f t="shared" si="12"/>
        <v>7.1980988880260818E-2</v>
      </c>
      <c r="E112" s="599">
        <f t="shared" si="13"/>
        <v>1.2602516149969045E-3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1.8613390747600686E-3</v>
      </c>
      <c r="D114" s="599">
        <f t="shared" si="12"/>
        <v>1.9042437581772301E-3</v>
      </c>
      <c r="E114" s="599">
        <f t="shared" si="13"/>
        <v>4.290468341716148E-5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4.0686837889146178E-4</v>
      </c>
      <c r="D115" s="599">
        <f t="shared" si="12"/>
        <v>2.4207458991713248E-4</v>
      </c>
      <c r="E115" s="599">
        <f t="shared" si="13"/>
        <v>-1.647937889743293E-4</v>
      </c>
    </row>
    <row r="116" spans="1:5" s="421" customFormat="1" x14ac:dyDescent="0.2">
      <c r="A116" s="588"/>
      <c r="B116" s="592" t="s">
        <v>797</v>
      </c>
      <c r="C116" s="600">
        <f>SUM(C110+C111+C114)</f>
        <v>0.28269237679593917</v>
      </c>
      <c r="D116" s="600">
        <f>SUM(D110+D111+D114)</f>
        <v>0.27004558034489556</v>
      </c>
      <c r="E116" s="601">
        <f t="shared" si="13"/>
        <v>-1.2646796451043607E-2</v>
      </c>
    </row>
    <row r="117" spans="1:5" s="421" customFormat="1" x14ac:dyDescent="0.2">
      <c r="A117" s="588"/>
      <c r="B117" s="592" t="s">
        <v>798</v>
      </c>
      <c r="C117" s="600">
        <f>SUM(C109+C116)</f>
        <v>0.4289394637546316</v>
      </c>
      <c r="D117" s="600">
        <f>SUM(D109+D116)</f>
        <v>0.41963957766149385</v>
      </c>
      <c r="E117" s="601">
        <f t="shared" si="13"/>
        <v>-9.2998860931377547E-3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0.33906679305764548</v>
      </c>
      <c r="D121" s="599">
        <f t="shared" si="14"/>
        <v>0.33654452073035807</v>
      </c>
      <c r="E121" s="599">
        <f t="shared" ref="E121:E129" si="15">D121-C121</f>
        <v>-2.5222723272874115E-3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0.14589261459560043</v>
      </c>
      <c r="D122" s="599">
        <f t="shared" si="14"/>
        <v>0.15195917717015608</v>
      </c>
      <c r="E122" s="599">
        <f t="shared" si="15"/>
        <v>6.0665625745556506E-3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8.4231101330067212E-2</v>
      </c>
      <c r="D123" s="599">
        <f t="shared" si="14"/>
        <v>8.9824786691520234E-2</v>
      </c>
      <c r="E123" s="599">
        <f t="shared" si="15"/>
        <v>5.5936853614530213E-3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8.4231101330067212E-2</v>
      </c>
      <c r="D124" s="599">
        <f t="shared" si="14"/>
        <v>8.9824786691520234E-2</v>
      </c>
      <c r="E124" s="599">
        <f t="shared" si="15"/>
        <v>5.5936853614530213E-3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1.8700272620553085E-3</v>
      </c>
      <c r="D126" s="599">
        <f t="shared" si="14"/>
        <v>2.0319377464717791E-3</v>
      </c>
      <c r="E126" s="599">
        <f t="shared" si="15"/>
        <v>1.6191048441647061E-4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1.9156487631859995E-3</v>
      </c>
      <c r="D127" s="599">
        <f t="shared" si="14"/>
        <v>1.6827283848991044E-3</v>
      </c>
      <c r="E127" s="599">
        <f t="shared" si="15"/>
        <v>-2.3292037828689504E-4</v>
      </c>
    </row>
    <row r="128" spans="1:5" s="421" customFormat="1" x14ac:dyDescent="0.2">
      <c r="A128" s="588"/>
      <c r="B128" s="592" t="s">
        <v>800</v>
      </c>
      <c r="C128" s="600">
        <f>SUM(C122+C123+C126)</f>
        <v>0.23199374318772298</v>
      </c>
      <c r="D128" s="600">
        <f>SUM(D122+D123+D126)</f>
        <v>0.24381590160814812</v>
      </c>
      <c r="E128" s="601">
        <f t="shared" si="15"/>
        <v>1.1822158420425138E-2</v>
      </c>
    </row>
    <row r="129" spans="1:5" s="421" customFormat="1" x14ac:dyDescent="0.2">
      <c r="A129" s="588"/>
      <c r="B129" s="592" t="s">
        <v>801</v>
      </c>
      <c r="C129" s="600">
        <f>SUM(C121+C128)</f>
        <v>0.57106053624536846</v>
      </c>
      <c r="D129" s="600">
        <f>SUM(D121+D128)</f>
        <v>0.58036042233850615</v>
      </c>
      <c r="E129" s="601">
        <f t="shared" si="15"/>
        <v>9.2998860931376992E-3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3214</v>
      </c>
      <c r="D137" s="606">
        <v>3108</v>
      </c>
      <c r="E137" s="607">
        <f t="shared" ref="E137:E145" si="16">D137-C137</f>
        <v>-106</v>
      </c>
    </row>
    <row r="138" spans="1:5" s="421" customFormat="1" x14ac:dyDescent="0.2">
      <c r="A138" s="588">
        <v>2</v>
      </c>
      <c r="B138" s="587" t="s">
        <v>636</v>
      </c>
      <c r="C138" s="606">
        <v>3676</v>
      </c>
      <c r="D138" s="606">
        <v>3353</v>
      </c>
      <c r="E138" s="607">
        <f t="shared" si="16"/>
        <v>-323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2180</v>
      </c>
      <c r="D139" s="606">
        <f>D140+D141</f>
        <v>2269</v>
      </c>
      <c r="E139" s="607">
        <f t="shared" si="16"/>
        <v>89</v>
      </c>
    </row>
    <row r="140" spans="1:5" s="421" customFormat="1" x14ac:dyDescent="0.2">
      <c r="A140" s="588">
        <v>4</v>
      </c>
      <c r="B140" s="587" t="s">
        <v>115</v>
      </c>
      <c r="C140" s="606">
        <v>2180</v>
      </c>
      <c r="D140" s="606">
        <v>2269</v>
      </c>
      <c r="E140" s="607">
        <f t="shared" si="16"/>
        <v>89</v>
      </c>
    </row>
    <row r="141" spans="1:5" s="421" customFormat="1" x14ac:dyDescent="0.2">
      <c r="A141" s="588">
        <v>5</v>
      </c>
      <c r="B141" s="587" t="s">
        <v>744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40</v>
      </c>
      <c r="D142" s="606">
        <v>76</v>
      </c>
      <c r="E142" s="607">
        <f t="shared" si="16"/>
        <v>36</v>
      </c>
    </row>
    <row r="143" spans="1:5" s="421" customFormat="1" x14ac:dyDescent="0.2">
      <c r="A143" s="588">
        <v>7</v>
      </c>
      <c r="B143" s="587" t="s">
        <v>759</v>
      </c>
      <c r="C143" s="606">
        <v>101</v>
      </c>
      <c r="D143" s="606">
        <v>64</v>
      </c>
      <c r="E143" s="607">
        <f t="shared" si="16"/>
        <v>-37</v>
      </c>
    </row>
    <row r="144" spans="1:5" s="421" customFormat="1" x14ac:dyDescent="0.2">
      <c r="A144" s="588"/>
      <c r="B144" s="592" t="s">
        <v>808</v>
      </c>
      <c r="C144" s="608">
        <f>SUM(C138+C139+C142)</f>
        <v>5896</v>
      </c>
      <c r="D144" s="608">
        <f>SUM(D138+D139+D142)</f>
        <v>5698</v>
      </c>
      <c r="E144" s="609">
        <f t="shared" si="16"/>
        <v>-198</v>
      </c>
    </row>
    <row r="145" spans="1:5" s="421" customFormat="1" x14ac:dyDescent="0.2">
      <c r="A145" s="588"/>
      <c r="B145" s="592" t="s">
        <v>138</v>
      </c>
      <c r="C145" s="608">
        <f>SUM(C137+C144)</f>
        <v>9110</v>
      </c>
      <c r="D145" s="608">
        <f>SUM(D137+D144)</f>
        <v>8806</v>
      </c>
      <c r="E145" s="609">
        <f t="shared" si="16"/>
        <v>-304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11754</v>
      </c>
      <c r="D149" s="610">
        <v>10691</v>
      </c>
      <c r="E149" s="607">
        <f t="shared" ref="E149:E157" si="17">D149-C149</f>
        <v>-1063</v>
      </c>
    </row>
    <row r="150" spans="1:5" s="421" customFormat="1" x14ac:dyDescent="0.2">
      <c r="A150" s="588">
        <v>2</v>
      </c>
      <c r="B150" s="587" t="s">
        <v>636</v>
      </c>
      <c r="C150" s="610">
        <v>21107</v>
      </c>
      <c r="D150" s="610">
        <v>18652</v>
      </c>
      <c r="E150" s="607">
        <f t="shared" si="17"/>
        <v>-2455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11034</v>
      </c>
      <c r="D151" s="610">
        <f>D152+D153</f>
        <v>10980</v>
      </c>
      <c r="E151" s="607">
        <f t="shared" si="17"/>
        <v>-54</v>
      </c>
    </row>
    <row r="152" spans="1:5" s="421" customFormat="1" x14ac:dyDescent="0.2">
      <c r="A152" s="588">
        <v>4</v>
      </c>
      <c r="B152" s="587" t="s">
        <v>115</v>
      </c>
      <c r="C152" s="610">
        <v>11034</v>
      </c>
      <c r="D152" s="610">
        <v>10980</v>
      </c>
      <c r="E152" s="607">
        <f t="shared" si="17"/>
        <v>-54</v>
      </c>
    </row>
    <row r="153" spans="1:5" s="421" customFormat="1" x14ac:dyDescent="0.2">
      <c r="A153" s="588">
        <v>5</v>
      </c>
      <c r="B153" s="587" t="s">
        <v>744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211</v>
      </c>
      <c r="D154" s="610">
        <v>369</v>
      </c>
      <c r="E154" s="607">
        <f t="shared" si="17"/>
        <v>158</v>
      </c>
    </row>
    <row r="155" spans="1:5" s="421" customFormat="1" x14ac:dyDescent="0.2">
      <c r="A155" s="588">
        <v>7</v>
      </c>
      <c r="B155" s="587" t="s">
        <v>759</v>
      </c>
      <c r="C155" s="610">
        <v>432</v>
      </c>
      <c r="D155" s="610">
        <v>208</v>
      </c>
      <c r="E155" s="607">
        <f t="shared" si="17"/>
        <v>-224</v>
      </c>
    </row>
    <row r="156" spans="1:5" s="421" customFormat="1" x14ac:dyDescent="0.2">
      <c r="A156" s="588"/>
      <c r="B156" s="592" t="s">
        <v>809</v>
      </c>
      <c r="C156" s="608">
        <f>SUM(C150+C151+C154)</f>
        <v>32352</v>
      </c>
      <c r="D156" s="608">
        <f>SUM(D150+D151+D154)</f>
        <v>30001</v>
      </c>
      <c r="E156" s="609">
        <f t="shared" si="17"/>
        <v>-2351</v>
      </c>
    </row>
    <row r="157" spans="1:5" s="421" customFormat="1" x14ac:dyDescent="0.2">
      <c r="A157" s="588"/>
      <c r="B157" s="592" t="s">
        <v>140</v>
      </c>
      <c r="C157" s="608">
        <f>SUM(C149+C156)</f>
        <v>44106</v>
      </c>
      <c r="D157" s="608">
        <f>SUM(D149+D156)</f>
        <v>40692</v>
      </c>
      <c r="E157" s="609">
        <f t="shared" si="17"/>
        <v>-3414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3.6571250777846918</v>
      </c>
      <c r="D161" s="612">
        <f t="shared" si="18"/>
        <v>3.4398326898326896</v>
      </c>
      <c r="E161" s="613">
        <f t="shared" ref="E161:E169" si="19">D161-C161</f>
        <v>-0.21729238795200212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5.7418389553862896</v>
      </c>
      <c r="D162" s="612">
        <f t="shared" si="18"/>
        <v>5.5627796003578887</v>
      </c>
      <c r="E162" s="613">
        <f t="shared" si="19"/>
        <v>-0.17905935502840098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5.0614678899082568</v>
      </c>
      <c r="D163" s="612">
        <f t="shared" si="18"/>
        <v>4.8391361833406785</v>
      </c>
      <c r="E163" s="613">
        <f t="shared" si="19"/>
        <v>-0.22233170656757828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5.0614678899082568</v>
      </c>
      <c r="D164" s="612">
        <f t="shared" si="18"/>
        <v>4.8391361833406785</v>
      </c>
      <c r="E164" s="613">
        <f t="shared" si="19"/>
        <v>-0.22233170656757828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5.2750000000000004</v>
      </c>
      <c r="D166" s="612">
        <f t="shared" si="18"/>
        <v>4.8552631578947372</v>
      </c>
      <c r="E166" s="613">
        <f t="shared" si="19"/>
        <v>-0.41973684210526319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4.2772277227722775</v>
      </c>
      <c r="D167" s="612">
        <f t="shared" si="18"/>
        <v>3.25</v>
      </c>
      <c r="E167" s="613">
        <f t="shared" si="19"/>
        <v>-1.0272277227722775</v>
      </c>
    </row>
    <row r="168" spans="1:5" s="421" customFormat="1" x14ac:dyDescent="0.2">
      <c r="A168" s="588"/>
      <c r="B168" s="592" t="s">
        <v>811</v>
      </c>
      <c r="C168" s="614">
        <f t="shared" si="18"/>
        <v>5.4871099050203531</v>
      </c>
      <c r="D168" s="614">
        <f t="shared" si="18"/>
        <v>5.2651807651807649</v>
      </c>
      <c r="E168" s="615">
        <f t="shared" si="19"/>
        <v>-0.22192913983958817</v>
      </c>
    </row>
    <row r="169" spans="1:5" s="421" customFormat="1" x14ac:dyDescent="0.2">
      <c r="A169" s="588"/>
      <c r="B169" s="592" t="s">
        <v>745</v>
      </c>
      <c r="C169" s="614">
        <f t="shared" si="18"/>
        <v>4.8414928649835343</v>
      </c>
      <c r="D169" s="614">
        <f t="shared" si="18"/>
        <v>4.6209402679990914</v>
      </c>
      <c r="E169" s="615">
        <f t="shared" si="19"/>
        <v>-0.22055259698444285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1.0006200000000001</v>
      </c>
      <c r="D173" s="617">
        <f t="shared" si="20"/>
        <v>1.02108</v>
      </c>
      <c r="E173" s="618">
        <f t="shared" ref="E173:E181" si="21">D173-C173</f>
        <v>2.0459999999999923E-2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1.4645400000000002</v>
      </c>
      <c r="D174" s="617">
        <f t="shared" si="20"/>
        <v>1.48956</v>
      </c>
      <c r="E174" s="618">
        <f t="shared" si="21"/>
        <v>2.501999999999982E-2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1.0111699999999999</v>
      </c>
      <c r="D175" s="617">
        <f t="shared" si="20"/>
        <v>1.02108</v>
      </c>
      <c r="E175" s="618">
        <f t="shared" si="21"/>
        <v>9.9100000000000854E-3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1.0111699999999999</v>
      </c>
      <c r="D176" s="617">
        <f t="shared" si="20"/>
        <v>1.02108</v>
      </c>
      <c r="E176" s="618">
        <f t="shared" si="21"/>
        <v>9.9100000000000854E-3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1.1261000000000001</v>
      </c>
      <c r="D178" s="617">
        <f t="shared" si="20"/>
        <v>1.0809</v>
      </c>
      <c r="E178" s="618">
        <f t="shared" si="21"/>
        <v>-4.5200000000000129E-2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1.0187999999999999</v>
      </c>
      <c r="D179" s="617">
        <f t="shared" si="20"/>
        <v>1.0867899999999999</v>
      </c>
      <c r="E179" s="618">
        <f t="shared" si="21"/>
        <v>6.7989999999999995E-2</v>
      </c>
    </row>
    <row r="180" spans="1:5" s="421" customFormat="1" x14ac:dyDescent="0.2">
      <c r="A180" s="588"/>
      <c r="B180" s="592" t="s">
        <v>813</v>
      </c>
      <c r="C180" s="619">
        <f t="shared" si="20"/>
        <v>1.2946139145183175</v>
      </c>
      <c r="D180" s="619">
        <f t="shared" si="20"/>
        <v>1.2975559143559143</v>
      </c>
      <c r="E180" s="620">
        <f t="shared" si="21"/>
        <v>2.9419998375967982E-3</v>
      </c>
    </row>
    <row r="181" spans="1:5" s="421" customFormat="1" x14ac:dyDescent="0.2">
      <c r="A181" s="588"/>
      <c r="B181" s="592" t="s">
        <v>724</v>
      </c>
      <c r="C181" s="619">
        <f t="shared" si="20"/>
        <v>1.1908931196487376</v>
      </c>
      <c r="D181" s="619">
        <f t="shared" si="20"/>
        <v>1.1999761798773563</v>
      </c>
      <c r="E181" s="620">
        <f t="shared" si="21"/>
        <v>9.0830602286187112E-3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815</v>
      </c>
      <c r="C185" s="589">
        <v>216312755</v>
      </c>
      <c r="D185" s="589">
        <v>206779452</v>
      </c>
      <c r="E185" s="590">
        <f>D185-C185</f>
        <v>-9533303</v>
      </c>
    </row>
    <row r="186" spans="1:5" s="421" customFormat="1" ht="25.5" x14ac:dyDescent="0.2">
      <c r="A186" s="588">
        <v>2</v>
      </c>
      <c r="B186" s="587" t="s">
        <v>816</v>
      </c>
      <c r="C186" s="589">
        <v>85464346</v>
      </c>
      <c r="D186" s="589">
        <v>88293307</v>
      </c>
      <c r="E186" s="590">
        <f>D186-C186</f>
        <v>2828961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130848409</v>
      </c>
      <c r="D188" s="622">
        <f>+D185-D186</f>
        <v>118486145</v>
      </c>
      <c r="E188" s="590">
        <f t="shared" ref="E188:E197" si="22">D188-C188</f>
        <v>-12362264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0.60490380699002244</v>
      </c>
      <c r="D189" s="623">
        <f>IF(D185=0,0,+D188/D185)</f>
        <v>0.57300734601037628</v>
      </c>
      <c r="E189" s="599">
        <f t="shared" si="22"/>
        <v>-3.1896460979646157E-2</v>
      </c>
    </row>
    <row r="190" spans="1:5" s="421" customFormat="1" x14ac:dyDescent="0.2">
      <c r="A190" s="588">
        <v>5</v>
      </c>
      <c r="B190" s="587" t="s">
        <v>763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749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2411263</v>
      </c>
      <c r="D193" s="589">
        <v>1553798</v>
      </c>
      <c r="E193" s="622">
        <f t="shared" si="22"/>
        <v>-857465</v>
      </c>
    </row>
    <row r="194" spans="1:5" s="421" customFormat="1" x14ac:dyDescent="0.2">
      <c r="A194" s="588">
        <v>9</v>
      </c>
      <c r="B194" s="587" t="s">
        <v>819</v>
      </c>
      <c r="C194" s="589">
        <v>5822470</v>
      </c>
      <c r="D194" s="589">
        <v>6806310</v>
      </c>
      <c r="E194" s="622">
        <f t="shared" si="22"/>
        <v>983840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8233733</v>
      </c>
      <c r="D195" s="589">
        <f>+D193+D194</f>
        <v>8360108</v>
      </c>
      <c r="E195" s="625">
        <f t="shared" si="22"/>
        <v>126375</v>
      </c>
    </row>
    <row r="196" spans="1:5" s="421" customFormat="1" x14ac:dyDescent="0.2">
      <c r="A196" s="588">
        <v>11</v>
      </c>
      <c r="B196" s="587" t="s">
        <v>821</v>
      </c>
      <c r="C196" s="589">
        <v>17340796</v>
      </c>
      <c r="D196" s="589">
        <v>12387148</v>
      </c>
      <c r="E196" s="622">
        <f t="shared" si="22"/>
        <v>-4953648</v>
      </c>
    </row>
    <row r="197" spans="1:5" s="421" customFormat="1" x14ac:dyDescent="0.2">
      <c r="A197" s="588">
        <v>12</v>
      </c>
      <c r="B197" s="587" t="s">
        <v>711</v>
      </c>
      <c r="C197" s="589">
        <v>185309559</v>
      </c>
      <c r="D197" s="589">
        <v>179724323</v>
      </c>
      <c r="E197" s="622">
        <f t="shared" si="22"/>
        <v>-5585236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3215.9926800000003</v>
      </c>
      <c r="D203" s="629">
        <v>3173.5166399999998</v>
      </c>
      <c r="E203" s="630">
        <f t="shared" ref="E203:E211" si="23">D203-C203</f>
        <v>-42.476040000000467</v>
      </c>
    </row>
    <row r="204" spans="1:5" s="421" customFormat="1" x14ac:dyDescent="0.2">
      <c r="A204" s="588">
        <v>2</v>
      </c>
      <c r="B204" s="587" t="s">
        <v>636</v>
      </c>
      <c r="C204" s="629">
        <v>5383.6490400000002</v>
      </c>
      <c r="D204" s="629">
        <v>4994.4946799999998</v>
      </c>
      <c r="E204" s="630">
        <f t="shared" si="23"/>
        <v>-389.15436000000045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2204.3505999999998</v>
      </c>
      <c r="D205" s="629">
        <f>D206+D207</f>
        <v>2316.83052</v>
      </c>
      <c r="E205" s="630">
        <f t="shared" si="23"/>
        <v>112.47992000000022</v>
      </c>
    </row>
    <row r="206" spans="1:5" s="421" customFormat="1" x14ac:dyDescent="0.2">
      <c r="A206" s="588">
        <v>4</v>
      </c>
      <c r="B206" s="587" t="s">
        <v>115</v>
      </c>
      <c r="C206" s="629">
        <v>2204.3505999999998</v>
      </c>
      <c r="D206" s="629">
        <v>2316.83052</v>
      </c>
      <c r="E206" s="630">
        <f t="shared" si="23"/>
        <v>112.47992000000022</v>
      </c>
    </row>
    <row r="207" spans="1:5" s="421" customFormat="1" x14ac:dyDescent="0.2">
      <c r="A207" s="588">
        <v>5</v>
      </c>
      <c r="B207" s="587" t="s">
        <v>744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45.044000000000004</v>
      </c>
      <c r="D208" s="629">
        <v>82.148399999999995</v>
      </c>
      <c r="E208" s="630">
        <f t="shared" si="23"/>
        <v>37.104399999999991</v>
      </c>
    </row>
    <row r="209" spans="1:5" s="421" customFormat="1" x14ac:dyDescent="0.2">
      <c r="A209" s="588">
        <v>7</v>
      </c>
      <c r="B209" s="587" t="s">
        <v>759</v>
      </c>
      <c r="C209" s="629">
        <v>102.89879999999999</v>
      </c>
      <c r="D209" s="629">
        <v>69.554559999999995</v>
      </c>
      <c r="E209" s="630">
        <f t="shared" si="23"/>
        <v>-33.344239999999999</v>
      </c>
    </row>
    <row r="210" spans="1:5" s="421" customFormat="1" x14ac:dyDescent="0.2">
      <c r="A210" s="588"/>
      <c r="B210" s="592" t="s">
        <v>824</v>
      </c>
      <c r="C210" s="631">
        <f>C204+C205+C208</f>
        <v>7633.0436399999999</v>
      </c>
      <c r="D210" s="631">
        <f>D204+D205+D208</f>
        <v>7393.4735999999994</v>
      </c>
      <c r="E210" s="632">
        <f t="shared" si="23"/>
        <v>-239.57004000000052</v>
      </c>
    </row>
    <row r="211" spans="1:5" s="421" customFormat="1" x14ac:dyDescent="0.2">
      <c r="A211" s="588"/>
      <c r="B211" s="592" t="s">
        <v>725</v>
      </c>
      <c r="C211" s="631">
        <f>C210+C203</f>
        <v>10849.036319999999</v>
      </c>
      <c r="D211" s="631">
        <f>D210+D203</f>
        <v>10566.990239999999</v>
      </c>
      <c r="E211" s="632">
        <f t="shared" si="23"/>
        <v>-282.04608000000007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8759.5029135878867</v>
      </c>
      <c r="D215" s="633">
        <f>IF(D14*D137=0,0,D25/D14*D137)</f>
        <v>8571.8266591371012</v>
      </c>
      <c r="E215" s="633">
        <f t="shared" ref="E215:E223" si="24">D215-C215</f>
        <v>-187.67625445078556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3832.5745074653164</v>
      </c>
      <c r="D216" s="633">
        <f>IF(D15*D138=0,0,D26/D15*D138)</f>
        <v>3988.518041203044</v>
      </c>
      <c r="E216" s="633">
        <f t="shared" si="24"/>
        <v>155.94353373772765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3599.1254403257417</v>
      </c>
      <c r="D217" s="633">
        <f>D218+D219</f>
        <v>4250.038913714021</v>
      </c>
      <c r="E217" s="633">
        <f t="shared" si="24"/>
        <v>650.91347338827927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3599.1254403257417</v>
      </c>
      <c r="D218" s="633">
        <f t="shared" si="25"/>
        <v>4250.038913714021</v>
      </c>
      <c r="E218" s="633">
        <f t="shared" si="24"/>
        <v>650.91347338827927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64.601806645052477</v>
      </c>
      <c r="D220" s="633">
        <f t="shared" si="25"/>
        <v>81.529228002082647</v>
      </c>
      <c r="E220" s="633">
        <f t="shared" si="24"/>
        <v>16.92742135703017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419.2778556517631</v>
      </c>
      <c r="D221" s="633">
        <f t="shared" si="25"/>
        <v>378.18431291012337</v>
      </c>
      <c r="E221" s="633">
        <f t="shared" si="24"/>
        <v>-41.093542741639737</v>
      </c>
    </row>
    <row r="222" spans="1:5" s="421" customFormat="1" x14ac:dyDescent="0.2">
      <c r="A222" s="588"/>
      <c r="B222" s="592" t="s">
        <v>826</v>
      </c>
      <c r="C222" s="634">
        <f>C216+C218+C219+C220</f>
        <v>7496.3017544361101</v>
      </c>
      <c r="D222" s="634">
        <f>D216+D218+D219+D220</f>
        <v>8320.0861829191472</v>
      </c>
      <c r="E222" s="634">
        <f t="shared" si="24"/>
        <v>823.78442848303712</v>
      </c>
    </row>
    <row r="223" spans="1:5" s="421" customFormat="1" x14ac:dyDescent="0.2">
      <c r="A223" s="588"/>
      <c r="B223" s="592" t="s">
        <v>827</v>
      </c>
      <c r="C223" s="634">
        <f>C215+C222</f>
        <v>16255.804668023997</v>
      </c>
      <c r="D223" s="634">
        <f>D215+D222</f>
        <v>16891.912842056248</v>
      </c>
      <c r="E223" s="634">
        <f t="shared" si="24"/>
        <v>636.10817403225155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8008.1911131713141</v>
      </c>
      <c r="D227" s="636">
        <f t="shared" si="26"/>
        <v>8561.3280414373385</v>
      </c>
      <c r="E227" s="636">
        <f t="shared" ref="E227:E235" si="27">D227-C227</f>
        <v>553.13692826602437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6872.7866034892941</v>
      </c>
      <c r="D228" s="636">
        <f t="shared" si="26"/>
        <v>7133.2495642982649</v>
      </c>
      <c r="E228" s="636">
        <f t="shared" si="27"/>
        <v>260.46296080897082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5649.7387484549881</v>
      </c>
      <c r="D229" s="636">
        <f t="shared" si="26"/>
        <v>5642.7562944914935</v>
      </c>
      <c r="E229" s="636">
        <f t="shared" si="27"/>
        <v>-6.9824539634946632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5649.7387484549881</v>
      </c>
      <c r="D230" s="636">
        <f t="shared" si="26"/>
        <v>5642.7562944914935</v>
      </c>
      <c r="E230" s="636">
        <f t="shared" si="27"/>
        <v>-6.9824539634946632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7276.9736257881177</v>
      </c>
      <c r="D232" s="636">
        <f t="shared" si="26"/>
        <v>4210.0880844909943</v>
      </c>
      <c r="E232" s="636">
        <f t="shared" si="27"/>
        <v>-3066.8855412971234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696.31521456032533</v>
      </c>
      <c r="D233" s="636">
        <f t="shared" si="26"/>
        <v>632.10808895922855</v>
      </c>
      <c r="E233" s="636">
        <f t="shared" si="27"/>
        <v>-64.207125601096777</v>
      </c>
    </row>
    <row r="234" spans="1:5" x14ac:dyDescent="0.2">
      <c r="A234" s="588"/>
      <c r="B234" s="592" t="s">
        <v>829</v>
      </c>
      <c r="C234" s="637">
        <f t="shared" si="26"/>
        <v>6521.967166429039</v>
      </c>
      <c r="D234" s="637">
        <f t="shared" si="26"/>
        <v>6633.7071927868928</v>
      </c>
      <c r="E234" s="637">
        <f t="shared" si="27"/>
        <v>111.74002635785382</v>
      </c>
    </row>
    <row r="235" spans="1:5" s="421" customFormat="1" x14ac:dyDescent="0.2">
      <c r="A235" s="588"/>
      <c r="B235" s="592" t="s">
        <v>830</v>
      </c>
      <c r="C235" s="637">
        <f t="shared" si="26"/>
        <v>6962.5302904322843</v>
      </c>
      <c r="D235" s="637">
        <f t="shared" si="26"/>
        <v>7212.617241898769</v>
      </c>
      <c r="E235" s="637">
        <f t="shared" si="27"/>
        <v>250.08695146648461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6816.6038174810992</v>
      </c>
      <c r="D239" s="636">
        <f t="shared" si="28"/>
        <v>7130.7776545907354</v>
      </c>
      <c r="E239" s="638">
        <f t="shared" ref="E239:E247" si="29">D239-C239</f>
        <v>314.17383710963622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6703.5516074001607</v>
      </c>
      <c r="D240" s="636">
        <f t="shared" si="28"/>
        <v>6919.6339880853029</v>
      </c>
      <c r="E240" s="638">
        <f t="shared" si="29"/>
        <v>216.0823806851422</v>
      </c>
    </row>
    <row r="241" spans="1:5" x14ac:dyDescent="0.2">
      <c r="A241" s="588">
        <v>3</v>
      </c>
      <c r="B241" s="587" t="s">
        <v>778</v>
      </c>
      <c r="C241" s="636">
        <f t="shared" si="28"/>
        <v>4121.3334311175076</v>
      </c>
      <c r="D241" s="636">
        <f t="shared" si="28"/>
        <v>3838.5839121043291</v>
      </c>
      <c r="E241" s="638">
        <f t="shared" si="29"/>
        <v>-282.74951901317854</v>
      </c>
    </row>
    <row r="242" spans="1:5" x14ac:dyDescent="0.2">
      <c r="A242" s="588">
        <v>4</v>
      </c>
      <c r="B242" s="587" t="s">
        <v>115</v>
      </c>
      <c r="C242" s="636">
        <f t="shared" si="28"/>
        <v>4121.3334311175076</v>
      </c>
      <c r="D242" s="636">
        <f t="shared" si="28"/>
        <v>3838.5839121043291</v>
      </c>
      <c r="E242" s="638">
        <f t="shared" si="29"/>
        <v>-282.74951901317854</v>
      </c>
    </row>
    <row r="243" spans="1:5" x14ac:dyDescent="0.2">
      <c r="A243" s="588">
        <v>5</v>
      </c>
      <c r="B243" s="587" t="s">
        <v>744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5097.597375401273</v>
      </c>
      <c r="D244" s="636">
        <f t="shared" si="28"/>
        <v>4526.5239110392758</v>
      </c>
      <c r="E244" s="638">
        <f t="shared" si="29"/>
        <v>-571.07346436199714</v>
      </c>
    </row>
    <row r="245" spans="1:5" x14ac:dyDescent="0.2">
      <c r="A245" s="588">
        <v>7</v>
      </c>
      <c r="B245" s="587" t="s">
        <v>759</v>
      </c>
      <c r="C245" s="636">
        <f t="shared" si="28"/>
        <v>804.59293390440575</v>
      </c>
      <c r="D245" s="636">
        <f t="shared" si="28"/>
        <v>808.12447678820433</v>
      </c>
      <c r="E245" s="638">
        <f t="shared" si="29"/>
        <v>3.5315428837985792</v>
      </c>
    </row>
    <row r="246" spans="1:5" ht="25.5" x14ac:dyDescent="0.2">
      <c r="A246" s="588"/>
      <c r="B246" s="592" t="s">
        <v>832</v>
      </c>
      <c r="C246" s="637">
        <f t="shared" si="28"/>
        <v>5449.9368272926686</v>
      </c>
      <c r="D246" s="637">
        <f t="shared" si="28"/>
        <v>5322.3318877285146</v>
      </c>
      <c r="E246" s="639">
        <f t="shared" si="29"/>
        <v>-127.60493956415394</v>
      </c>
    </row>
    <row r="247" spans="1:5" x14ac:dyDescent="0.2">
      <c r="A247" s="588"/>
      <c r="B247" s="592" t="s">
        <v>833</v>
      </c>
      <c r="C247" s="637">
        <f t="shared" si="28"/>
        <v>6186.3705952259261</v>
      </c>
      <c r="D247" s="637">
        <f t="shared" si="28"/>
        <v>6240.0304208039561</v>
      </c>
      <c r="E247" s="639">
        <f t="shared" si="29"/>
        <v>53.659825578029995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9293727.1307304371</v>
      </c>
      <c r="D251" s="622">
        <f>((IF((IF(D15=0,0,D26/D15)*D138)=0,0,D59/(IF(D15=0,0,D26/D15)*D138)))-(IF((IF(D17=0,0,D28/D17)*D140)=0,0,D61/(IF(D17=0,0,D28/D17)*D140))))*(IF(D17=0,0,D28/D17)*D140)</f>
        <v>13094582.718020679</v>
      </c>
      <c r="E251" s="622">
        <f>D251-C251</f>
        <v>3800855.5872902423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3108854.2373567931</v>
      </c>
      <c r="D253" s="622">
        <f>IF(D233=0,0,(D228-D233)*D209+IF(D221=0,0,(D240-D245)*D221))</f>
        <v>2763461.0601885347</v>
      </c>
      <c r="E253" s="622">
        <f>D253-C253</f>
        <v>-345393.17716825847</v>
      </c>
    </row>
    <row r="254" spans="1:5" ht="15" customHeight="1" x14ac:dyDescent="0.2">
      <c r="A254" s="588"/>
      <c r="B254" s="592" t="s">
        <v>760</v>
      </c>
      <c r="C254" s="640">
        <f>+C251+C252+C253</f>
        <v>12402581.36808723</v>
      </c>
      <c r="D254" s="640">
        <f>+D251+D252+D253</f>
        <v>15858043.778209213</v>
      </c>
      <c r="E254" s="640">
        <f>D254-C254</f>
        <v>3455462.4101219829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601959668</v>
      </c>
      <c r="D258" s="625">
        <f>+D44</f>
        <v>599046494</v>
      </c>
      <c r="E258" s="622">
        <f t="shared" ref="E258:E271" si="30">D258-C258</f>
        <v>-2913174</v>
      </c>
    </row>
    <row r="259" spans="1:5" x14ac:dyDescent="0.2">
      <c r="A259" s="588">
        <v>2</v>
      </c>
      <c r="B259" s="587" t="s">
        <v>743</v>
      </c>
      <c r="C259" s="622">
        <f>+(C43-C76)</f>
        <v>295010081</v>
      </c>
      <c r="D259" s="625">
        <f>+(D43-D76)</f>
        <v>298938643</v>
      </c>
      <c r="E259" s="622">
        <f t="shared" si="30"/>
        <v>3928562</v>
      </c>
    </row>
    <row r="260" spans="1:5" x14ac:dyDescent="0.2">
      <c r="A260" s="588">
        <v>3</v>
      </c>
      <c r="B260" s="587" t="s">
        <v>747</v>
      </c>
      <c r="C260" s="622">
        <f>C195</f>
        <v>8233733</v>
      </c>
      <c r="D260" s="622">
        <f>D195</f>
        <v>8360108</v>
      </c>
      <c r="E260" s="622">
        <f t="shared" si="30"/>
        <v>126375</v>
      </c>
    </row>
    <row r="261" spans="1:5" x14ac:dyDescent="0.2">
      <c r="A261" s="588">
        <v>4</v>
      </c>
      <c r="B261" s="587" t="s">
        <v>748</v>
      </c>
      <c r="C261" s="622">
        <f>C188</f>
        <v>130848409</v>
      </c>
      <c r="D261" s="622">
        <f>D188</f>
        <v>118486145</v>
      </c>
      <c r="E261" s="622">
        <f t="shared" si="30"/>
        <v>-12362264</v>
      </c>
    </row>
    <row r="262" spans="1:5" x14ac:dyDescent="0.2">
      <c r="A262" s="588">
        <v>5</v>
      </c>
      <c r="B262" s="587" t="s">
        <v>749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750</v>
      </c>
      <c r="C263" s="622">
        <f>+C259+C260+C261+C262</f>
        <v>434092223</v>
      </c>
      <c r="D263" s="622">
        <f>+D259+D260+D261+D262</f>
        <v>425784896</v>
      </c>
      <c r="E263" s="622">
        <f t="shared" si="30"/>
        <v>-8307327</v>
      </c>
    </row>
    <row r="264" spans="1:5" x14ac:dyDescent="0.2">
      <c r="A264" s="588">
        <v>7</v>
      </c>
      <c r="B264" s="587" t="s">
        <v>655</v>
      </c>
      <c r="C264" s="622">
        <f>+C258-C263</f>
        <v>167867445</v>
      </c>
      <c r="D264" s="622">
        <f>+D258-D263</f>
        <v>173261598</v>
      </c>
      <c r="E264" s="622">
        <f t="shared" si="30"/>
        <v>5394153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167867445</v>
      </c>
      <c r="D266" s="622">
        <f>+D264+D265</f>
        <v>173261598</v>
      </c>
      <c r="E266" s="641">
        <f t="shared" si="30"/>
        <v>5394153</v>
      </c>
    </row>
    <row r="267" spans="1:5" x14ac:dyDescent="0.2">
      <c r="A267" s="588">
        <v>10</v>
      </c>
      <c r="B267" s="587" t="s">
        <v>838</v>
      </c>
      <c r="C267" s="642">
        <f>IF(C258=0,0,C266/C258)</f>
        <v>0.27886825965888468</v>
      </c>
      <c r="D267" s="642">
        <f>IF(D258=0,0,D266/D258)</f>
        <v>0.28922896592397052</v>
      </c>
      <c r="E267" s="643">
        <f t="shared" si="30"/>
        <v>1.0360706265085839E-2</v>
      </c>
    </row>
    <row r="268" spans="1:5" x14ac:dyDescent="0.2">
      <c r="A268" s="588">
        <v>11</v>
      </c>
      <c r="B268" s="587" t="s">
        <v>717</v>
      </c>
      <c r="C268" s="622">
        <f>+C260*C267</f>
        <v>2296126.7922059274</v>
      </c>
      <c r="D268" s="644">
        <f>+D260*D267</f>
        <v>2417985.3918527132</v>
      </c>
      <c r="E268" s="622">
        <f t="shared" si="30"/>
        <v>121858.59964678576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7968911.4253419191</v>
      </c>
      <c r="D269" s="644">
        <f>((D17+D18+D28+D29)*D267)-(D50+D51+D61+D62)</f>
        <v>8752848.0984804183</v>
      </c>
      <c r="E269" s="622">
        <f t="shared" si="30"/>
        <v>783936.67313849926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841</v>
      </c>
      <c r="C271" s="622">
        <f>+C268+C269+C270</f>
        <v>10265038.217547847</v>
      </c>
      <c r="D271" s="622">
        <f>+D268+D269+D270</f>
        <v>11170833.490333132</v>
      </c>
      <c r="E271" s="625">
        <f t="shared" si="30"/>
        <v>905795.27278528549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0.44355012058509186</v>
      </c>
      <c r="D276" s="623">
        <f t="shared" si="31"/>
        <v>0.49377594084935222</v>
      </c>
      <c r="E276" s="650">
        <f t="shared" ref="E276:E284" si="32">D276-C276</f>
        <v>5.0225820264260368E-2</v>
      </c>
    </row>
    <row r="277" spans="1:5" x14ac:dyDescent="0.2">
      <c r="A277" s="588">
        <v>2</v>
      </c>
      <c r="B277" s="587" t="s">
        <v>636</v>
      </c>
      <c r="C277" s="623">
        <f t="shared" si="31"/>
        <v>0.29450423983697432</v>
      </c>
      <c r="D277" s="623">
        <f t="shared" si="31"/>
        <v>0.30344484175460956</v>
      </c>
      <c r="E277" s="650">
        <f t="shared" si="32"/>
        <v>8.940601917635238E-3</v>
      </c>
    </row>
    <row r="278" spans="1:5" x14ac:dyDescent="0.2">
      <c r="A278" s="588">
        <v>3</v>
      </c>
      <c r="B278" s="587" t="s">
        <v>778</v>
      </c>
      <c r="C278" s="623">
        <f t="shared" si="31"/>
        <v>0.26114356427733609</v>
      </c>
      <c r="D278" s="623">
        <f t="shared" si="31"/>
        <v>0.28483440168938329</v>
      </c>
      <c r="E278" s="650">
        <f t="shared" si="32"/>
        <v>2.3690837412047194E-2</v>
      </c>
    </row>
    <row r="279" spans="1:5" x14ac:dyDescent="0.2">
      <c r="A279" s="588">
        <v>4</v>
      </c>
      <c r="B279" s="587" t="s">
        <v>115</v>
      </c>
      <c r="C279" s="623">
        <f t="shared" si="31"/>
        <v>0.26114356427733609</v>
      </c>
      <c r="D279" s="623">
        <f t="shared" si="31"/>
        <v>0.28483440168938329</v>
      </c>
      <c r="E279" s="650">
        <f t="shared" si="32"/>
        <v>2.3690837412047194E-2</v>
      </c>
    </row>
    <row r="280" spans="1:5" x14ac:dyDescent="0.2">
      <c r="A280" s="588">
        <v>5</v>
      </c>
      <c r="B280" s="587" t="s">
        <v>744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0.33024165842197634</v>
      </c>
      <c r="D281" s="623">
        <f t="shared" si="31"/>
        <v>0.21539661146998229</v>
      </c>
      <c r="E281" s="650">
        <f t="shared" si="32"/>
        <v>-0.11484504695199405</v>
      </c>
    </row>
    <row r="282" spans="1:5" x14ac:dyDescent="0.2">
      <c r="A282" s="588">
        <v>7</v>
      </c>
      <c r="B282" s="587" t="s">
        <v>759</v>
      </c>
      <c r="C282" s="623">
        <f t="shared" si="31"/>
        <v>4.3178881700108959E-2</v>
      </c>
      <c r="D282" s="623">
        <f t="shared" si="31"/>
        <v>3.5569441961197705E-2</v>
      </c>
      <c r="E282" s="650">
        <f t="shared" si="32"/>
        <v>-7.6094397389112542E-3</v>
      </c>
    </row>
    <row r="283" spans="1:5" ht="29.25" customHeight="1" x14ac:dyDescent="0.2">
      <c r="A283" s="588"/>
      <c r="B283" s="592" t="s">
        <v>845</v>
      </c>
      <c r="C283" s="651">
        <f t="shared" si="31"/>
        <v>0.28558094798116124</v>
      </c>
      <c r="D283" s="651">
        <f t="shared" si="31"/>
        <v>0.29740795205704745</v>
      </c>
      <c r="E283" s="652">
        <f t="shared" si="32"/>
        <v>1.1827004075886216E-2</v>
      </c>
    </row>
    <row r="284" spans="1:5" x14ac:dyDescent="0.2">
      <c r="A284" s="588"/>
      <c r="B284" s="592" t="s">
        <v>846</v>
      </c>
      <c r="C284" s="651">
        <f t="shared" si="31"/>
        <v>0.32505148301148301</v>
      </c>
      <c r="D284" s="651">
        <f t="shared" si="31"/>
        <v>0.34653564974988743</v>
      </c>
      <c r="E284" s="652">
        <f t="shared" si="32"/>
        <v>2.148416673840442E-2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0.37731767270065319</v>
      </c>
      <c r="D287" s="623">
        <f t="shared" si="33"/>
        <v>0.40277815878179235</v>
      </c>
      <c r="E287" s="650">
        <f t="shared" ref="E287:E295" si="34">D287-C287</f>
        <v>2.5460486081139155E-2</v>
      </c>
    </row>
    <row r="288" spans="1:5" x14ac:dyDescent="0.2">
      <c r="A288" s="588">
        <v>2</v>
      </c>
      <c r="B288" s="587" t="s">
        <v>636</v>
      </c>
      <c r="C288" s="623">
        <f t="shared" si="33"/>
        <v>0.19613830206996424</v>
      </c>
      <c r="D288" s="623">
        <f t="shared" si="33"/>
        <v>0.19761388785370865</v>
      </c>
      <c r="E288" s="650">
        <f t="shared" si="34"/>
        <v>1.4755857837444042E-3</v>
      </c>
    </row>
    <row r="289" spans="1:5" x14ac:dyDescent="0.2">
      <c r="A289" s="588">
        <v>3</v>
      </c>
      <c r="B289" s="587" t="s">
        <v>778</v>
      </c>
      <c r="C289" s="623">
        <f t="shared" si="33"/>
        <v>0.1883929025140639</v>
      </c>
      <c r="D289" s="623">
        <f t="shared" si="33"/>
        <v>0.18976338403579324</v>
      </c>
      <c r="E289" s="650">
        <f t="shared" si="34"/>
        <v>1.3704815217293331E-3</v>
      </c>
    </row>
    <row r="290" spans="1:5" x14ac:dyDescent="0.2">
      <c r="A290" s="588">
        <v>4</v>
      </c>
      <c r="B290" s="587" t="s">
        <v>115</v>
      </c>
      <c r="C290" s="623">
        <f t="shared" si="33"/>
        <v>0.1883929025140639</v>
      </c>
      <c r="D290" s="623">
        <f t="shared" si="33"/>
        <v>0.18976338403579324</v>
      </c>
      <c r="E290" s="650">
        <f t="shared" si="34"/>
        <v>1.3704815217293331E-3</v>
      </c>
    </row>
    <row r="291" spans="1:5" x14ac:dyDescent="0.2">
      <c r="A291" s="588">
        <v>5</v>
      </c>
      <c r="B291" s="587" t="s">
        <v>744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0.20543272535816637</v>
      </c>
      <c r="D292" s="623">
        <f t="shared" si="33"/>
        <v>0.21425303692144063</v>
      </c>
      <c r="E292" s="650">
        <f t="shared" si="34"/>
        <v>8.8203115632742579E-3</v>
      </c>
    </row>
    <row r="293" spans="1:5" x14ac:dyDescent="0.2">
      <c r="A293" s="588">
        <v>7</v>
      </c>
      <c r="B293" s="587" t="s">
        <v>759</v>
      </c>
      <c r="C293" s="623">
        <f t="shared" si="33"/>
        <v>4.8972557349476545E-2</v>
      </c>
      <c r="D293" s="623">
        <f t="shared" si="33"/>
        <v>4.1842568056467341E-2</v>
      </c>
      <c r="E293" s="650">
        <f t="shared" si="34"/>
        <v>-7.1299892930092035E-3</v>
      </c>
    </row>
    <row r="294" spans="1:5" ht="29.25" customHeight="1" x14ac:dyDescent="0.2">
      <c r="A294" s="588"/>
      <c r="B294" s="592" t="s">
        <v>848</v>
      </c>
      <c r="C294" s="651">
        <f t="shared" si="33"/>
        <v>0.19332305226569541</v>
      </c>
      <c r="D294" s="651">
        <f t="shared" si="33"/>
        <v>0.19477139733243484</v>
      </c>
      <c r="E294" s="652">
        <f t="shared" si="34"/>
        <v>1.4483450667394371E-3</v>
      </c>
    </row>
    <row r="295" spans="1:5" x14ac:dyDescent="0.2">
      <c r="A295" s="588"/>
      <c r="B295" s="592" t="s">
        <v>849</v>
      </c>
      <c r="C295" s="651">
        <f t="shared" si="33"/>
        <v>0.27210778227268273</v>
      </c>
      <c r="D295" s="651">
        <f t="shared" si="33"/>
        <v>0.2780351499558365</v>
      </c>
      <c r="E295" s="652">
        <f t="shared" si="34"/>
        <v>5.9273676831537725E-3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176101176</v>
      </c>
      <c r="D301" s="590">
        <f>+D48+D47+D50+D51+D52+D59+D58+D61+D62+D63</f>
        <v>181621706</v>
      </c>
      <c r="E301" s="590">
        <f>D301-C301</f>
        <v>5520530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176101176</v>
      </c>
      <c r="D303" s="593">
        <f>+D301+D302</f>
        <v>181621706</v>
      </c>
      <c r="E303" s="593">
        <f>D303-C303</f>
        <v>5520530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-3896909</v>
      </c>
      <c r="D305" s="654">
        <v>-5329253</v>
      </c>
      <c r="E305" s="655">
        <f>D305-C305</f>
        <v>-1432344</v>
      </c>
    </row>
    <row r="306" spans="1:5" x14ac:dyDescent="0.2">
      <c r="A306" s="588">
        <v>4</v>
      </c>
      <c r="B306" s="592" t="s">
        <v>856</v>
      </c>
      <c r="C306" s="593">
        <f>+C303+C305+C194+C190-C191</f>
        <v>178026737</v>
      </c>
      <c r="D306" s="593">
        <f>+D303+D305</f>
        <v>176292453</v>
      </c>
      <c r="E306" s="656">
        <f>D306-C306</f>
        <v>-1734284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172204267</v>
      </c>
      <c r="D308" s="589">
        <v>176292453</v>
      </c>
      <c r="E308" s="590">
        <f>D308-C308</f>
        <v>4088186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5822470</v>
      </c>
      <c r="D310" s="658">
        <f>D306-D308</f>
        <v>0</v>
      </c>
      <c r="E310" s="656">
        <f>D310-C310</f>
        <v>-5822470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601959668</v>
      </c>
      <c r="D314" s="590">
        <f>+D14+D15+D16+D19+D25+D26+D27+D30</f>
        <v>599046494</v>
      </c>
      <c r="E314" s="590">
        <f>D314-C314</f>
        <v>-2913174</v>
      </c>
    </row>
    <row r="315" spans="1:5" x14ac:dyDescent="0.2">
      <c r="A315" s="588">
        <v>2</v>
      </c>
      <c r="B315" s="659" t="s">
        <v>861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862</v>
      </c>
      <c r="C316" s="657">
        <f>C314+C315</f>
        <v>601959668</v>
      </c>
      <c r="D316" s="657">
        <f>D314+D315</f>
        <v>599046494</v>
      </c>
      <c r="E316" s="593">
        <f>D316-C316</f>
        <v>-2913174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601959668</v>
      </c>
      <c r="D318" s="589">
        <v>599046493</v>
      </c>
      <c r="E318" s="590">
        <f>D318-C318</f>
        <v>-2913175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0</v>
      </c>
      <c r="D320" s="657">
        <f>D316-D318</f>
        <v>1</v>
      </c>
      <c r="E320" s="593">
        <f>D320-C320</f>
        <v>1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8233733</v>
      </c>
      <c r="D324" s="589">
        <f>+D193+D194</f>
        <v>8360108</v>
      </c>
      <c r="E324" s="590">
        <f>D324-C324</f>
        <v>126375</v>
      </c>
    </row>
    <row r="325" spans="1:5" x14ac:dyDescent="0.2">
      <c r="A325" s="588">
        <v>2</v>
      </c>
      <c r="B325" s="587" t="s">
        <v>866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867</v>
      </c>
      <c r="C326" s="657">
        <f>C324+C325</f>
        <v>8233733</v>
      </c>
      <c r="D326" s="657">
        <f>D324+D325</f>
        <v>8360108</v>
      </c>
      <c r="E326" s="593">
        <f>D326-C326</f>
        <v>126375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8233733</v>
      </c>
      <c r="D328" s="589">
        <v>8360108</v>
      </c>
      <c r="E328" s="590">
        <f>D328-C328</f>
        <v>126375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FILING&amp;RMANCHESTER MEMORIAL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55023979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117408412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45897932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45897932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1605652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1236061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164911996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219935975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151755473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139661667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85970911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85970911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1722468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7304045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227355046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379110519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206779452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392267042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599046494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27169517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35626977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13073310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13073310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345852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43966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49046139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76215656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61123790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27599085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16314131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16314131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369044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305620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44282260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105406050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88293307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93328399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181621706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3108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3353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2269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2269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76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64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5698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8806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1.02108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1.48956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1.02108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1.02108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1.0809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1.0867899999999999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1.2975559143559143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1.1999761798773563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206779452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88293307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118486145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0.57300734601037628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1553798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6806310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8360108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12387148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179724323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181621706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181621706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-5329253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176292453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176292453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599046494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599046494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599046493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1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8360108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8360108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8360108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FILING&amp;RMANCHESTER MEMORIAL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883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1139</v>
      </c>
      <c r="D12" s="185">
        <v>891</v>
      </c>
      <c r="E12" s="185">
        <f>+D12-C12</f>
        <v>-248</v>
      </c>
      <c r="F12" s="77">
        <f>IF(C12=0,0,+E12/C12)</f>
        <v>-0.21773485513608429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1000</v>
      </c>
      <c r="D13" s="185">
        <v>808</v>
      </c>
      <c r="E13" s="185">
        <f>+D13-C13</f>
        <v>-192</v>
      </c>
      <c r="F13" s="77">
        <f>IF(C13=0,0,+E13/C13)</f>
        <v>-0.192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2411263</v>
      </c>
      <c r="D15" s="76">
        <v>1553798</v>
      </c>
      <c r="E15" s="76">
        <f>+D15-C15</f>
        <v>-857465</v>
      </c>
      <c r="F15" s="77">
        <f>IF(C15=0,0,+E15/C15)</f>
        <v>-0.35560824348069869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2411.2629999999999</v>
      </c>
      <c r="D16" s="79">
        <f>IF(D13=0,0,+D15/+D13)</f>
        <v>1923.0173267326732</v>
      </c>
      <c r="E16" s="79">
        <f>+D16-C16</f>
        <v>-488.24567326732677</v>
      </c>
      <c r="F16" s="80">
        <f>IF(C16=0,0,+E16/C16)</f>
        <v>-0.2024854498523499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0.32342500000000002</v>
      </c>
      <c r="D18" s="704">
        <v>0.29922399999999999</v>
      </c>
      <c r="E18" s="704">
        <f>+D18-C18</f>
        <v>-2.4201000000000028E-2</v>
      </c>
      <c r="F18" s="77">
        <f>IF(C18=0,0,+E18/C18)</f>
        <v>-7.4827239700085105E-2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779862.73577500007</v>
      </c>
      <c r="D19" s="79">
        <f>+D15*D18</f>
        <v>464933.65275199997</v>
      </c>
      <c r="E19" s="79">
        <f>+D19-C19</f>
        <v>-314929.0830230001</v>
      </c>
      <c r="F19" s="80">
        <f>IF(C19=0,0,+E19/C19)</f>
        <v>-0.40382629990652741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779.86273577500003</v>
      </c>
      <c r="D20" s="79">
        <f>IF(D13=0,0,+D19/D13)</f>
        <v>575.4129365742574</v>
      </c>
      <c r="E20" s="79">
        <f>+D20-C20</f>
        <v>-204.44979920074263</v>
      </c>
      <c r="F20" s="80">
        <f>IF(C20=0,0,+E20/C20)</f>
        <v>-0.26216126226055364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540715</v>
      </c>
      <c r="D22" s="76">
        <v>305958</v>
      </c>
      <c r="E22" s="76">
        <f>+D22-C22</f>
        <v>-234757</v>
      </c>
      <c r="F22" s="77">
        <f>IF(C22=0,0,+E22/C22)</f>
        <v>-0.43416032475518529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1415036</v>
      </c>
      <c r="D23" s="185">
        <v>828535</v>
      </c>
      <c r="E23" s="185">
        <f>+D23-C23</f>
        <v>-586501</v>
      </c>
      <c r="F23" s="77">
        <f>IF(C23=0,0,+E23/C23)</f>
        <v>-0.41447779420452907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455512</v>
      </c>
      <c r="D24" s="185">
        <v>419305</v>
      </c>
      <c r="E24" s="185">
        <f>+D24-C24</f>
        <v>-36207</v>
      </c>
      <c r="F24" s="77">
        <f>IF(C24=0,0,+E24/C24)</f>
        <v>-7.9486380161225167E-2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2411263</v>
      </c>
      <c r="D25" s="79">
        <f>+D22+D23+D24</f>
        <v>1553798</v>
      </c>
      <c r="E25" s="79">
        <f>+E22+E23+E24</f>
        <v>-857465</v>
      </c>
      <c r="F25" s="80">
        <f>IF(C25=0,0,+E25/C25)</f>
        <v>-0.35560824348069869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704</v>
      </c>
      <c r="D27" s="185">
        <v>503</v>
      </c>
      <c r="E27" s="185">
        <f>+D27-C27</f>
        <v>-201</v>
      </c>
      <c r="F27" s="77">
        <f>IF(C27=0,0,+E27/C27)</f>
        <v>-0.28551136363636365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143</v>
      </c>
      <c r="D28" s="185">
        <v>122</v>
      </c>
      <c r="E28" s="185">
        <f>+D28-C28</f>
        <v>-21</v>
      </c>
      <c r="F28" s="77">
        <f>IF(C28=0,0,+E28/C28)</f>
        <v>-0.14685314685314685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860</v>
      </c>
      <c r="D29" s="185">
        <v>626</v>
      </c>
      <c r="E29" s="185">
        <f>+D29-C29</f>
        <v>-234</v>
      </c>
      <c r="F29" s="77">
        <f>IF(C29=0,0,+E29/C29)</f>
        <v>-0.27209302325581397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1468</v>
      </c>
      <c r="D30" s="185">
        <v>1153</v>
      </c>
      <c r="E30" s="185">
        <f>+D30-C30</f>
        <v>-315</v>
      </c>
      <c r="F30" s="77">
        <f>IF(C30=0,0,+E30/C30)</f>
        <v>-0.21457765667574932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1559126</v>
      </c>
      <c r="D33" s="76">
        <v>1811158</v>
      </c>
      <c r="E33" s="76">
        <f>+D33-C33</f>
        <v>252032</v>
      </c>
      <c r="F33" s="77">
        <f>IF(C33=0,0,+E33/C33)</f>
        <v>0.16164953954972208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1426732</v>
      </c>
      <c r="D34" s="185">
        <v>2069638</v>
      </c>
      <c r="E34" s="185">
        <f>+D34-C34</f>
        <v>642906</v>
      </c>
      <c r="F34" s="77">
        <f>IF(C34=0,0,+E34/C34)</f>
        <v>0.45061441111575262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2836612</v>
      </c>
      <c r="D35" s="185">
        <v>2925514</v>
      </c>
      <c r="E35" s="185">
        <f>+D35-C35</f>
        <v>88902</v>
      </c>
      <c r="F35" s="77">
        <f>IF(C35=0,0,+E35/C35)</f>
        <v>3.1340909507539275E-2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5822470</v>
      </c>
      <c r="D36" s="79">
        <f>+D33+D34+D35</f>
        <v>6806310</v>
      </c>
      <c r="E36" s="79">
        <f>+E33+E34+E35</f>
        <v>983840</v>
      </c>
      <c r="F36" s="80">
        <f>IF(C36=0,0,+E36/C36)</f>
        <v>0.16897296164686121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2411263</v>
      </c>
      <c r="D39" s="76">
        <f>+D25</f>
        <v>1553798</v>
      </c>
      <c r="E39" s="76">
        <f>+D39-C39</f>
        <v>-857465</v>
      </c>
      <c r="F39" s="77">
        <f>IF(C39=0,0,+E39/C39)</f>
        <v>-0.35560824348069869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5822470</v>
      </c>
      <c r="D40" s="185">
        <f>+D36</f>
        <v>6806310</v>
      </c>
      <c r="E40" s="185">
        <f>+D40-C40</f>
        <v>983840</v>
      </c>
      <c r="F40" s="77">
        <f>IF(C40=0,0,+E40/C40)</f>
        <v>0.16897296164686121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8233733</v>
      </c>
      <c r="D41" s="79">
        <f>+D39+D40</f>
        <v>8360108</v>
      </c>
      <c r="E41" s="79">
        <f>+E39+E40</f>
        <v>126375</v>
      </c>
      <c r="F41" s="80">
        <f>IF(C41=0,0,+E41/C41)</f>
        <v>1.5348445231342819E-2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2099841</v>
      </c>
      <c r="D43" s="76">
        <f t="shared" si="0"/>
        <v>2117116</v>
      </c>
      <c r="E43" s="76">
        <f>+D43-C43</f>
        <v>17275</v>
      </c>
      <c r="F43" s="77">
        <f>IF(C43=0,0,+E43/C43)</f>
        <v>8.2268133634879979E-3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2841768</v>
      </c>
      <c r="D44" s="185">
        <f t="shared" si="0"/>
        <v>2898173</v>
      </c>
      <c r="E44" s="185">
        <f>+D44-C44</f>
        <v>56405</v>
      </c>
      <c r="F44" s="77">
        <f>IF(C44=0,0,+E44/C44)</f>
        <v>1.9848559066046208E-2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3292124</v>
      </c>
      <c r="D45" s="185">
        <f t="shared" si="0"/>
        <v>3344819</v>
      </c>
      <c r="E45" s="185">
        <f>+D45-C45</f>
        <v>52695</v>
      </c>
      <c r="F45" s="77">
        <f>IF(C45=0,0,+E45/C45)</f>
        <v>1.6006383720661797E-2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8233733</v>
      </c>
      <c r="D46" s="79">
        <f>+D43+D44+D45</f>
        <v>8360108</v>
      </c>
      <c r="E46" s="79">
        <f>+E43+E44+E45</f>
        <v>126375</v>
      </c>
      <c r="F46" s="80">
        <f>IF(C46=0,0,+E46/C46)</f>
        <v>1.5348445231342819E-2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912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scale="75" fitToHeight="0" orientation="portrait" horizontalDpi="1200" verticalDpi="1200" r:id="rId1"/>
  <headerFooter>
    <oddHeader>_x000D_
                  &amp;LOFFICE OF HEALTH CARE ACCESS&amp;CTWELVE MONTHS ACTUAL FILING&amp;RMANCHESTER MEMORIAL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913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914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216312755</v>
      </c>
      <c r="D15" s="76">
        <v>206779452</v>
      </c>
      <c r="E15" s="76">
        <f>+D15-C15</f>
        <v>-9533303</v>
      </c>
      <c r="F15" s="77">
        <f>IF(C15=0,0,E15/C15)</f>
        <v>-4.407184865266036E-2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130848409</v>
      </c>
      <c r="D17" s="76">
        <v>118486145</v>
      </c>
      <c r="E17" s="76">
        <f>+D17-C17</f>
        <v>-12362264</v>
      </c>
      <c r="F17" s="77">
        <f>IF(C17=0,0,E17/C17)</f>
        <v>-9.4477755552992621E-2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85464346</v>
      </c>
      <c r="D19" s="79">
        <f>+D15-D17</f>
        <v>88293307</v>
      </c>
      <c r="E19" s="79">
        <f>+D19-C19</f>
        <v>2828961</v>
      </c>
      <c r="F19" s="80">
        <f>IF(C19=0,0,E19/C19)</f>
        <v>3.3101066496197137E-2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0.60490380699002244</v>
      </c>
      <c r="D21" s="720">
        <f>IF(D15=0,0,D17/D15)</f>
        <v>0.57300734601037628</v>
      </c>
      <c r="E21" s="720">
        <f>+D21-C21</f>
        <v>-3.1896460979646157E-2</v>
      </c>
      <c r="F21" s="80">
        <f>IF(C21=0,0,E21/C21)</f>
        <v>-5.2729806972718014E-2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fitToHeight="0" orientation="landscape" horizontalDpi="1200" verticalDpi="1200" r:id="rId1"/>
  <headerFooter>
    <oddHeader>&amp;L&amp;12OFFICE OF HEALTH CARE ACCESS&amp;C&amp;12TWELVE MONTHS ACTUAL FILING&amp;R&amp;12MANCHESTER MEMORIAL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225513088</v>
      </c>
      <c r="D10" s="744">
        <v>232383939</v>
      </c>
      <c r="E10" s="744">
        <v>219935975</v>
      </c>
    </row>
    <row r="11" spans="1:6" ht="26.1" customHeight="1" x14ac:dyDescent="0.25">
      <c r="A11" s="742">
        <v>2</v>
      </c>
      <c r="B11" s="743" t="s">
        <v>933</v>
      </c>
      <c r="C11" s="744">
        <v>337511329</v>
      </c>
      <c r="D11" s="744">
        <v>369575729</v>
      </c>
      <c r="E11" s="744">
        <v>379110519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563024417</v>
      </c>
      <c r="D12" s="744">
        <f>+D11+D10</f>
        <v>601959668</v>
      </c>
      <c r="E12" s="744">
        <f>+E11+E10</f>
        <v>599046494</v>
      </c>
    </row>
    <row r="13" spans="1:6" ht="26.1" customHeight="1" x14ac:dyDescent="0.25">
      <c r="A13" s="742">
        <v>4</v>
      </c>
      <c r="B13" s="743" t="s">
        <v>507</v>
      </c>
      <c r="C13" s="744">
        <v>170299621</v>
      </c>
      <c r="D13" s="744">
        <v>172204267</v>
      </c>
      <c r="E13" s="744">
        <v>176292453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188335086</v>
      </c>
      <c r="D16" s="744">
        <v>185309559</v>
      </c>
      <c r="E16" s="744">
        <v>179724323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46662</v>
      </c>
      <c r="D19" s="747">
        <v>44106</v>
      </c>
      <c r="E19" s="747">
        <v>40692</v>
      </c>
    </row>
    <row r="20" spans="1:5" ht="26.1" customHeight="1" x14ac:dyDescent="0.25">
      <c r="A20" s="742">
        <v>2</v>
      </c>
      <c r="B20" s="743" t="s">
        <v>381</v>
      </c>
      <c r="C20" s="748">
        <v>9342</v>
      </c>
      <c r="D20" s="748">
        <v>9110</v>
      </c>
      <c r="E20" s="748">
        <v>8806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4.9948619139370587</v>
      </c>
      <c r="D21" s="749">
        <f>IF(D20=0,0,+D19/D20)</f>
        <v>4.8414928649835343</v>
      </c>
      <c r="E21" s="749">
        <f>IF(E20=0,0,+E19/E20)</f>
        <v>4.6209402679990914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116498.09587128708</v>
      </c>
      <c r="D22" s="748">
        <f>IF(D10=0,0,D19*(D12/D10))</f>
        <v>114250.72331185504</v>
      </c>
      <c r="E22" s="748">
        <f>IF(E10=0,0,E19*(E12/E10))</f>
        <v>110834.07311536005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23323.586893608586</v>
      </c>
      <c r="D23" s="748">
        <f>IF(D10=0,0,D20*(D12/D10))</f>
        <v>23598.242628463235</v>
      </c>
      <c r="E23" s="748">
        <f>IF(E10=0,0,E20*(E12/E10))</f>
        <v>23985.177623460648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1.19254726825091</v>
      </c>
      <c r="D26" s="750">
        <v>1.1908931196487376</v>
      </c>
      <c r="E26" s="750">
        <v>1.1999761798773563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55646.640631123963</v>
      </c>
      <c r="D27" s="748">
        <f>D19*D26</f>
        <v>52525.53193522722</v>
      </c>
      <c r="E27" s="748">
        <f>E19*E26</f>
        <v>48829.430711569381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11140.776580000002</v>
      </c>
      <c r="D28" s="748">
        <f>D20*D26</f>
        <v>10849.036319999999</v>
      </c>
      <c r="E28" s="748">
        <f>E20*E26</f>
        <v>10566.990239999999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138929.48598773603</v>
      </c>
      <c r="D29" s="748">
        <f>D22*D26</f>
        <v>136060.40030697978</v>
      </c>
      <c r="E29" s="748">
        <f>E22*E26</f>
        <v>132998.24765721735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27814.479835785645</v>
      </c>
      <c r="D30" s="748">
        <f>D23*D26</f>
        <v>28102.984782038406</v>
      </c>
      <c r="E30" s="748">
        <f>E23*E26</f>
        <v>28781.641818280154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12066.015537268013</v>
      </c>
      <c r="D33" s="744">
        <f>IF(D19=0,0,D12/D19)</f>
        <v>13648.022219199202</v>
      </c>
      <c r="E33" s="744">
        <f>IF(E19=0,0,E12/E19)</f>
        <v>14721.480733313674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60268.08146007279</v>
      </c>
      <c r="D34" s="744">
        <f>IF(D20=0,0,D12/D20)</f>
        <v>66076.802195389682</v>
      </c>
      <c r="E34" s="744">
        <f>IF(E20=0,0,E12/E20)</f>
        <v>68027.083125141944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4832.906604946209</v>
      </c>
      <c r="D35" s="744">
        <f>IF(D22=0,0,D12/D22)</f>
        <v>5268.7602367024901</v>
      </c>
      <c r="E35" s="744">
        <f>IF(E22=0,0,E12/E22)</f>
        <v>5404.8946967462889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24139.701134660674</v>
      </c>
      <c r="D36" s="744">
        <f>IF(D23=0,0,D12/D23)</f>
        <v>25508.665093304062</v>
      </c>
      <c r="E36" s="744">
        <f>IF(E23=0,0,E12/E23)</f>
        <v>24975.695548489664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4052.5912335823432</v>
      </c>
      <c r="D37" s="744">
        <f>IF(D29=0,0,D12/D29)</f>
        <v>4424.209150067597</v>
      </c>
      <c r="E37" s="744">
        <f>IF(E29=0,0,E12/E29)</f>
        <v>4504.1683221567755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20242.133605375649</v>
      </c>
      <c r="D38" s="744">
        <f>IF(D30=0,0,D12/D30)</f>
        <v>21419.777033247137</v>
      </c>
      <c r="E38" s="744">
        <f>IF(E30=0,0,E12/E30)</f>
        <v>20813.492773700149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1935.766299984492</v>
      </c>
      <c r="D39" s="744">
        <f>IF(D22=0,0,D10/D22)</f>
        <v>2033.9822126612924</v>
      </c>
      <c r="E39" s="744">
        <f>IF(E22=0,0,E10/E22)</f>
        <v>1984.3714917079949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9668.8853660753975</v>
      </c>
      <c r="D40" s="744">
        <f>IF(D23=0,0,D10/D23)</f>
        <v>9847.5103701030694</v>
      </c>
      <c r="E40" s="744">
        <f>IF(E23=0,0,E10/E23)</f>
        <v>9169.6621327028988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3649.6425571128543</v>
      </c>
      <c r="D43" s="744">
        <f>IF(D19=0,0,D13/D19)</f>
        <v>3904.3274611164015</v>
      </c>
      <c r="E43" s="744">
        <f>IF(E19=0,0,E13/E19)</f>
        <v>4332.3614715423182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18229.460608006852</v>
      </c>
      <c r="D44" s="744">
        <f>IF(D20=0,0,D13/D20)</f>
        <v>18902.773545554337</v>
      </c>
      <c r="E44" s="744">
        <f>IF(E20=0,0,E13/E20)</f>
        <v>20019.583579377697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1461.8232145884645</v>
      </c>
      <c r="D45" s="744">
        <f>IF(D22=0,0,D13/D22)</f>
        <v>1507.2488121581241</v>
      </c>
      <c r="E45" s="744">
        <f>IF(E22=0,0,E13/E22)</f>
        <v>1590.5979816920428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7301.6050994569614</v>
      </c>
      <c r="D46" s="744">
        <f>IF(D23=0,0,D13/D23)</f>
        <v>7297.3343698184653</v>
      </c>
      <c r="E46" s="744">
        <f>IF(E23=0,0,E13/E23)</f>
        <v>7350.0582637988418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1225.7989712495817</v>
      </c>
      <c r="D47" s="744">
        <f>IF(D29=0,0,D13/D29)</f>
        <v>1265.6457471201934</v>
      </c>
      <c r="E47" s="744">
        <f>IF(E29=0,0,E13/E29)</f>
        <v>1325.5246298760781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6122.6965956377635</v>
      </c>
      <c r="D48" s="744">
        <f>IF(D30=0,0,D13/D30)</f>
        <v>6127.6148542791698</v>
      </c>
      <c r="E48" s="744">
        <f>IF(E30=0,0,E13/E30)</f>
        <v>6125.170138418961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4036.1554584029832</v>
      </c>
      <c r="D51" s="744">
        <f>IF(D19=0,0,D16/D19)</f>
        <v>4201.4591892259559</v>
      </c>
      <c r="E51" s="744">
        <f>IF(E19=0,0,E16/E19)</f>
        <v>4416.6991791998425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20160.03917790623</v>
      </c>
      <c r="D52" s="744">
        <f>IF(D20=0,0,D16/D20)</f>
        <v>20341.33468715697</v>
      </c>
      <c r="E52" s="744">
        <f>IF(E20=0,0,E16/E20)</f>
        <v>20409.303088803088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1616.6366032976368</v>
      </c>
      <c r="D53" s="744">
        <f>IF(D22=0,0,D16/D22)</f>
        <v>1621.9552369413461</v>
      </c>
      <c r="E53" s="744">
        <f>IF(E22=0,0,E16/E22)</f>
        <v>1621.5620156171335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8074.8765984879401</v>
      </c>
      <c r="D54" s="744">
        <f>IF(D23=0,0,D16/D23)</f>
        <v>7852.6847069742043</v>
      </c>
      <c r="E54" s="744">
        <f>IF(E23=0,0,E16/E23)</f>
        <v>7493.1412150229835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1355.6163737381512</v>
      </c>
      <c r="D55" s="744">
        <f>IF(D29=0,0,D16/D29)</f>
        <v>1361.9654108168443</v>
      </c>
      <c r="E55" s="744">
        <f>IF(E29=0,0,E16/E29)</f>
        <v>1351.3285036898528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6771.1165950941577</v>
      </c>
      <c r="D56" s="744">
        <f>IF(D30=0,0,D16/D30)</f>
        <v>6593.9458188241197</v>
      </c>
      <c r="E56" s="744">
        <f>IF(E30=0,0,E16/E30)</f>
        <v>6244.4082979954001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27731842</v>
      </c>
      <c r="D59" s="752">
        <v>27777193</v>
      </c>
      <c r="E59" s="752">
        <v>25962525</v>
      </c>
    </row>
    <row r="60" spans="1:6" ht="26.1" customHeight="1" x14ac:dyDescent="0.25">
      <c r="A60" s="742">
        <v>2</v>
      </c>
      <c r="B60" s="743" t="s">
        <v>969</v>
      </c>
      <c r="C60" s="752">
        <v>10096694</v>
      </c>
      <c r="D60" s="752">
        <v>9385872</v>
      </c>
      <c r="E60" s="752">
        <v>8928385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37828536</v>
      </c>
      <c r="D61" s="755">
        <f>D59+D60</f>
        <v>37163065</v>
      </c>
      <c r="E61" s="755">
        <f>E59+E60</f>
        <v>34890910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7727228</v>
      </c>
      <c r="D64" s="744">
        <v>8493290</v>
      </c>
      <c r="E64" s="752">
        <v>9859566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2592137</v>
      </c>
      <c r="D65" s="752">
        <v>2686194</v>
      </c>
      <c r="E65" s="752">
        <v>3184698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10319365</v>
      </c>
      <c r="D66" s="757">
        <f>D64+D65</f>
        <v>11179484</v>
      </c>
      <c r="E66" s="757">
        <f>E64+E65</f>
        <v>13044264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48450279</v>
      </c>
      <c r="D69" s="752">
        <v>47335814</v>
      </c>
      <c r="E69" s="752">
        <v>45887361</v>
      </c>
    </row>
    <row r="70" spans="1:6" ht="26.1" customHeight="1" x14ac:dyDescent="0.25">
      <c r="A70" s="742">
        <v>2</v>
      </c>
      <c r="B70" s="743" t="s">
        <v>977</v>
      </c>
      <c r="C70" s="752">
        <v>14969960</v>
      </c>
      <c r="D70" s="752">
        <v>13648187</v>
      </c>
      <c r="E70" s="752">
        <v>13456397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63420239</v>
      </c>
      <c r="D71" s="755">
        <f>D69+D70</f>
        <v>60984001</v>
      </c>
      <c r="E71" s="755">
        <f>E69+E70</f>
        <v>59343758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83909349</v>
      </c>
      <c r="D75" s="744">
        <f t="shared" si="0"/>
        <v>83606297</v>
      </c>
      <c r="E75" s="744">
        <f t="shared" si="0"/>
        <v>81709452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27658791</v>
      </c>
      <c r="D76" s="744">
        <f t="shared" si="0"/>
        <v>25720253</v>
      </c>
      <c r="E76" s="744">
        <f t="shared" si="0"/>
        <v>25569480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111568140</v>
      </c>
      <c r="D77" s="757">
        <f>D75+D76</f>
        <v>109326550</v>
      </c>
      <c r="E77" s="757">
        <f>E75+E76</f>
        <v>107278932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326.2</v>
      </c>
      <c r="D80" s="749">
        <v>354.1</v>
      </c>
      <c r="E80" s="749">
        <v>313.7</v>
      </c>
    </row>
    <row r="81" spans="1:5" ht="26.1" customHeight="1" x14ac:dyDescent="0.25">
      <c r="A81" s="742">
        <v>2</v>
      </c>
      <c r="B81" s="743" t="s">
        <v>617</v>
      </c>
      <c r="C81" s="749">
        <v>27.8</v>
      </c>
      <c r="D81" s="749">
        <v>42.6</v>
      </c>
      <c r="E81" s="749">
        <v>51.9</v>
      </c>
    </row>
    <row r="82" spans="1:5" ht="26.1" customHeight="1" x14ac:dyDescent="0.25">
      <c r="A82" s="742">
        <v>3</v>
      </c>
      <c r="B82" s="743" t="s">
        <v>983</v>
      </c>
      <c r="C82" s="749">
        <v>754.7</v>
      </c>
      <c r="D82" s="749">
        <v>756</v>
      </c>
      <c r="E82" s="749">
        <v>769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1108.7</v>
      </c>
      <c r="D83" s="759">
        <f>D80+D81+D82</f>
        <v>1152.7</v>
      </c>
      <c r="E83" s="759">
        <f>E80+E81+E82</f>
        <v>1134.5999999999999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85014.843654199882</v>
      </c>
      <c r="D86" s="752">
        <f>IF(D80=0,0,D59/D80)</f>
        <v>78444.487432928552</v>
      </c>
      <c r="E86" s="752">
        <f>IF(E80=0,0,E59/E80)</f>
        <v>82762.27287217087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30952.464745554877</v>
      </c>
      <c r="D87" s="752">
        <f>IF(D80=0,0,D60/D80)</f>
        <v>26506.275063541372</v>
      </c>
      <c r="E87" s="752">
        <f>IF(E80=0,0,E60/E80)</f>
        <v>28461.539687599619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115967.30839975475</v>
      </c>
      <c r="D88" s="755">
        <f>+D86+D87</f>
        <v>104950.76249646992</v>
      </c>
      <c r="E88" s="755">
        <f>+E86+E87</f>
        <v>111223.81255977049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277957.8417266187</v>
      </c>
      <c r="D91" s="744">
        <f>IF(D81=0,0,D64/D81)</f>
        <v>199373.00469483566</v>
      </c>
      <c r="E91" s="744">
        <f>IF(E81=0,0,E64/E81)</f>
        <v>189972.36994219653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93242.338129496406</v>
      </c>
      <c r="D92" s="744">
        <f>IF(D81=0,0,D65/D81)</f>
        <v>63056.197183098586</v>
      </c>
      <c r="E92" s="744">
        <f>IF(E81=0,0,E65/E81)</f>
        <v>61362.196531791909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371200.17985611514</v>
      </c>
      <c r="D93" s="757">
        <f>+D91+D92</f>
        <v>262429.20187793428</v>
      </c>
      <c r="E93" s="757">
        <f>+E91+E92</f>
        <v>251334.56647398844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64198.064131442952</v>
      </c>
      <c r="D96" s="752">
        <f>IF(D82=0,0,D69/D82)</f>
        <v>62613.510582010582</v>
      </c>
      <c r="E96" s="752">
        <f>IF(E82=0,0,E69/E82)</f>
        <v>59671.470741222365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19835.643301974294</v>
      </c>
      <c r="D97" s="752">
        <f>IF(D82=0,0,D70/D82)</f>
        <v>18053.157407407409</v>
      </c>
      <c r="E97" s="752">
        <f>IF(E82=0,0,E70/E82)</f>
        <v>17498.565669700911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84033.70743341725</v>
      </c>
      <c r="D98" s="757">
        <f>+D96+D97</f>
        <v>80666.667989417998</v>
      </c>
      <c r="E98" s="757">
        <f>+E96+E97</f>
        <v>77170.036410923276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75682.645440606109</v>
      </c>
      <c r="D101" s="744">
        <f>IF(D83=0,0,D75/D83)</f>
        <v>72530.838032445565</v>
      </c>
      <c r="E101" s="744">
        <f>IF(E83=0,0,E75/E83)</f>
        <v>72016.086726599693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24947.04699197258</v>
      </c>
      <c r="D102" s="761">
        <f>IF(D83=0,0,D76/D83)</f>
        <v>22313.050229895027</v>
      </c>
      <c r="E102" s="761">
        <f>IF(E83=0,0,E76/E83)</f>
        <v>22536.118455843472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100629.69243257868</v>
      </c>
      <c r="D103" s="757">
        <f>+D101+D102</f>
        <v>94843.888262340595</v>
      </c>
      <c r="E103" s="757">
        <f>+E101+E102</f>
        <v>94552.205182443169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2390.9849556384211</v>
      </c>
      <c r="D108" s="744">
        <f>IF(D19=0,0,D77/D19)</f>
        <v>2478.7228494989345</v>
      </c>
      <c r="E108" s="744">
        <f>IF(E19=0,0,E77/E19)</f>
        <v>2636.3641993512238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11942.639691714836</v>
      </c>
      <c r="D109" s="744">
        <f>IF(D20=0,0,D77/D20)</f>
        <v>12000.718990120746</v>
      </c>
      <c r="E109" s="744">
        <f>IF(E20=0,0,E77/E20)</f>
        <v>12182.481489893255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957.68209055765226</v>
      </c>
      <c r="D110" s="744">
        <f>IF(D22=0,0,D77/D22)</f>
        <v>956.90028763831833</v>
      </c>
      <c r="E110" s="744">
        <f>IF(E22=0,0,E77/E22)</f>
        <v>967.92375290891152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4783.489799786038</v>
      </c>
      <c r="D111" s="744">
        <f>IF(D23=0,0,D77/D23)</f>
        <v>4632.82591510161</v>
      </c>
      <c r="E111" s="744">
        <f>IF(E23=0,0,E77/E23)</f>
        <v>4472.7178461695921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803.05587548095195</v>
      </c>
      <c r="D112" s="744">
        <f>IF(D29=0,0,D77/D29)</f>
        <v>803.51483424521166</v>
      </c>
      <c r="E112" s="744">
        <f>IF(E29=0,0,E77/E29)</f>
        <v>806.61913889643904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4011.1532072031882</v>
      </c>
      <c r="D113" s="744">
        <f>IF(D30=0,0,D77/D30)</f>
        <v>3890.2113369066192</v>
      </c>
      <c r="E113" s="744">
        <f>IF(E30=0,0,E77/E30)</f>
        <v>3727.3388598653073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scale="68" fitToHeight="0" orientation="portrait" horizontalDpi="1200" verticalDpi="1200" r:id="rId1"/>
  <headerFooter>
    <oddHeader>&amp;L&amp;"Arial,Bold"&amp;12OFFICE OF HEALTH CARE ACCESS&amp;C&amp;"Arial,Bold"&amp;12TWELVE MONTHS ACTUAL FILING&amp;R&amp;"Arial,Bold"&amp;12MANCHESTER MEMORIAL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601959668</v>
      </c>
      <c r="D12" s="76">
        <v>599046490</v>
      </c>
      <c r="E12" s="76">
        <f t="shared" ref="E12:E21" si="0">D12-C12</f>
        <v>-2913178</v>
      </c>
      <c r="F12" s="77">
        <f t="shared" ref="F12:F21" si="1">IF(C12=0,0,E12/C12)</f>
        <v>-4.8394903427317329E-3</v>
      </c>
    </row>
    <row r="13" spans="1:8" ht="23.1" customHeight="1" x14ac:dyDescent="0.2">
      <c r="A13" s="74">
        <v>2</v>
      </c>
      <c r="B13" s="75" t="s">
        <v>72</v>
      </c>
      <c r="C13" s="76">
        <v>421521668</v>
      </c>
      <c r="D13" s="76">
        <v>415506442</v>
      </c>
      <c r="E13" s="76">
        <f t="shared" si="0"/>
        <v>-6015226</v>
      </c>
      <c r="F13" s="77">
        <f t="shared" si="1"/>
        <v>-1.4270265223945736E-2</v>
      </c>
    </row>
    <row r="14" spans="1:8" ht="23.1" customHeight="1" x14ac:dyDescent="0.2">
      <c r="A14" s="74">
        <v>3</v>
      </c>
      <c r="B14" s="75" t="s">
        <v>73</v>
      </c>
      <c r="C14" s="76">
        <v>2411263</v>
      </c>
      <c r="D14" s="76">
        <v>441285</v>
      </c>
      <c r="E14" s="76">
        <f t="shared" si="0"/>
        <v>-1969978</v>
      </c>
      <c r="F14" s="77">
        <f t="shared" si="1"/>
        <v>-0.81699010020889462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178026737</v>
      </c>
      <c r="D16" s="79">
        <f>D12-D13-D14-D15</f>
        <v>183098763</v>
      </c>
      <c r="E16" s="79">
        <f t="shared" si="0"/>
        <v>5072026</v>
      </c>
      <c r="F16" s="80">
        <f t="shared" si="1"/>
        <v>2.8490248630462737E-2</v>
      </c>
    </row>
    <row r="17" spans="1:7" ht="23.1" customHeight="1" x14ac:dyDescent="0.2">
      <c r="A17" s="74">
        <v>5</v>
      </c>
      <c r="B17" s="75" t="s">
        <v>76</v>
      </c>
      <c r="C17" s="76">
        <v>5822470</v>
      </c>
      <c r="D17" s="76">
        <v>6806310</v>
      </c>
      <c r="E17" s="76">
        <f t="shared" si="0"/>
        <v>983840</v>
      </c>
      <c r="F17" s="77">
        <f t="shared" si="1"/>
        <v>0.16897296164686121</v>
      </c>
      <c r="G17" s="65"/>
    </row>
    <row r="18" spans="1:7" ht="31.5" customHeight="1" x14ac:dyDescent="0.25">
      <c r="A18" s="71"/>
      <c r="B18" s="81" t="s">
        <v>77</v>
      </c>
      <c r="C18" s="79">
        <f>C16-C17</f>
        <v>172204267</v>
      </c>
      <c r="D18" s="79">
        <f>D16-D17</f>
        <v>176292453</v>
      </c>
      <c r="E18" s="79">
        <f t="shared" si="0"/>
        <v>4088186</v>
      </c>
      <c r="F18" s="80">
        <f t="shared" si="1"/>
        <v>2.3740329268379861E-2</v>
      </c>
    </row>
    <row r="19" spans="1:7" ht="23.1" customHeight="1" x14ac:dyDescent="0.2">
      <c r="A19" s="74">
        <v>6</v>
      </c>
      <c r="B19" s="75" t="s">
        <v>78</v>
      </c>
      <c r="C19" s="76">
        <v>16853888</v>
      </c>
      <c r="D19" s="76">
        <v>11796424</v>
      </c>
      <c r="E19" s="76">
        <f t="shared" si="0"/>
        <v>-5057464</v>
      </c>
      <c r="F19" s="77">
        <f t="shared" si="1"/>
        <v>-0.30007699113700054</v>
      </c>
      <c r="G19" s="65"/>
    </row>
    <row r="20" spans="1:7" ht="33" customHeight="1" x14ac:dyDescent="0.2">
      <c r="A20" s="74">
        <v>7</v>
      </c>
      <c r="B20" s="82" t="s">
        <v>79</v>
      </c>
      <c r="C20" s="76">
        <v>486908</v>
      </c>
      <c r="D20" s="76">
        <v>590724</v>
      </c>
      <c r="E20" s="76">
        <f t="shared" si="0"/>
        <v>103816</v>
      </c>
      <c r="F20" s="77">
        <f t="shared" si="1"/>
        <v>0.2132148167620988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189545063</v>
      </c>
      <c r="D21" s="79">
        <f>SUM(D18:D20)</f>
        <v>188679601</v>
      </c>
      <c r="E21" s="79">
        <f t="shared" si="0"/>
        <v>-865462</v>
      </c>
      <c r="F21" s="80">
        <f t="shared" si="1"/>
        <v>-4.5659960027552918E-3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83606297</v>
      </c>
      <c r="D24" s="76">
        <v>81709452</v>
      </c>
      <c r="E24" s="76">
        <f t="shared" ref="E24:E33" si="2">D24-C24</f>
        <v>-1896845</v>
      </c>
      <c r="F24" s="77">
        <f t="shared" ref="F24:F33" si="3">IF(C24=0,0,E24/C24)</f>
        <v>-2.2687824578572113E-2</v>
      </c>
    </row>
    <row r="25" spans="1:7" ht="23.1" customHeight="1" x14ac:dyDescent="0.2">
      <c r="A25" s="74">
        <v>2</v>
      </c>
      <c r="B25" s="75" t="s">
        <v>83</v>
      </c>
      <c r="C25" s="76">
        <v>25720253</v>
      </c>
      <c r="D25" s="76">
        <v>25569480</v>
      </c>
      <c r="E25" s="76">
        <f t="shared" si="2"/>
        <v>-150773</v>
      </c>
      <c r="F25" s="77">
        <f t="shared" si="3"/>
        <v>-5.8620340942991504E-3</v>
      </c>
    </row>
    <row r="26" spans="1:7" ht="23.1" customHeight="1" x14ac:dyDescent="0.2">
      <c r="A26" s="74">
        <v>3</v>
      </c>
      <c r="B26" s="75" t="s">
        <v>84</v>
      </c>
      <c r="C26" s="76">
        <v>9813958</v>
      </c>
      <c r="D26" s="76">
        <v>10079421</v>
      </c>
      <c r="E26" s="76">
        <f t="shared" si="2"/>
        <v>265463</v>
      </c>
      <c r="F26" s="77">
        <f t="shared" si="3"/>
        <v>2.7049534958270657E-2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25775974</v>
      </c>
      <c r="D27" s="76">
        <v>25592839</v>
      </c>
      <c r="E27" s="76">
        <f t="shared" si="2"/>
        <v>-183135</v>
      </c>
      <c r="F27" s="77">
        <f t="shared" si="3"/>
        <v>-7.1048721573043179E-3</v>
      </c>
    </row>
    <row r="28" spans="1:7" ht="23.1" customHeight="1" x14ac:dyDescent="0.2">
      <c r="A28" s="74">
        <v>5</v>
      </c>
      <c r="B28" s="75" t="s">
        <v>86</v>
      </c>
      <c r="C28" s="76">
        <v>7116905</v>
      </c>
      <c r="D28" s="76">
        <v>7116439</v>
      </c>
      <c r="E28" s="76">
        <f t="shared" si="2"/>
        <v>-466</v>
      </c>
      <c r="F28" s="77">
        <f t="shared" si="3"/>
        <v>-6.5477900857184405E-5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2589201</v>
      </c>
      <c r="D30" s="76">
        <v>2358063</v>
      </c>
      <c r="E30" s="76">
        <f t="shared" si="2"/>
        <v>-231138</v>
      </c>
      <c r="F30" s="77">
        <f t="shared" si="3"/>
        <v>-8.9270010323648105E-2</v>
      </c>
    </row>
    <row r="31" spans="1:7" ht="23.1" customHeight="1" x14ac:dyDescent="0.2">
      <c r="A31" s="74">
        <v>8</v>
      </c>
      <c r="B31" s="75" t="s">
        <v>89</v>
      </c>
      <c r="C31" s="76">
        <v>2774065</v>
      </c>
      <c r="D31" s="76">
        <v>2115210</v>
      </c>
      <c r="E31" s="76">
        <f t="shared" si="2"/>
        <v>-658855</v>
      </c>
      <c r="F31" s="77">
        <f t="shared" si="3"/>
        <v>-0.23750524951650376</v>
      </c>
    </row>
    <row r="32" spans="1:7" ht="23.1" customHeight="1" x14ac:dyDescent="0.2">
      <c r="A32" s="74">
        <v>9</v>
      </c>
      <c r="B32" s="75" t="s">
        <v>90</v>
      </c>
      <c r="C32" s="76">
        <v>27912906</v>
      </c>
      <c r="D32" s="76">
        <v>25183419</v>
      </c>
      <c r="E32" s="76">
        <f t="shared" si="2"/>
        <v>-2729487</v>
      </c>
      <c r="F32" s="77">
        <f t="shared" si="3"/>
        <v>-9.7785841431200324E-2</v>
      </c>
    </row>
    <row r="33" spans="1:6" ht="23.1" customHeight="1" x14ac:dyDescent="0.25">
      <c r="A33" s="71"/>
      <c r="B33" s="78" t="s">
        <v>91</v>
      </c>
      <c r="C33" s="79">
        <f>SUM(C24:C32)</f>
        <v>185309559</v>
      </c>
      <c r="D33" s="79">
        <f>SUM(D24:D32)</f>
        <v>179724323</v>
      </c>
      <c r="E33" s="79">
        <f t="shared" si="2"/>
        <v>-5585236</v>
      </c>
      <c r="F33" s="80">
        <f t="shared" si="3"/>
        <v>-3.0140031794042531E-2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4235504</v>
      </c>
      <c r="D35" s="79">
        <f>+D21-D33</f>
        <v>8955278</v>
      </c>
      <c r="E35" s="79">
        <f>D35-C35</f>
        <v>4719774</v>
      </c>
      <c r="F35" s="80">
        <f>IF(C35=0,0,E35/C35)</f>
        <v>1.1143358618006263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369</v>
      </c>
      <c r="D38" s="76">
        <v>0</v>
      </c>
      <c r="E38" s="76">
        <f>D38-C38</f>
        <v>-369</v>
      </c>
      <c r="F38" s="77">
        <f>IF(C38=0,0,E38/C38)</f>
        <v>-1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-1743691</v>
      </c>
      <c r="D40" s="76">
        <v>-1638670</v>
      </c>
      <c r="E40" s="76">
        <f>D40-C40</f>
        <v>105021</v>
      </c>
      <c r="F40" s="77">
        <f>IF(C40=0,0,E40/C40)</f>
        <v>-6.0229134634519531E-2</v>
      </c>
    </row>
    <row r="41" spans="1:6" ht="23.1" customHeight="1" x14ac:dyDescent="0.25">
      <c r="A41" s="83"/>
      <c r="B41" s="78" t="s">
        <v>97</v>
      </c>
      <c r="C41" s="79">
        <f>SUM(C38:C40)</f>
        <v>-1743322</v>
      </c>
      <c r="D41" s="79">
        <f>SUM(D38:D40)</f>
        <v>-1638670</v>
      </c>
      <c r="E41" s="79">
        <f>D41-C41</f>
        <v>104652</v>
      </c>
      <c r="F41" s="80">
        <f>IF(C41=0,0,E41/C41)</f>
        <v>-6.0030218169678351E-2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2492182</v>
      </c>
      <c r="D43" s="79">
        <f>D35+D41</f>
        <v>7316608</v>
      </c>
      <c r="E43" s="79">
        <f>D43-C43</f>
        <v>4824426</v>
      </c>
      <c r="F43" s="80">
        <f>IF(C43=0,0,E43/C43)</f>
        <v>1.9358241091541468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2492182</v>
      </c>
      <c r="D50" s="79">
        <f>D43+D48</f>
        <v>7316608</v>
      </c>
      <c r="E50" s="79">
        <f>D50-C50</f>
        <v>4824426</v>
      </c>
      <c r="F50" s="80">
        <f>IF(C50=0,0,E50/C50)</f>
        <v>1.9358241091541468</v>
      </c>
    </row>
    <row r="51" spans="1:6" ht="23.1" customHeight="1" x14ac:dyDescent="0.2">
      <c r="A51" s="85"/>
      <c r="B51" s="75" t="s">
        <v>104</v>
      </c>
      <c r="C51" s="76">
        <v>4145905</v>
      </c>
      <c r="D51" s="76">
        <v>6201186</v>
      </c>
      <c r="E51" s="76">
        <f>D51-C51</f>
        <v>2055281</v>
      </c>
      <c r="F51" s="77">
        <f>IF(C51=0,0,E51/C51)</f>
        <v>0.49573760131985656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FILING&amp;RMANCHESTER MEMORIAL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98250346</v>
      </c>
      <c r="D14" s="113">
        <v>90215368</v>
      </c>
      <c r="E14" s="113">
        <f t="shared" ref="E14:E25" si="0">D14-C14</f>
        <v>-8034978</v>
      </c>
      <c r="F14" s="114">
        <f t="shared" ref="F14:F25" si="1">IF(C14=0,0,E14/C14)</f>
        <v>-8.1780658563787648E-2</v>
      </c>
    </row>
    <row r="15" spans="1:6" x14ac:dyDescent="0.2">
      <c r="A15" s="115">
        <v>2</v>
      </c>
      <c r="B15" s="116" t="s">
        <v>114</v>
      </c>
      <c r="C15" s="113">
        <v>27386796</v>
      </c>
      <c r="D15" s="113">
        <v>27193044</v>
      </c>
      <c r="E15" s="113">
        <f t="shared" si="0"/>
        <v>-193752</v>
      </c>
      <c r="F15" s="114">
        <f t="shared" si="1"/>
        <v>-7.0746501343202034E-3</v>
      </c>
    </row>
    <row r="16" spans="1:6" x14ac:dyDescent="0.2">
      <c r="A16" s="115">
        <v>3</v>
      </c>
      <c r="B16" s="116" t="s">
        <v>115</v>
      </c>
      <c r="C16" s="113">
        <v>47690262</v>
      </c>
      <c r="D16" s="113">
        <v>45897932</v>
      </c>
      <c r="E16" s="113">
        <f t="shared" si="0"/>
        <v>-1792330</v>
      </c>
      <c r="F16" s="114">
        <f t="shared" si="1"/>
        <v>-3.7582724959657379E-2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992558</v>
      </c>
      <c r="D18" s="113">
        <v>1605652</v>
      </c>
      <c r="E18" s="113">
        <f t="shared" si="0"/>
        <v>613094</v>
      </c>
      <c r="F18" s="114">
        <f t="shared" si="1"/>
        <v>0.61769085534548107</v>
      </c>
    </row>
    <row r="19" spans="1:6" x14ac:dyDescent="0.2">
      <c r="A19" s="115">
        <v>6</v>
      </c>
      <c r="B19" s="116" t="s">
        <v>118</v>
      </c>
      <c r="C19" s="113">
        <v>3847789</v>
      </c>
      <c r="D19" s="113">
        <v>2940111</v>
      </c>
      <c r="E19" s="113">
        <f t="shared" si="0"/>
        <v>-907678</v>
      </c>
      <c r="F19" s="114">
        <f t="shared" si="1"/>
        <v>-0.23589599117831045</v>
      </c>
    </row>
    <row r="20" spans="1:6" x14ac:dyDescent="0.2">
      <c r="A20" s="115">
        <v>7</v>
      </c>
      <c r="B20" s="116" t="s">
        <v>119</v>
      </c>
      <c r="C20" s="113">
        <v>52188507</v>
      </c>
      <c r="D20" s="113">
        <v>50629928</v>
      </c>
      <c r="E20" s="113">
        <f t="shared" si="0"/>
        <v>-1558579</v>
      </c>
      <c r="F20" s="114">
        <f t="shared" si="1"/>
        <v>-2.9864410568403499E-2</v>
      </c>
    </row>
    <row r="21" spans="1:6" x14ac:dyDescent="0.2">
      <c r="A21" s="115">
        <v>8</v>
      </c>
      <c r="B21" s="116" t="s">
        <v>120</v>
      </c>
      <c r="C21" s="113">
        <v>368305</v>
      </c>
      <c r="D21" s="113">
        <v>217879</v>
      </c>
      <c r="E21" s="113">
        <f t="shared" si="0"/>
        <v>-150426</v>
      </c>
      <c r="F21" s="114">
        <f t="shared" si="1"/>
        <v>-0.4084277976133911</v>
      </c>
    </row>
    <row r="22" spans="1:6" x14ac:dyDescent="0.2">
      <c r="A22" s="115">
        <v>9</v>
      </c>
      <c r="B22" s="116" t="s">
        <v>121</v>
      </c>
      <c r="C22" s="113">
        <v>1659376</v>
      </c>
      <c r="D22" s="113">
        <v>1236061</v>
      </c>
      <c r="E22" s="113">
        <f t="shared" si="0"/>
        <v>-423315</v>
      </c>
      <c r="F22" s="114">
        <f t="shared" si="1"/>
        <v>-0.25510493101021109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232383939</v>
      </c>
      <c r="D25" s="119">
        <f>SUM(D14:D24)</f>
        <v>219935975</v>
      </c>
      <c r="E25" s="119">
        <f t="shared" si="0"/>
        <v>-12447964</v>
      </c>
      <c r="F25" s="120">
        <f t="shared" si="1"/>
        <v>-5.3566369748126182E-2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95830567</v>
      </c>
      <c r="D27" s="113">
        <v>98600537</v>
      </c>
      <c r="E27" s="113">
        <f t="shared" ref="E27:E38" si="2">D27-C27</f>
        <v>2769970</v>
      </c>
      <c r="F27" s="114">
        <f t="shared" ref="F27:F38" si="3">IF(C27=0,0,E27/C27)</f>
        <v>2.8904869153075136E-2</v>
      </c>
    </row>
    <row r="28" spans="1:6" x14ac:dyDescent="0.2">
      <c r="A28" s="115">
        <v>2</v>
      </c>
      <c r="B28" s="116" t="s">
        <v>114</v>
      </c>
      <c r="C28" s="113">
        <v>35157928</v>
      </c>
      <c r="D28" s="113">
        <v>41061130</v>
      </c>
      <c r="E28" s="113">
        <f t="shared" si="2"/>
        <v>5903202</v>
      </c>
      <c r="F28" s="114">
        <f t="shared" si="3"/>
        <v>0.16790528725128512</v>
      </c>
    </row>
    <row r="29" spans="1:6" x14ac:dyDescent="0.2">
      <c r="A29" s="115">
        <v>3</v>
      </c>
      <c r="B29" s="116" t="s">
        <v>115</v>
      </c>
      <c r="C29" s="113">
        <v>78735429</v>
      </c>
      <c r="D29" s="113">
        <v>85970911</v>
      </c>
      <c r="E29" s="113">
        <f t="shared" si="2"/>
        <v>7235482</v>
      </c>
      <c r="F29" s="114">
        <f t="shared" si="3"/>
        <v>9.1896139919425593E-2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1603026</v>
      </c>
      <c r="D31" s="113">
        <v>1722468</v>
      </c>
      <c r="E31" s="113">
        <f t="shared" si="2"/>
        <v>119442</v>
      </c>
      <c r="F31" s="114">
        <f t="shared" si="3"/>
        <v>7.4510332333973375E-2</v>
      </c>
    </row>
    <row r="32" spans="1:6" x14ac:dyDescent="0.2">
      <c r="A32" s="115">
        <v>6</v>
      </c>
      <c r="B32" s="116" t="s">
        <v>118</v>
      </c>
      <c r="C32" s="113">
        <v>6789832</v>
      </c>
      <c r="D32" s="113">
        <v>5553869</v>
      </c>
      <c r="E32" s="113">
        <f t="shared" si="2"/>
        <v>-1235963</v>
      </c>
      <c r="F32" s="114">
        <f t="shared" si="3"/>
        <v>-0.18203145527017459</v>
      </c>
    </row>
    <row r="33" spans="1:6" x14ac:dyDescent="0.2">
      <c r="A33" s="115">
        <v>7</v>
      </c>
      <c r="B33" s="116" t="s">
        <v>119</v>
      </c>
      <c r="C33" s="113">
        <v>139621995</v>
      </c>
      <c r="D33" s="113">
        <v>134361286</v>
      </c>
      <c r="E33" s="113">
        <f t="shared" si="2"/>
        <v>-5260709</v>
      </c>
      <c r="F33" s="114">
        <f t="shared" si="3"/>
        <v>-3.7678225411404559E-2</v>
      </c>
    </row>
    <row r="34" spans="1:6" x14ac:dyDescent="0.2">
      <c r="A34" s="115">
        <v>8</v>
      </c>
      <c r="B34" s="116" t="s">
        <v>120</v>
      </c>
      <c r="C34" s="113">
        <v>4948441</v>
      </c>
      <c r="D34" s="113">
        <v>4536273</v>
      </c>
      <c r="E34" s="113">
        <f t="shared" si="2"/>
        <v>-412168</v>
      </c>
      <c r="F34" s="114">
        <f t="shared" si="3"/>
        <v>-8.3292495555670962E-2</v>
      </c>
    </row>
    <row r="35" spans="1:6" x14ac:dyDescent="0.2">
      <c r="A35" s="115">
        <v>9</v>
      </c>
      <c r="B35" s="116" t="s">
        <v>121</v>
      </c>
      <c r="C35" s="113">
        <v>6888511</v>
      </c>
      <c r="D35" s="113">
        <v>7304045</v>
      </c>
      <c r="E35" s="113">
        <f t="shared" si="2"/>
        <v>415534</v>
      </c>
      <c r="F35" s="114">
        <f t="shared" si="3"/>
        <v>6.0322760608206911E-2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369575729</v>
      </c>
      <c r="D38" s="119">
        <f>SUM(D27:D37)</f>
        <v>379110519</v>
      </c>
      <c r="E38" s="119">
        <f t="shared" si="2"/>
        <v>9534790</v>
      </c>
      <c r="F38" s="120">
        <f t="shared" si="3"/>
        <v>2.5799286186350186E-2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194080913</v>
      </c>
      <c r="D41" s="119">
        <f t="shared" si="4"/>
        <v>188815905</v>
      </c>
      <c r="E41" s="123">
        <f t="shared" ref="E41:E52" si="5">D41-C41</f>
        <v>-5265008</v>
      </c>
      <c r="F41" s="124">
        <f t="shared" ref="F41:F52" si="6">IF(C41=0,0,E41/C41)</f>
        <v>-2.7127902062167236E-2</v>
      </c>
    </row>
    <row r="42" spans="1:6" ht="15.75" x14ac:dyDescent="0.25">
      <c r="A42" s="121">
        <v>2</v>
      </c>
      <c r="B42" s="122" t="s">
        <v>114</v>
      </c>
      <c r="C42" s="119">
        <f t="shared" si="4"/>
        <v>62544724</v>
      </c>
      <c r="D42" s="119">
        <f t="shared" si="4"/>
        <v>68254174</v>
      </c>
      <c r="E42" s="123">
        <f t="shared" si="5"/>
        <v>5709450</v>
      </c>
      <c r="F42" s="124">
        <f t="shared" si="6"/>
        <v>9.1285877286787609E-2</v>
      </c>
    </row>
    <row r="43" spans="1:6" ht="15.75" x14ac:dyDescent="0.25">
      <c r="A43" s="121">
        <v>3</v>
      </c>
      <c r="B43" s="122" t="s">
        <v>115</v>
      </c>
      <c r="C43" s="119">
        <f t="shared" si="4"/>
        <v>126425691</v>
      </c>
      <c r="D43" s="119">
        <f t="shared" si="4"/>
        <v>131868843</v>
      </c>
      <c r="E43" s="123">
        <f t="shared" si="5"/>
        <v>5443152</v>
      </c>
      <c r="F43" s="124">
        <f t="shared" si="6"/>
        <v>4.3054160566146325E-2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2595584</v>
      </c>
      <c r="D45" s="119">
        <f t="shared" si="4"/>
        <v>3328120</v>
      </c>
      <c r="E45" s="123">
        <f t="shared" si="5"/>
        <v>732536</v>
      </c>
      <c r="F45" s="124">
        <f t="shared" si="6"/>
        <v>0.28222396192918436</v>
      </c>
    </row>
    <row r="46" spans="1:6" ht="15.75" x14ac:dyDescent="0.25">
      <c r="A46" s="121">
        <v>6</v>
      </c>
      <c r="B46" s="122" t="s">
        <v>118</v>
      </c>
      <c r="C46" s="119">
        <f t="shared" si="4"/>
        <v>10637621</v>
      </c>
      <c r="D46" s="119">
        <f t="shared" si="4"/>
        <v>8493980</v>
      </c>
      <c r="E46" s="123">
        <f t="shared" si="5"/>
        <v>-2143641</v>
      </c>
      <c r="F46" s="124">
        <f t="shared" si="6"/>
        <v>-0.20151507559820001</v>
      </c>
    </row>
    <row r="47" spans="1:6" ht="15.75" x14ac:dyDescent="0.25">
      <c r="A47" s="121">
        <v>7</v>
      </c>
      <c r="B47" s="122" t="s">
        <v>119</v>
      </c>
      <c r="C47" s="119">
        <f t="shared" si="4"/>
        <v>191810502</v>
      </c>
      <c r="D47" s="119">
        <f t="shared" si="4"/>
        <v>184991214</v>
      </c>
      <c r="E47" s="123">
        <f t="shared" si="5"/>
        <v>-6819288</v>
      </c>
      <c r="F47" s="124">
        <f t="shared" si="6"/>
        <v>-3.555221392413644E-2</v>
      </c>
    </row>
    <row r="48" spans="1:6" ht="15.75" x14ac:dyDescent="0.25">
      <c r="A48" s="121">
        <v>8</v>
      </c>
      <c r="B48" s="122" t="s">
        <v>120</v>
      </c>
      <c r="C48" s="119">
        <f t="shared" si="4"/>
        <v>5316746</v>
      </c>
      <c r="D48" s="119">
        <f t="shared" si="4"/>
        <v>4754152</v>
      </c>
      <c r="E48" s="123">
        <f t="shared" si="5"/>
        <v>-562594</v>
      </c>
      <c r="F48" s="124">
        <f t="shared" si="6"/>
        <v>-0.10581547435216954</v>
      </c>
    </row>
    <row r="49" spans="1:6" ht="15.75" x14ac:dyDescent="0.25">
      <c r="A49" s="121">
        <v>9</v>
      </c>
      <c r="B49" s="122" t="s">
        <v>121</v>
      </c>
      <c r="C49" s="119">
        <f t="shared" si="4"/>
        <v>8547887</v>
      </c>
      <c r="D49" s="119">
        <f t="shared" si="4"/>
        <v>8540106</v>
      </c>
      <c r="E49" s="123">
        <f t="shared" si="5"/>
        <v>-7781</v>
      </c>
      <c r="F49" s="124">
        <f t="shared" si="6"/>
        <v>-9.1028344197811688E-4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601959668</v>
      </c>
      <c r="D52" s="128">
        <f>SUM(D41:D51)</f>
        <v>599046494</v>
      </c>
      <c r="E52" s="127">
        <f t="shared" si="5"/>
        <v>-2913174</v>
      </c>
      <c r="F52" s="129">
        <f t="shared" si="6"/>
        <v>-4.8394836977682697E-3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29397293</v>
      </c>
      <c r="D57" s="113">
        <v>28371324</v>
      </c>
      <c r="E57" s="113">
        <f t="shared" ref="E57:E68" si="7">D57-C57</f>
        <v>-1025969</v>
      </c>
      <c r="F57" s="114">
        <f t="shared" ref="F57:F68" si="8">IF(C57=0,0,E57/C57)</f>
        <v>-3.4900118184351195E-2</v>
      </c>
    </row>
    <row r="58" spans="1:6" x14ac:dyDescent="0.2">
      <c r="A58" s="115">
        <v>2</v>
      </c>
      <c r="B58" s="116" t="s">
        <v>114</v>
      </c>
      <c r="C58" s="113">
        <v>7603378</v>
      </c>
      <c r="D58" s="113">
        <v>7255653</v>
      </c>
      <c r="E58" s="113">
        <f t="shared" si="7"/>
        <v>-347725</v>
      </c>
      <c r="F58" s="114">
        <f t="shared" si="8"/>
        <v>-4.5732962375407353E-2</v>
      </c>
    </row>
    <row r="59" spans="1:6" x14ac:dyDescent="0.2">
      <c r="A59" s="115">
        <v>3</v>
      </c>
      <c r="B59" s="116" t="s">
        <v>115</v>
      </c>
      <c r="C59" s="113">
        <v>12454005</v>
      </c>
      <c r="D59" s="113">
        <v>13073310</v>
      </c>
      <c r="E59" s="113">
        <f t="shared" si="7"/>
        <v>619305</v>
      </c>
      <c r="F59" s="114">
        <f t="shared" si="8"/>
        <v>4.9727376855878892E-2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327784</v>
      </c>
      <c r="D61" s="113">
        <v>345852</v>
      </c>
      <c r="E61" s="113">
        <f t="shared" si="7"/>
        <v>18068</v>
      </c>
      <c r="F61" s="114">
        <f t="shared" si="8"/>
        <v>5.5121665487028043E-2</v>
      </c>
    </row>
    <row r="62" spans="1:6" x14ac:dyDescent="0.2">
      <c r="A62" s="115">
        <v>6</v>
      </c>
      <c r="B62" s="116" t="s">
        <v>118</v>
      </c>
      <c r="C62" s="113">
        <v>992567</v>
      </c>
      <c r="D62" s="113">
        <v>1457410</v>
      </c>
      <c r="E62" s="113">
        <f t="shared" si="7"/>
        <v>464843</v>
      </c>
      <c r="F62" s="114">
        <f t="shared" si="8"/>
        <v>0.46832405268359717</v>
      </c>
    </row>
    <row r="63" spans="1:6" x14ac:dyDescent="0.2">
      <c r="A63" s="115">
        <v>7</v>
      </c>
      <c r="B63" s="116" t="s">
        <v>119</v>
      </c>
      <c r="C63" s="113">
        <v>24541423</v>
      </c>
      <c r="D63" s="113">
        <v>25514170</v>
      </c>
      <c r="E63" s="113">
        <f t="shared" si="7"/>
        <v>972747</v>
      </c>
      <c r="F63" s="114">
        <f t="shared" si="8"/>
        <v>3.9636943627922472E-2</v>
      </c>
    </row>
    <row r="64" spans="1:6" x14ac:dyDescent="0.2">
      <c r="A64" s="115">
        <v>8</v>
      </c>
      <c r="B64" s="116" t="s">
        <v>120</v>
      </c>
      <c r="C64" s="113">
        <v>148644</v>
      </c>
      <c r="D64" s="113">
        <v>153971</v>
      </c>
      <c r="E64" s="113">
        <f t="shared" si="7"/>
        <v>5327</v>
      </c>
      <c r="F64" s="114">
        <f t="shared" si="8"/>
        <v>3.58373025483706E-2</v>
      </c>
    </row>
    <row r="65" spans="1:6" x14ac:dyDescent="0.2">
      <c r="A65" s="115">
        <v>9</v>
      </c>
      <c r="B65" s="116" t="s">
        <v>121</v>
      </c>
      <c r="C65" s="113">
        <v>71650</v>
      </c>
      <c r="D65" s="113">
        <v>43966</v>
      </c>
      <c r="E65" s="113">
        <f t="shared" si="7"/>
        <v>-27684</v>
      </c>
      <c r="F65" s="114">
        <f t="shared" si="8"/>
        <v>-0.38637822749476625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75536744</v>
      </c>
      <c r="D68" s="119">
        <f>SUM(D57:D67)</f>
        <v>76215656</v>
      </c>
      <c r="E68" s="119">
        <f t="shared" si="7"/>
        <v>678912</v>
      </c>
      <c r="F68" s="120">
        <f t="shared" si="8"/>
        <v>8.987837760123735E-3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18831467</v>
      </c>
      <c r="D70" s="113">
        <v>19801007</v>
      </c>
      <c r="E70" s="113">
        <f t="shared" ref="E70:E81" si="9">D70-C70</f>
        <v>969540</v>
      </c>
      <c r="F70" s="114">
        <f t="shared" ref="F70:F81" si="10">IF(C70=0,0,E70/C70)</f>
        <v>5.1485102036925745E-2</v>
      </c>
    </row>
    <row r="71" spans="1:6" x14ac:dyDescent="0.2">
      <c r="A71" s="115">
        <v>2</v>
      </c>
      <c r="B71" s="116" t="s">
        <v>114</v>
      </c>
      <c r="C71" s="113">
        <v>6860394</v>
      </c>
      <c r="D71" s="113">
        <v>7798078</v>
      </c>
      <c r="E71" s="113">
        <f t="shared" si="9"/>
        <v>937684</v>
      </c>
      <c r="F71" s="114">
        <f t="shared" si="10"/>
        <v>0.13668077955872504</v>
      </c>
    </row>
    <row r="72" spans="1:6" x14ac:dyDescent="0.2">
      <c r="A72" s="115">
        <v>3</v>
      </c>
      <c r="B72" s="116" t="s">
        <v>115</v>
      </c>
      <c r="C72" s="113">
        <v>14833196</v>
      </c>
      <c r="D72" s="113">
        <v>16314131</v>
      </c>
      <c r="E72" s="113">
        <f t="shared" si="9"/>
        <v>1480935</v>
      </c>
      <c r="F72" s="114">
        <f t="shared" si="10"/>
        <v>9.9839238961043866E-2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329314</v>
      </c>
      <c r="D74" s="113">
        <v>369044</v>
      </c>
      <c r="E74" s="113">
        <f t="shared" si="9"/>
        <v>39730</v>
      </c>
      <c r="F74" s="114">
        <f t="shared" si="10"/>
        <v>0.12064473420504443</v>
      </c>
    </row>
    <row r="75" spans="1:6" x14ac:dyDescent="0.2">
      <c r="A75" s="115">
        <v>6</v>
      </c>
      <c r="B75" s="116" t="s">
        <v>118</v>
      </c>
      <c r="C75" s="113">
        <v>2502270</v>
      </c>
      <c r="D75" s="113">
        <v>2660688</v>
      </c>
      <c r="E75" s="113">
        <f t="shared" si="9"/>
        <v>158418</v>
      </c>
      <c r="F75" s="114">
        <f t="shared" si="10"/>
        <v>6.3309714778980689E-2</v>
      </c>
    </row>
    <row r="76" spans="1:6" x14ac:dyDescent="0.2">
      <c r="A76" s="115">
        <v>7</v>
      </c>
      <c r="B76" s="116" t="s">
        <v>119</v>
      </c>
      <c r="C76" s="113">
        <v>54275831</v>
      </c>
      <c r="D76" s="113">
        <v>55877949</v>
      </c>
      <c r="E76" s="113">
        <f t="shared" si="9"/>
        <v>1602118</v>
      </c>
      <c r="F76" s="114">
        <f t="shared" si="10"/>
        <v>2.9518074076102123E-2</v>
      </c>
    </row>
    <row r="77" spans="1:6" x14ac:dyDescent="0.2">
      <c r="A77" s="115">
        <v>8</v>
      </c>
      <c r="B77" s="116" t="s">
        <v>120</v>
      </c>
      <c r="C77" s="113">
        <v>2594612</v>
      </c>
      <c r="D77" s="113">
        <v>2279533</v>
      </c>
      <c r="E77" s="113">
        <f t="shared" si="9"/>
        <v>-315079</v>
      </c>
      <c r="F77" s="114">
        <f t="shared" si="10"/>
        <v>-0.12143588328428297</v>
      </c>
    </row>
    <row r="78" spans="1:6" x14ac:dyDescent="0.2">
      <c r="A78" s="115">
        <v>9</v>
      </c>
      <c r="B78" s="116" t="s">
        <v>121</v>
      </c>
      <c r="C78" s="113">
        <v>337348</v>
      </c>
      <c r="D78" s="113">
        <v>305620</v>
      </c>
      <c r="E78" s="113">
        <f t="shared" si="9"/>
        <v>-31728</v>
      </c>
      <c r="F78" s="114">
        <f t="shared" si="10"/>
        <v>-9.4051246783736678E-2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100564432</v>
      </c>
      <c r="D81" s="119">
        <f>SUM(D70:D80)</f>
        <v>105406050</v>
      </c>
      <c r="E81" s="119">
        <f t="shared" si="9"/>
        <v>4841618</v>
      </c>
      <c r="F81" s="120">
        <f t="shared" si="10"/>
        <v>4.8144437389155643E-2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48228760</v>
      </c>
      <c r="D84" s="119">
        <f t="shared" si="11"/>
        <v>48172331</v>
      </c>
      <c r="E84" s="119">
        <f t="shared" ref="E84:E95" si="12">D84-C84</f>
        <v>-56429</v>
      </c>
      <c r="F84" s="120">
        <f t="shared" ref="F84:F95" si="13">IF(C84=0,0,E84/C84)</f>
        <v>-1.1700280081843283E-3</v>
      </c>
    </row>
    <row r="85" spans="1:6" ht="15.75" x14ac:dyDescent="0.25">
      <c r="A85" s="130">
        <v>2</v>
      </c>
      <c r="B85" s="122" t="s">
        <v>114</v>
      </c>
      <c r="C85" s="119">
        <f t="shared" si="11"/>
        <v>14463772</v>
      </c>
      <c r="D85" s="119">
        <f t="shared" si="11"/>
        <v>15053731</v>
      </c>
      <c r="E85" s="119">
        <f t="shared" si="12"/>
        <v>589959</v>
      </c>
      <c r="F85" s="120">
        <f t="shared" si="13"/>
        <v>4.0788737543705753E-2</v>
      </c>
    </row>
    <row r="86" spans="1:6" ht="15.75" x14ac:dyDescent="0.25">
      <c r="A86" s="130">
        <v>3</v>
      </c>
      <c r="B86" s="122" t="s">
        <v>115</v>
      </c>
      <c r="C86" s="119">
        <f t="shared" si="11"/>
        <v>27287201</v>
      </c>
      <c r="D86" s="119">
        <f t="shared" si="11"/>
        <v>29387441</v>
      </c>
      <c r="E86" s="119">
        <f t="shared" si="12"/>
        <v>2100240</v>
      </c>
      <c r="F86" s="120">
        <f t="shared" si="13"/>
        <v>7.6967952850862206E-2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657098</v>
      </c>
      <c r="D88" s="119">
        <f t="shared" si="11"/>
        <v>714896</v>
      </c>
      <c r="E88" s="119">
        <f t="shared" si="12"/>
        <v>57798</v>
      </c>
      <c r="F88" s="120">
        <f t="shared" si="13"/>
        <v>8.7959482451628226E-2</v>
      </c>
    </row>
    <row r="89" spans="1:6" ht="15.75" x14ac:dyDescent="0.25">
      <c r="A89" s="130">
        <v>6</v>
      </c>
      <c r="B89" s="122" t="s">
        <v>118</v>
      </c>
      <c r="C89" s="119">
        <f t="shared" si="11"/>
        <v>3494837</v>
      </c>
      <c r="D89" s="119">
        <f t="shared" si="11"/>
        <v>4118098</v>
      </c>
      <c r="E89" s="119">
        <f t="shared" si="12"/>
        <v>623261</v>
      </c>
      <c r="F89" s="120">
        <f t="shared" si="13"/>
        <v>0.17833764493165202</v>
      </c>
    </row>
    <row r="90" spans="1:6" ht="15.75" x14ac:dyDescent="0.25">
      <c r="A90" s="130">
        <v>7</v>
      </c>
      <c r="B90" s="122" t="s">
        <v>119</v>
      </c>
      <c r="C90" s="119">
        <f t="shared" si="11"/>
        <v>78817254</v>
      </c>
      <c r="D90" s="119">
        <f t="shared" si="11"/>
        <v>81392119</v>
      </c>
      <c r="E90" s="119">
        <f t="shared" si="12"/>
        <v>2574865</v>
      </c>
      <c r="F90" s="120">
        <f t="shared" si="13"/>
        <v>3.2668798636400098E-2</v>
      </c>
    </row>
    <row r="91" spans="1:6" ht="15.75" x14ac:dyDescent="0.25">
      <c r="A91" s="130">
        <v>8</v>
      </c>
      <c r="B91" s="122" t="s">
        <v>120</v>
      </c>
      <c r="C91" s="119">
        <f t="shared" si="11"/>
        <v>2743256</v>
      </c>
      <c r="D91" s="119">
        <f t="shared" si="11"/>
        <v>2433504</v>
      </c>
      <c r="E91" s="119">
        <f t="shared" si="12"/>
        <v>-309752</v>
      </c>
      <c r="F91" s="120">
        <f t="shared" si="13"/>
        <v>-0.11291399708958989</v>
      </c>
    </row>
    <row r="92" spans="1:6" ht="15.75" x14ac:dyDescent="0.25">
      <c r="A92" s="130">
        <v>9</v>
      </c>
      <c r="B92" s="122" t="s">
        <v>121</v>
      </c>
      <c r="C92" s="119">
        <f t="shared" si="11"/>
        <v>408998</v>
      </c>
      <c r="D92" s="119">
        <f t="shared" si="11"/>
        <v>349586</v>
      </c>
      <c r="E92" s="119">
        <f t="shared" si="12"/>
        <v>-59412</v>
      </c>
      <c r="F92" s="120">
        <f t="shared" si="13"/>
        <v>-0.14526232402114436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176101176</v>
      </c>
      <c r="D95" s="128">
        <f>SUM(D84:D94)</f>
        <v>181621706</v>
      </c>
      <c r="E95" s="128">
        <f t="shared" si="12"/>
        <v>5520530</v>
      </c>
      <c r="F95" s="129">
        <f t="shared" si="13"/>
        <v>3.1348626541823889E-2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2876</v>
      </c>
      <c r="D100" s="133">
        <v>2576</v>
      </c>
      <c r="E100" s="133">
        <f t="shared" ref="E100:E111" si="14">D100-C100</f>
        <v>-300</v>
      </c>
      <c r="F100" s="114">
        <f t="shared" ref="F100:F111" si="15">IF(C100=0,0,E100/C100)</f>
        <v>-0.10431154381084839</v>
      </c>
    </row>
    <row r="101" spans="1:6" x14ac:dyDescent="0.2">
      <c r="A101" s="115">
        <v>2</v>
      </c>
      <c r="B101" s="116" t="s">
        <v>114</v>
      </c>
      <c r="C101" s="133">
        <v>800</v>
      </c>
      <c r="D101" s="133">
        <v>777</v>
      </c>
      <c r="E101" s="133">
        <f t="shared" si="14"/>
        <v>-23</v>
      </c>
      <c r="F101" s="114">
        <f t="shared" si="15"/>
        <v>-2.8750000000000001E-2</v>
      </c>
    </row>
    <row r="102" spans="1:6" x14ac:dyDescent="0.2">
      <c r="A102" s="115">
        <v>3</v>
      </c>
      <c r="B102" s="116" t="s">
        <v>115</v>
      </c>
      <c r="C102" s="133">
        <v>2180</v>
      </c>
      <c r="D102" s="133">
        <v>2269</v>
      </c>
      <c r="E102" s="133">
        <f t="shared" si="14"/>
        <v>89</v>
      </c>
      <c r="F102" s="114">
        <f t="shared" si="15"/>
        <v>4.0825688073394498E-2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40</v>
      </c>
      <c r="D104" s="133">
        <v>76</v>
      </c>
      <c r="E104" s="133">
        <f t="shared" si="14"/>
        <v>36</v>
      </c>
      <c r="F104" s="114">
        <f t="shared" si="15"/>
        <v>0.9</v>
      </c>
    </row>
    <row r="105" spans="1:6" x14ac:dyDescent="0.2">
      <c r="A105" s="115">
        <v>6</v>
      </c>
      <c r="B105" s="116" t="s">
        <v>118</v>
      </c>
      <c r="C105" s="133">
        <v>146</v>
      </c>
      <c r="D105" s="133">
        <v>205</v>
      </c>
      <c r="E105" s="133">
        <f t="shared" si="14"/>
        <v>59</v>
      </c>
      <c r="F105" s="114">
        <f t="shared" si="15"/>
        <v>0.4041095890410959</v>
      </c>
    </row>
    <row r="106" spans="1:6" x14ac:dyDescent="0.2">
      <c r="A106" s="115">
        <v>7</v>
      </c>
      <c r="B106" s="116" t="s">
        <v>119</v>
      </c>
      <c r="C106" s="133">
        <v>2952</v>
      </c>
      <c r="D106" s="133">
        <v>2830</v>
      </c>
      <c r="E106" s="133">
        <f t="shared" si="14"/>
        <v>-122</v>
      </c>
      <c r="F106" s="114">
        <f t="shared" si="15"/>
        <v>-4.1327913279132794E-2</v>
      </c>
    </row>
    <row r="107" spans="1:6" x14ac:dyDescent="0.2">
      <c r="A107" s="115">
        <v>8</v>
      </c>
      <c r="B107" s="116" t="s">
        <v>120</v>
      </c>
      <c r="C107" s="133">
        <v>15</v>
      </c>
      <c r="D107" s="133">
        <v>9</v>
      </c>
      <c r="E107" s="133">
        <f t="shared" si="14"/>
        <v>-6</v>
      </c>
      <c r="F107" s="114">
        <f t="shared" si="15"/>
        <v>-0.4</v>
      </c>
    </row>
    <row r="108" spans="1:6" x14ac:dyDescent="0.2">
      <c r="A108" s="115">
        <v>9</v>
      </c>
      <c r="B108" s="116" t="s">
        <v>121</v>
      </c>
      <c r="C108" s="133">
        <v>101</v>
      </c>
      <c r="D108" s="133">
        <v>64</v>
      </c>
      <c r="E108" s="133">
        <f t="shared" si="14"/>
        <v>-37</v>
      </c>
      <c r="F108" s="114">
        <f t="shared" si="15"/>
        <v>-0.36633663366336633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9110</v>
      </c>
      <c r="D111" s="134">
        <f>SUM(D100:D110)</f>
        <v>8806</v>
      </c>
      <c r="E111" s="134">
        <f t="shared" si="14"/>
        <v>-304</v>
      </c>
      <c r="F111" s="120">
        <f t="shared" si="15"/>
        <v>-3.3369923161361142E-2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16620</v>
      </c>
      <c r="D113" s="133">
        <v>14522</v>
      </c>
      <c r="E113" s="133">
        <f t="shared" ref="E113:E124" si="16">D113-C113</f>
        <v>-2098</v>
      </c>
      <c r="F113" s="114">
        <f t="shared" ref="F113:F124" si="17">IF(C113=0,0,E113/C113)</f>
        <v>-0.12623345367027677</v>
      </c>
    </row>
    <row r="114" spans="1:6" x14ac:dyDescent="0.2">
      <c r="A114" s="115">
        <v>2</v>
      </c>
      <c r="B114" s="116" t="s">
        <v>114</v>
      </c>
      <c r="C114" s="133">
        <v>4487</v>
      </c>
      <c r="D114" s="133">
        <v>4130</v>
      </c>
      <c r="E114" s="133">
        <f t="shared" si="16"/>
        <v>-357</v>
      </c>
      <c r="F114" s="114">
        <f t="shared" si="17"/>
        <v>-7.9563182527301088E-2</v>
      </c>
    </row>
    <row r="115" spans="1:6" x14ac:dyDescent="0.2">
      <c r="A115" s="115">
        <v>3</v>
      </c>
      <c r="B115" s="116" t="s">
        <v>115</v>
      </c>
      <c r="C115" s="133">
        <v>11034</v>
      </c>
      <c r="D115" s="133">
        <v>10980</v>
      </c>
      <c r="E115" s="133">
        <f t="shared" si="16"/>
        <v>-54</v>
      </c>
      <c r="F115" s="114">
        <f t="shared" si="17"/>
        <v>-4.8939641109298528E-3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211</v>
      </c>
      <c r="D117" s="133">
        <v>369</v>
      </c>
      <c r="E117" s="133">
        <f t="shared" si="16"/>
        <v>158</v>
      </c>
      <c r="F117" s="114">
        <f t="shared" si="17"/>
        <v>0.74881516587677721</v>
      </c>
    </row>
    <row r="118" spans="1:6" x14ac:dyDescent="0.2">
      <c r="A118" s="115">
        <v>6</v>
      </c>
      <c r="B118" s="116" t="s">
        <v>118</v>
      </c>
      <c r="C118" s="133">
        <v>551</v>
      </c>
      <c r="D118" s="133">
        <v>683</v>
      </c>
      <c r="E118" s="133">
        <f t="shared" si="16"/>
        <v>132</v>
      </c>
      <c r="F118" s="114">
        <f t="shared" si="17"/>
        <v>0.23956442831215971</v>
      </c>
    </row>
    <row r="119" spans="1:6" x14ac:dyDescent="0.2">
      <c r="A119" s="115">
        <v>7</v>
      </c>
      <c r="B119" s="116" t="s">
        <v>119</v>
      </c>
      <c r="C119" s="133">
        <v>10727</v>
      </c>
      <c r="D119" s="133">
        <v>9770</v>
      </c>
      <c r="E119" s="133">
        <f t="shared" si="16"/>
        <v>-957</v>
      </c>
      <c r="F119" s="114">
        <f t="shared" si="17"/>
        <v>-8.9214132562692269E-2</v>
      </c>
    </row>
    <row r="120" spans="1:6" x14ac:dyDescent="0.2">
      <c r="A120" s="115">
        <v>8</v>
      </c>
      <c r="B120" s="116" t="s">
        <v>120</v>
      </c>
      <c r="C120" s="133">
        <v>44</v>
      </c>
      <c r="D120" s="133">
        <v>30</v>
      </c>
      <c r="E120" s="133">
        <f t="shared" si="16"/>
        <v>-14</v>
      </c>
      <c r="F120" s="114">
        <f t="shared" si="17"/>
        <v>-0.31818181818181818</v>
      </c>
    </row>
    <row r="121" spans="1:6" x14ac:dyDescent="0.2">
      <c r="A121" s="115">
        <v>9</v>
      </c>
      <c r="B121" s="116" t="s">
        <v>121</v>
      </c>
      <c r="C121" s="133">
        <v>432</v>
      </c>
      <c r="D121" s="133">
        <v>208</v>
      </c>
      <c r="E121" s="133">
        <f t="shared" si="16"/>
        <v>-224</v>
      </c>
      <c r="F121" s="114">
        <f t="shared" si="17"/>
        <v>-0.51851851851851849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44106</v>
      </c>
      <c r="D124" s="134">
        <f>SUM(D113:D123)</f>
        <v>40692</v>
      </c>
      <c r="E124" s="134">
        <f t="shared" si="16"/>
        <v>-3414</v>
      </c>
      <c r="F124" s="120">
        <f t="shared" si="17"/>
        <v>-7.740443477077949E-2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75046</v>
      </c>
      <c r="D126" s="133">
        <v>73707</v>
      </c>
      <c r="E126" s="133">
        <f t="shared" ref="E126:E137" si="18">D126-C126</f>
        <v>-1339</v>
      </c>
      <c r="F126" s="114">
        <f t="shared" ref="F126:F137" si="19">IF(C126=0,0,E126/C126)</f>
        <v>-1.7842390000799509E-2</v>
      </c>
    </row>
    <row r="127" spans="1:6" x14ac:dyDescent="0.2">
      <c r="A127" s="115">
        <v>2</v>
      </c>
      <c r="B127" s="116" t="s">
        <v>114</v>
      </c>
      <c r="C127" s="133">
        <v>26447</v>
      </c>
      <c r="D127" s="133">
        <v>28872</v>
      </c>
      <c r="E127" s="133">
        <f t="shared" si="18"/>
        <v>2425</v>
      </c>
      <c r="F127" s="114">
        <f t="shared" si="19"/>
        <v>9.1692819601467079E-2</v>
      </c>
    </row>
    <row r="128" spans="1:6" x14ac:dyDescent="0.2">
      <c r="A128" s="115">
        <v>3</v>
      </c>
      <c r="B128" s="116" t="s">
        <v>115</v>
      </c>
      <c r="C128" s="133">
        <v>38882</v>
      </c>
      <c r="D128" s="133">
        <v>42173</v>
      </c>
      <c r="E128" s="133">
        <f t="shared" si="18"/>
        <v>3291</v>
      </c>
      <c r="F128" s="114">
        <f t="shared" si="19"/>
        <v>8.4640707782521474E-2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952</v>
      </c>
      <c r="D130" s="133">
        <v>1022</v>
      </c>
      <c r="E130" s="133">
        <f t="shared" si="18"/>
        <v>70</v>
      </c>
      <c r="F130" s="114">
        <f t="shared" si="19"/>
        <v>7.3529411764705885E-2</v>
      </c>
    </row>
    <row r="131" spans="1:6" x14ac:dyDescent="0.2">
      <c r="A131" s="115">
        <v>6</v>
      </c>
      <c r="B131" s="116" t="s">
        <v>118</v>
      </c>
      <c r="C131" s="133">
        <v>2551</v>
      </c>
      <c r="D131" s="133">
        <v>3270</v>
      </c>
      <c r="E131" s="133">
        <f t="shared" si="18"/>
        <v>719</v>
      </c>
      <c r="F131" s="114">
        <f t="shared" si="19"/>
        <v>0.2818502548020384</v>
      </c>
    </row>
    <row r="132" spans="1:6" x14ac:dyDescent="0.2">
      <c r="A132" s="115">
        <v>7</v>
      </c>
      <c r="B132" s="116" t="s">
        <v>119</v>
      </c>
      <c r="C132" s="133">
        <v>93800</v>
      </c>
      <c r="D132" s="133">
        <v>89388</v>
      </c>
      <c r="E132" s="133">
        <f t="shared" si="18"/>
        <v>-4412</v>
      </c>
      <c r="F132" s="114">
        <f t="shared" si="19"/>
        <v>-4.7036247334754797E-2</v>
      </c>
    </row>
    <row r="133" spans="1:6" x14ac:dyDescent="0.2">
      <c r="A133" s="115">
        <v>8</v>
      </c>
      <c r="B133" s="116" t="s">
        <v>120</v>
      </c>
      <c r="C133" s="133">
        <v>1474</v>
      </c>
      <c r="D133" s="133">
        <v>1360</v>
      </c>
      <c r="E133" s="133">
        <f t="shared" si="18"/>
        <v>-114</v>
      </c>
      <c r="F133" s="114">
        <f t="shared" si="19"/>
        <v>-7.7340569877883306E-2</v>
      </c>
    </row>
    <row r="134" spans="1:6" x14ac:dyDescent="0.2">
      <c r="A134" s="115">
        <v>9</v>
      </c>
      <c r="B134" s="116" t="s">
        <v>121</v>
      </c>
      <c r="C134" s="133">
        <v>6585</v>
      </c>
      <c r="D134" s="133">
        <v>5985</v>
      </c>
      <c r="E134" s="133">
        <f t="shared" si="18"/>
        <v>-600</v>
      </c>
      <c r="F134" s="114">
        <f t="shared" si="19"/>
        <v>-9.1116173120728935E-2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245737</v>
      </c>
      <c r="D137" s="134">
        <f>SUM(D126:D136)</f>
        <v>245777</v>
      </c>
      <c r="E137" s="134">
        <f t="shared" si="18"/>
        <v>40</v>
      </c>
      <c r="F137" s="120">
        <f t="shared" si="19"/>
        <v>1.6277565039045808E-4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21884013</v>
      </c>
      <c r="D142" s="113">
        <v>22188222</v>
      </c>
      <c r="E142" s="113">
        <f t="shared" ref="E142:E153" si="20">D142-C142</f>
        <v>304209</v>
      </c>
      <c r="F142" s="114">
        <f t="shared" ref="F142:F153" si="21">IF(C142=0,0,E142/C142)</f>
        <v>1.3900969625634932E-2</v>
      </c>
    </row>
    <row r="143" spans="1:6" x14ac:dyDescent="0.2">
      <c r="A143" s="115">
        <v>2</v>
      </c>
      <c r="B143" s="116" t="s">
        <v>114</v>
      </c>
      <c r="C143" s="113">
        <v>7256649</v>
      </c>
      <c r="D143" s="113">
        <v>8439296</v>
      </c>
      <c r="E143" s="113">
        <f t="shared" si="20"/>
        <v>1182647</v>
      </c>
      <c r="F143" s="114">
        <f t="shared" si="21"/>
        <v>0.16297425988221284</v>
      </c>
    </row>
    <row r="144" spans="1:6" x14ac:dyDescent="0.2">
      <c r="A144" s="115">
        <v>3</v>
      </c>
      <c r="B144" s="116" t="s">
        <v>115</v>
      </c>
      <c r="C144" s="113">
        <v>41838132</v>
      </c>
      <c r="D144" s="113">
        <v>44526571</v>
      </c>
      <c r="E144" s="113">
        <f t="shared" si="20"/>
        <v>2688439</v>
      </c>
      <c r="F144" s="114">
        <f t="shared" si="21"/>
        <v>6.4258103110339623E-2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469660</v>
      </c>
      <c r="D146" s="113">
        <v>535868</v>
      </c>
      <c r="E146" s="113">
        <f t="shared" si="20"/>
        <v>66208</v>
      </c>
      <c r="F146" s="114">
        <f t="shared" si="21"/>
        <v>0.14097006345015542</v>
      </c>
    </row>
    <row r="147" spans="1:6" x14ac:dyDescent="0.2">
      <c r="A147" s="115">
        <v>6</v>
      </c>
      <c r="B147" s="116" t="s">
        <v>118</v>
      </c>
      <c r="C147" s="113">
        <v>2996833</v>
      </c>
      <c r="D147" s="113">
        <v>2930581</v>
      </c>
      <c r="E147" s="113">
        <f t="shared" si="20"/>
        <v>-66252</v>
      </c>
      <c r="F147" s="114">
        <f t="shared" si="21"/>
        <v>-2.2107337979794004E-2</v>
      </c>
    </row>
    <row r="148" spans="1:6" x14ac:dyDescent="0.2">
      <c r="A148" s="115">
        <v>7</v>
      </c>
      <c r="B148" s="116" t="s">
        <v>119</v>
      </c>
      <c r="C148" s="113">
        <v>34382195</v>
      </c>
      <c r="D148" s="113">
        <v>34436846</v>
      </c>
      <c r="E148" s="113">
        <f t="shared" si="20"/>
        <v>54651</v>
      </c>
      <c r="F148" s="114">
        <f t="shared" si="21"/>
        <v>1.589514572877037E-3</v>
      </c>
    </row>
    <row r="149" spans="1:6" x14ac:dyDescent="0.2">
      <c r="A149" s="115">
        <v>8</v>
      </c>
      <c r="B149" s="116" t="s">
        <v>120</v>
      </c>
      <c r="C149" s="113">
        <v>1925775</v>
      </c>
      <c r="D149" s="113">
        <v>1802831</v>
      </c>
      <c r="E149" s="113">
        <f t="shared" si="20"/>
        <v>-122944</v>
      </c>
      <c r="F149" s="114">
        <f t="shared" si="21"/>
        <v>-6.3841310641170435E-2</v>
      </c>
    </row>
    <row r="150" spans="1:6" x14ac:dyDescent="0.2">
      <c r="A150" s="115">
        <v>9</v>
      </c>
      <c r="B150" s="116" t="s">
        <v>121</v>
      </c>
      <c r="C150" s="113">
        <v>5733624</v>
      </c>
      <c r="D150" s="113">
        <v>3682610</v>
      </c>
      <c r="E150" s="113">
        <f t="shared" si="20"/>
        <v>-2051014</v>
      </c>
      <c r="F150" s="114">
        <f t="shared" si="21"/>
        <v>-0.35771686458686514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116486881</v>
      </c>
      <c r="D153" s="119">
        <f>SUM(D142:D152)</f>
        <v>118542825</v>
      </c>
      <c r="E153" s="119">
        <f t="shared" si="20"/>
        <v>2055944</v>
      </c>
      <c r="F153" s="120">
        <f t="shared" si="21"/>
        <v>1.7649575491681335E-2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3540706</v>
      </c>
      <c r="D155" s="113">
        <v>3395553</v>
      </c>
      <c r="E155" s="113">
        <f t="shared" ref="E155:E166" si="22">D155-C155</f>
        <v>-145153</v>
      </c>
      <c r="F155" s="114">
        <f t="shared" ref="F155:F166" si="23">IF(C155=0,0,E155/C155)</f>
        <v>-4.0995496378405889E-2</v>
      </c>
    </row>
    <row r="156" spans="1:6" x14ac:dyDescent="0.2">
      <c r="A156" s="115">
        <v>2</v>
      </c>
      <c r="B156" s="116" t="s">
        <v>114</v>
      </c>
      <c r="C156" s="113">
        <v>1204925</v>
      </c>
      <c r="D156" s="113">
        <v>1330534</v>
      </c>
      <c r="E156" s="113">
        <f t="shared" si="22"/>
        <v>125609</v>
      </c>
      <c r="F156" s="114">
        <f t="shared" si="23"/>
        <v>0.1042463223852107</v>
      </c>
    </row>
    <row r="157" spans="1:6" x14ac:dyDescent="0.2">
      <c r="A157" s="115">
        <v>3</v>
      </c>
      <c r="B157" s="116" t="s">
        <v>115</v>
      </c>
      <c r="C157" s="113">
        <v>4925854</v>
      </c>
      <c r="D157" s="113">
        <v>4953207</v>
      </c>
      <c r="E157" s="113">
        <f t="shared" si="22"/>
        <v>27353</v>
      </c>
      <c r="F157" s="114">
        <f t="shared" si="23"/>
        <v>5.5529457430122777E-3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88958</v>
      </c>
      <c r="D159" s="113">
        <v>96287</v>
      </c>
      <c r="E159" s="113">
        <f t="shared" si="22"/>
        <v>7329</v>
      </c>
      <c r="F159" s="114">
        <f t="shared" si="23"/>
        <v>8.2387193956698662E-2</v>
      </c>
    </row>
    <row r="160" spans="1:6" x14ac:dyDescent="0.2">
      <c r="A160" s="115">
        <v>6</v>
      </c>
      <c r="B160" s="116" t="s">
        <v>118</v>
      </c>
      <c r="C160" s="113">
        <v>1432216</v>
      </c>
      <c r="D160" s="113">
        <v>1431460</v>
      </c>
      <c r="E160" s="113">
        <f t="shared" si="22"/>
        <v>-756</v>
      </c>
      <c r="F160" s="114">
        <f t="shared" si="23"/>
        <v>-5.2785334055756956E-4</v>
      </c>
    </row>
    <row r="161" spans="1:6" x14ac:dyDescent="0.2">
      <c r="A161" s="115">
        <v>7</v>
      </c>
      <c r="B161" s="116" t="s">
        <v>119</v>
      </c>
      <c r="C161" s="113">
        <v>14641210</v>
      </c>
      <c r="D161" s="113">
        <v>15084910</v>
      </c>
      <c r="E161" s="113">
        <f t="shared" si="22"/>
        <v>443700</v>
      </c>
      <c r="F161" s="114">
        <f t="shared" si="23"/>
        <v>3.0304872343201141E-2</v>
      </c>
    </row>
    <row r="162" spans="1:6" x14ac:dyDescent="0.2">
      <c r="A162" s="115">
        <v>8</v>
      </c>
      <c r="B162" s="116" t="s">
        <v>120</v>
      </c>
      <c r="C162" s="113">
        <v>1108157</v>
      </c>
      <c r="D162" s="113">
        <v>956815</v>
      </c>
      <c r="E162" s="113">
        <f t="shared" si="22"/>
        <v>-151342</v>
      </c>
      <c r="F162" s="114">
        <f t="shared" si="23"/>
        <v>-0.13657090105463396</v>
      </c>
    </row>
    <row r="163" spans="1:6" x14ac:dyDescent="0.2">
      <c r="A163" s="115">
        <v>9</v>
      </c>
      <c r="B163" s="116" t="s">
        <v>121</v>
      </c>
      <c r="C163" s="113">
        <v>149563</v>
      </c>
      <c r="D163" s="113">
        <v>149010</v>
      </c>
      <c r="E163" s="113">
        <f t="shared" si="22"/>
        <v>-553</v>
      </c>
      <c r="F163" s="114">
        <f t="shared" si="23"/>
        <v>-3.697438537606226E-3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27091589</v>
      </c>
      <c r="D166" s="119">
        <f>SUM(D155:D165)</f>
        <v>27397776</v>
      </c>
      <c r="E166" s="119">
        <f t="shared" si="22"/>
        <v>306187</v>
      </c>
      <c r="F166" s="120">
        <f t="shared" si="23"/>
        <v>1.1301921050108948E-2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5489</v>
      </c>
      <c r="D168" s="133">
        <v>5471</v>
      </c>
      <c r="E168" s="133">
        <f t="shared" ref="E168:E179" si="24">D168-C168</f>
        <v>-18</v>
      </c>
      <c r="F168" s="114">
        <f t="shared" ref="F168:F179" si="25">IF(C168=0,0,E168/C168)</f>
        <v>-3.279285844416105E-3</v>
      </c>
    </row>
    <row r="169" spans="1:6" x14ac:dyDescent="0.2">
      <c r="A169" s="115">
        <v>2</v>
      </c>
      <c r="B169" s="116" t="s">
        <v>114</v>
      </c>
      <c r="C169" s="133">
        <v>1795</v>
      </c>
      <c r="D169" s="133">
        <v>1991</v>
      </c>
      <c r="E169" s="133">
        <f t="shared" si="24"/>
        <v>196</v>
      </c>
      <c r="F169" s="114">
        <f t="shared" si="25"/>
        <v>0.10919220055710306</v>
      </c>
    </row>
    <row r="170" spans="1:6" x14ac:dyDescent="0.2">
      <c r="A170" s="115">
        <v>3</v>
      </c>
      <c r="B170" s="116" t="s">
        <v>115</v>
      </c>
      <c r="C170" s="133">
        <v>14748</v>
      </c>
      <c r="D170" s="133">
        <v>14944</v>
      </c>
      <c r="E170" s="133">
        <f t="shared" si="24"/>
        <v>196</v>
      </c>
      <c r="F170" s="114">
        <f t="shared" si="25"/>
        <v>1.3289937618660158E-2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150</v>
      </c>
      <c r="D172" s="133">
        <v>163</v>
      </c>
      <c r="E172" s="133">
        <f t="shared" si="24"/>
        <v>13</v>
      </c>
      <c r="F172" s="114">
        <f t="shared" si="25"/>
        <v>8.666666666666667E-2</v>
      </c>
    </row>
    <row r="173" spans="1:6" x14ac:dyDescent="0.2">
      <c r="A173" s="115">
        <v>6</v>
      </c>
      <c r="B173" s="116" t="s">
        <v>118</v>
      </c>
      <c r="C173" s="133">
        <v>830</v>
      </c>
      <c r="D173" s="133">
        <v>851</v>
      </c>
      <c r="E173" s="133">
        <f t="shared" si="24"/>
        <v>21</v>
      </c>
      <c r="F173" s="114">
        <f t="shared" si="25"/>
        <v>2.5301204819277109E-2</v>
      </c>
    </row>
    <row r="174" spans="1:6" x14ac:dyDescent="0.2">
      <c r="A174" s="115">
        <v>7</v>
      </c>
      <c r="B174" s="116" t="s">
        <v>119</v>
      </c>
      <c r="C174" s="133">
        <v>9347</v>
      </c>
      <c r="D174" s="133">
        <v>9043</v>
      </c>
      <c r="E174" s="133">
        <f t="shared" si="24"/>
        <v>-304</v>
      </c>
      <c r="F174" s="114">
        <f t="shared" si="25"/>
        <v>-3.2523804429228628E-2</v>
      </c>
    </row>
    <row r="175" spans="1:6" x14ac:dyDescent="0.2">
      <c r="A175" s="115">
        <v>8</v>
      </c>
      <c r="B175" s="116" t="s">
        <v>120</v>
      </c>
      <c r="C175" s="133">
        <v>768</v>
      </c>
      <c r="D175" s="133">
        <v>705</v>
      </c>
      <c r="E175" s="133">
        <f t="shared" si="24"/>
        <v>-63</v>
      </c>
      <c r="F175" s="114">
        <f t="shared" si="25"/>
        <v>-8.203125E-2</v>
      </c>
    </row>
    <row r="176" spans="1:6" x14ac:dyDescent="0.2">
      <c r="A176" s="115">
        <v>9</v>
      </c>
      <c r="B176" s="116" t="s">
        <v>121</v>
      </c>
      <c r="C176" s="133">
        <v>2430</v>
      </c>
      <c r="D176" s="133">
        <v>1704</v>
      </c>
      <c r="E176" s="133">
        <f t="shared" si="24"/>
        <v>-726</v>
      </c>
      <c r="F176" s="114">
        <f t="shared" si="25"/>
        <v>-0.29876543209876544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35557</v>
      </c>
      <c r="D179" s="134">
        <f>SUM(D168:D178)</f>
        <v>34872</v>
      </c>
      <c r="E179" s="134">
        <f t="shared" si="24"/>
        <v>-685</v>
      </c>
      <c r="F179" s="120">
        <f t="shared" si="25"/>
        <v>-1.9264842365778891E-2</v>
      </c>
    </row>
  </sheetData>
  <mergeCells count="23"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39:A40"/>
    <mergeCell ref="B39:B40"/>
    <mergeCell ref="C39:F40"/>
    <mergeCell ref="A53:A54"/>
    <mergeCell ref="B53:B54"/>
    <mergeCell ref="C53:F54"/>
    <mergeCell ref="A2:F2"/>
    <mergeCell ref="A3:F3"/>
    <mergeCell ref="A4:F4"/>
    <mergeCell ref="A5:F5"/>
    <mergeCell ref="C9:F9"/>
    <mergeCell ref="A10:A11"/>
    <mergeCell ref="B10:B11"/>
    <mergeCell ref="C10:F11"/>
  </mergeCells>
  <pageMargins left="0.25" right="0.25" top="0.5" bottom="0.5" header="0.25" footer="0.25"/>
  <pageSetup scale="75" fitToHeight="0" orientation="portrait" horizontalDpi="1200" verticalDpi="1200" r:id="rId1"/>
  <headerFooter>
    <oddHeader>&amp;LOFFICE OF HEALTH CARE ACCESS&amp;CTWELVE MONTHS ACTUAL FILING&amp;RMANCHESTER MEMORIAL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27777193</v>
      </c>
      <c r="D15" s="157">
        <v>25962525</v>
      </c>
      <c r="E15" s="157">
        <f>+D15-C15</f>
        <v>-1814668</v>
      </c>
      <c r="F15" s="161">
        <f>IF(C15=0,0,E15/C15)</f>
        <v>-6.5329423315019633E-2</v>
      </c>
    </row>
    <row r="16" spans="1:6" ht="15" customHeight="1" x14ac:dyDescent="0.2">
      <c r="A16" s="147">
        <v>2</v>
      </c>
      <c r="B16" s="160" t="s">
        <v>157</v>
      </c>
      <c r="C16" s="157">
        <v>8493290</v>
      </c>
      <c r="D16" s="157">
        <v>9859566</v>
      </c>
      <c r="E16" s="157">
        <f>+D16-C16</f>
        <v>1366276</v>
      </c>
      <c r="F16" s="161">
        <f>IF(C16=0,0,E16/C16)</f>
        <v>0.16086534193463312</v>
      </c>
    </row>
    <row r="17" spans="1:6" ht="15" customHeight="1" x14ac:dyDescent="0.2">
      <c r="A17" s="147">
        <v>3</v>
      </c>
      <c r="B17" s="160" t="s">
        <v>158</v>
      </c>
      <c r="C17" s="157">
        <v>47335814</v>
      </c>
      <c r="D17" s="157">
        <v>45887361</v>
      </c>
      <c r="E17" s="157">
        <f>+D17-C17</f>
        <v>-1448453</v>
      </c>
      <c r="F17" s="161">
        <f>IF(C17=0,0,E17/C17)</f>
        <v>-3.0599516045081637E-2</v>
      </c>
    </row>
    <row r="18" spans="1:6" ht="15.75" customHeight="1" x14ac:dyDescent="0.25">
      <c r="A18" s="147"/>
      <c r="B18" s="162" t="s">
        <v>159</v>
      </c>
      <c r="C18" s="158">
        <f>SUM(C15:C17)</f>
        <v>83606297</v>
      </c>
      <c r="D18" s="158">
        <f>SUM(D15:D17)</f>
        <v>81709452</v>
      </c>
      <c r="E18" s="158">
        <f>+D18-C18</f>
        <v>-1896845</v>
      </c>
      <c r="F18" s="159">
        <f>IF(C18=0,0,E18/C18)</f>
        <v>-2.2687824578572113E-2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9385872</v>
      </c>
      <c r="D21" s="157">
        <v>8928385</v>
      </c>
      <c r="E21" s="157">
        <f>+D21-C21</f>
        <v>-457487</v>
      </c>
      <c r="F21" s="161">
        <f>IF(C21=0,0,E21/C21)</f>
        <v>-4.8742088108595559E-2</v>
      </c>
    </row>
    <row r="22" spans="1:6" ht="15" customHeight="1" x14ac:dyDescent="0.2">
      <c r="A22" s="147">
        <v>2</v>
      </c>
      <c r="B22" s="160" t="s">
        <v>162</v>
      </c>
      <c r="C22" s="157">
        <v>2686194</v>
      </c>
      <c r="D22" s="157">
        <v>3184698</v>
      </c>
      <c r="E22" s="157">
        <f>+D22-C22</f>
        <v>498504</v>
      </c>
      <c r="F22" s="161">
        <f>IF(C22=0,0,E22/C22)</f>
        <v>0.18558004373474143</v>
      </c>
    </row>
    <row r="23" spans="1:6" ht="15" customHeight="1" x14ac:dyDescent="0.2">
      <c r="A23" s="147">
        <v>3</v>
      </c>
      <c r="B23" s="160" t="s">
        <v>163</v>
      </c>
      <c r="C23" s="157">
        <v>13648187</v>
      </c>
      <c r="D23" s="157">
        <v>13456397</v>
      </c>
      <c r="E23" s="157">
        <f>+D23-C23</f>
        <v>-191790</v>
      </c>
      <c r="F23" s="161">
        <f>IF(C23=0,0,E23/C23)</f>
        <v>-1.4052415899635608E-2</v>
      </c>
    </row>
    <row r="24" spans="1:6" ht="15.75" customHeight="1" x14ac:dyDescent="0.25">
      <c r="A24" s="147"/>
      <c r="B24" s="162" t="s">
        <v>164</v>
      </c>
      <c r="C24" s="158">
        <f>SUM(C21:C23)</f>
        <v>25720253</v>
      </c>
      <c r="D24" s="158">
        <f>SUM(D21:D23)</f>
        <v>25569480</v>
      </c>
      <c r="E24" s="158">
        <f>+D24-C24</f>
        <v>-150773</v>
      </c>
      <c r="F24" s="159">
        <f>IF(C24=0,0,E24/C24)</f>
        <v>-5.8620340942991504E-3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0</v>
      </c>
      <c r="D27" s="157">
        <v>0</v>
      </c>
      <c r="E27" s="157">
        <f>+D27-C27</f>
        <v>0</v>
      </c>
      <c r="F27" s="161">
        <f>IF(C27=0,0,E27/C27)</f>
        <v>0</v>
      </c>
    </row>
    <row r="28" spans="1:6" ht="15" customHeight="1" x14ac:dyDescent="0.2">
      <c r="A28" s="147">
        <v>2</v>
      </c>
      <c r="B28" s="160" t="s">
        <v>167</v>
      </c>
      <c r="C28" s="157">
        <v>9813958</v>
      </c>
      <c r="D28" s="157">
        <v>10079421</v>
      </c>
      <c r="E28" s="157">
        <f>+D28-C28</f>
        <v>265463</v>
      </c>
      <c r="F28" s="161">
        <f>IF(C28=0,0,E28/C28)</f>
        <v>2.7049534958270657E-2</v>
      </c>
    </row>
    <row r="29" spans="1:6" ht="15" customHeight="1" x14ac:dyDescent="0.2">
      <c r="A29" s="147">
        <v>3</v>
      </c>
      <c r="B29" s="160" t="s">
        <v>168</v>
      </c>
      <c r="C29" s="157">
        <v>0</v>
      </c>
      <c r="D29" s="157">
        <v>0</v>
      </c>
      <c r="E29" s="157">
        <f>+D29-C29</f>
        <v>0</v>
      </c>
      <c r="F29" s="161">
        <f>IF(C29=0,0,E29/C29)</f>
        <v>0</v>
      </c>
    </row>
    <row r="30" spans="1:6" ht="15.75" customHeight="1" x14ac:dyDescent="0.25">
      <c r="A30" s="147"/>
      <c r="B30" s="162" t="s">
        <v>169</v>
      </c>
      <c r="C30" s="158">
        <f>SUM(C27:C29)</f>
        <v>9813958</v>
      </c>
      <c r="D30" s="158">
        <f>SUM(D27:D29)</f>
        <v>10079421</v>
      </c>
      <c r="E30" s="158">
        <f>+D30-C30</f>
        <v>265463</v>
      </c>
      <c r="F30" s="159">
        <f>IF(C30=0,0,E30/C30)</f>
        <v>2.7049534958270657E-2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20163909</v>
      </c>
      <c r="D33" s="157">
        <v>19547401</v>
      </c>
      <c r="E33" s="157">
        <f>+D33-C33</f>
        <v>-616508</v>
      </c>
      <c r="F33" s="161">
        <f>IF(C33=0,0,E33/C33)</f>
        <v>-3.0574825545979206E-2</v>
      </c>
    </row>
    <row r="34" spans="1:6" ht="15" customHeight="1" x14ac:dyDescent="0.2">
      <c r="A34" s="147">
        <v>2</v>
      </c>
      <c r="B34" s="160" t="s">
        <v>173</v>
      </c>
      <c r="C34" s="157">
        <v>5612065</v>
      </c>
      <c r="D34" s="157">
        <v>6045438</v>
      </c>
      <c r="E34" s="157">
        <f>+D34-C34</f>
        <v>433373</v>
      </c>
      <c r="F34" s="161">
        <f>IF(C34=0,0,E34/C34)</f>
        <v>7.7221664396260561E-2</v>
      </c>
    </row>
    <row r="35" spans="1:6" ht="15.75" customHeight="1" x14ac:dyDescent="0.25">
      <c r="A35" s="147"/>
      <c r="B35" s="162" t="s">
        <v>174</v>
      </c>
      <c r="C35" s="158">
        <f>SUM(C33:C34)</f>
        <v>25775974</v>
      </c>
      <c r="D35" s="158">
        <f>SUM(D33:D34)</f>
        <v>25592839</v>
      </c>
      <c r="E35" s="158">
        <f>+D35-C35</f>
        <v>-183135</v>
      </c>
      <c r="F35" s="159">
        <f>IF(C35=0,0,E35/C35)</f>
        <v>-7.1048721573043179E-3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3505822</v>
      </c>
      <c r="D38" s="157">
        <v>3258494</v>
      </c>
      <c r="E38" s="157">
        <f>+D38-C38</f>
        <v>-247328</v>
      </c>
      <c r="F38" s="161">
        <f>IF(C38=0,0,E38/C38)</f>
        <v>-7.0547791644869587E-2</v>
      </c>
    </row>
    <row r="39" spans="1:6" ht="15" customHeight="1" x14ac:dyDescent="0.2">
      <c r="A39" s="147">
        <v>2</v>
      </c>
      <c r="B39" s="160" t="s">
        <v>178</v>
      </c>
      <c r="C39" s="157">
        <v>3527565</v>
      </c>
      <c r="D39" s="157">
        <v>3774426</v>
      </c>
      <c r="E39" s="157">
        <f>+D39-C39</f>
        <v>246861</v>
      </c>
      <c r="F39" s="161">
        <f>IF(C39=0,0,E39/C39)</f>
        <v>6.9980567331856397E-2</v>
      </c>
    </row>
    <row r="40" spans="1:6" ht="15" customHeight="1" x14ac:dyDescent="0.2">
      <c r="A40" s="147">
        <v>3</v>
      </c>
      <c r="B40" s="160" t="s">
        <v>179</v>
      </c>
      <c r="C40" s="157">
        <v>83518</v>
      </c>
      <c r="D40" s="157">
        <v>83519</v>
      </c>
      <c r="E40" s="157">
        <f>+D40-C40</f>
        <v>1</v>
      </c>
      <c r="F40" s="161">
        <f>IF(C40=0,0,E40/C40)</f>
        <v>1.1973466797576571E-5</v>
      </c>
    </row>
    <row r="41" spans="1:6" ht="15.75" customHeight="1" x14ac:dyDescent="0.25">
      <c r="A41" s="147"/>
      <c r="B41" s="162" t="s">
        <v>180</v>
      </c>
      <c r="C41" s="158">
        <f>SUM(C38:C40)</f>
        <v>7116905</v>
      </c>
      <c r="D41" s="158">
        <f>SUM(D38:D40)</f>
        <v>7116439</v>
      </c>
      <c r="E41" s="158">
        <f>+D41-C41</f>
        <v>-466</v>
      </c>
      <c r="F41" s="159">
        <f>IF(C41=0,0,E41/C41)</f>
        <v>-6.5477900857184405E-5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2589201</v>
      </c>
      <c r="D47" s="157">
        <v>2358063</v>
      </c>
      <c r="E47" s="157">
        <f>+D47-C47</f>
        <v>-231138</v>
      </c>
      <c r="F47" s="161">
        <f>IF(C47=0,0,E47/C47)</f>
        <v>-8.9270010323648105E-2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2774065</v>
      </c>
      <c r="D50" s="157">
        <v>2115210</v>
      </c>
      <c r="E50" s="157">
        <f>+D50-C50</f>
        <v>-658855</v>
      </c>
      <c r="F50" s="161">
        <f>IF(C50=0,0,E50/C50)</f>
        <v>-0.23750524951650376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210827</v>
      </c>
      <c r="D53" s="157">
        <v>197852</v>
      </c>
      <c r="E53" s="157">
        <f t="shared" ref="E53:E59" si="0">+D53-C53</f>
        <v>-12975</v>
      </c>
      <c r="F53" s="161">
        <f t="shared" ref="F53:F59" si="1">IF(C53=0,0,E53/C53)</f>
        <v>-6.1543350709349375E-2</v>
      </c>
    </row>
    <row r="54" spans="1:6" ht="15" customHeight="1" x14ac:dyDescent="0.2">
      <c r="A54" s="147">
        <v>2</v>
      </c>
      <c r="B54" s="160" t="s">
        <v>189</v>
      </c>
      <c r="C54" s="157">
        <v>833175</v>
      </c>
      <c r="D54" s="157">
        <v>465343</v>
      </c>
      <c r="E54" s="157">
        <f t="shared" si="0"/>
        <v>-367832</v>
      </c>
      <c r="F54" s="161">
        <f t="shared" si="1"/>
        <v>-0.44148228163351039</v>
      </c>
    </row>
    <row r="55" spans="1:6" ht="15" customHeight="1" x14ac:dyDescent="0.2">
      <c r="A55" s="147">
        <v>3</v>
      </c>
      <c r="B55" s="160" t="s">
        <v>190</v>
      </c>
      <c r="C55" s="157">
        <v>33664</v>
      </c>
      <c r="D55" s="157">
        <v>55056</v>
      </c>
      <c r="E55" s="157">
        <f t="shared" si="0"/>
        <v>21392</v>
      </c>
      <c r="F55" s="161">
        <f t="shared" si="1"/>
        <v>0.63545627376425851</v>
      </c>
    </row>
    <row r="56" spans="1:6" ht="15" customHeight="1" x14ac:dyDescent="0.2">
      <c r="A56" s="147">
        <v>4</v>
      </c>
      <c r="B56" s="160" t="s">
        <v>191</v>
      </c>
      <c r="C56" s="157">
        <v>1388558</v>
      </c>
      <c r="D56" s="157">
        <v>1427747</v>
      </c>
      <c r="E56" s="157">
        <f t="shared" si="0"/>
        <v>39189</v>
      </c>
      <c r="F56" s="161">
        <f t="shared" si="1"/>
        <v>2.8222803800777498E-2</v>
      </c>
    </row>
    <row r="57" spans="1:6" ht="15" customHeight="1" x14ac:dyDescent="0.2">
      <c r="A57" s="147">
        <v>5</v>
      </c>
      <c r="B57" s="160" t="s">
        <v>192</v>
      </c>
      <c r="C57" s="157">
        <v>634744</v>
      </c>
      <c r="D57" s="157">
        <v>636360</v>
      </c>
      <c r="E57" s="157">
        <f t="shared" si="0"/>
        <v>1616</v>
      </c>
      <c r="F57" s="161">
        <f t="shared" si="1"/>
        <v>2.5459082716811818E-3</v>
      </c>
    </row>
    <row r="58" spans="1:6" ht="15" customHeight="1" x14ac:dyDescent="0.2">
      <c r="A58" s="147">
        <v>6</v>
      </c>
      <c r="B58" s="160" t="s">
        <v>193</v>
      </c>
      <c r="C58" s="157">
        <v>27479</v>
      </c>
      <c r="D58" s="157">
        <v>25037</v>
      </c>
      <c r="E58" s="157">
        <f t="shared" si="0"/>
        <v>-2442</v>
      </c>
      <c r="F58" s="161">
        <f t="shared" si="1"/>
        <v>-8.8867862731540445E-2</v>
      </c>
    </row>
    <row r="59" spans="1:6" ht="15.75" customHeight="1" x14ac:dyDescent="0.25">
      <c r="A59" s="147"/>
      <c r="B59" s="162" t="s">
        <v>194</v>
      </c>
      <c r="C59" s="158">
        <f>SUM(C53:C58)</f>
        <v>3128447</v>
      </c>
      <c r="D59" s="158">
        <f>SUM(D53:D58)</f>
        <v>2807395</v>
      </c>
      <c r="E59" s="158">
        <f t="shared" si="0"/>
        <v>-321052</v>
      </c>
      <c r="F59" s="159">
        <f t="shared" si="1"/>
        <v>-0.10262344223827349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176971</v>
      </c>
      <c r="D62" s="157">
        <v>149165</v>
      </c>
      <c r="E62" s="157">
        <f t="shared" ref="E62:E90" si="2">+D62-C62</f>
        <v>-27806</v>
      </c>
      <c r="F62" s="161">
        <f t="shared" ref="F62:F90" si="3">IF(C62=0,0,E62/C62)</f>
        <v>-0.15712178831559973</v>
      </c>
    </row>
    <row r="63" spans="1:6" ht="15" customHeight="1" x14ac:dyDescent="0.2">
      <c r="A63" s="147">
        <v>2</v>
      </c>
      <c r="B63" s="160" t="s">
        <v>198</v>
      </c>
      <c r="C63" s="157">
        <v>327456</v>
      </c>
      <c r="D63" s="157">
        <v>342790</v>
      </c>
      <c r="E63" s="157">
        <f t="shared" si="2"/>
        <v>15334</v>
      </c>
      <c r="F63" s="161">
        <f t="shared" si="3"/>
        <v>4.6827665396266982E-2</v>
      </c>
    </row>
    <row r="64" spans="1:6" ht="15" customHeight="1" x14ac:dyDescent="0.2">
      <c r="A64" s="147">
        <v>3</v>
      </c>
      <c r="B64" s="160" t="s">
        <v>199</v>
      </c>
      <c r="C64" s="157">
        <v>1206066</v>
      </c>
      <c r="D64" s="157">
        <v>1211427</v>
      </c>
      <c r="E64" s="157">
        <f t="shared" si="2"/>
        <v>5361</v>
      </c>
      <c r="F64" s="161">
        <f t="shared" si="3"/>
        <v>4.445030371472208E-3</v>
      </c>
    </row>
    <row r="65" spans="1:6" ht="15" customHeight="1" x14ac:dyDescent="0.2">
      <c r="A65" s="147">
        <v>4</v>
      </c>
      <c r="B65" s="160" t="s">
        <v>200</v>
      </c>
      <c r="C65" s="157">
        <v>293478</v>
      </c>
      <c r="D65" s="157">
        <v>293088</v>
      </c>
      <c r="E65" s="157">
        <f t="shared" si="2"/>
        <v>-390</v>
      </c>
      <c r="F65" s="161">
        <f t="shared" si="3"/>
        <v>-1.3288900701245068E-3</v>
      </c>
    </row>
    <row r="66" spans="1:6" ht="15" customHeight="1" x14ac:dyDescent="0.2">
      <c r="A66" s="147">
        <v>5</v>
      </c>
      <c r="B66" s="160" t="s">
        <v>201</v>
      </c>
      <c r="C66" s="157">
        <v>724995</v>
      </c>
      <c r="D66" s="157">
        <v>337100</v>
      </c>
      <c r="E66" s="157">
        <f t="shared" si="2"/>
        <v>-387895</v>
      </c>
      <c r="F66" s="161">
        <f t="shared" si="3"/>
        <v>-0.53503127607776602</v>
      </c>
    </row>
    <row r="67" spans="1:6" ht="15" customHeight="1" x14ac:dyDescent="0.2">
      <c r="A67" s="147">
        <v>6</v>
      </c>
      <c r="B67" s="160" t="s">
        <v>202</v>
      </c>
      <c r="C67" s="157">
        <v>1338817</v>
      </c>
      <c r="D67" s="157">
        <v>1322298</v>
      </c>
      <c r="E67" s="157">
        <f t="shared" si="2"/>
        <v>-16519</v>
      </c>
      <c r="F67" s="161">
        <f t="shared" si="3"/>
        <v>-1.2338504814324885E-2</v>
      </c>
    </row>
    <row r="68" spans="1:6" ht="15" customHeight="1" x14ac:dyDescent="0.2">
      <c r="A68" s="147">
        <v>7</v>
      </c>
      <c r="B68" s="160" t="s">
        <v>203</v>
      </c>
      <c r="C68" s="157">
        <v>774339</v>
      </c>
      <c r="D68" s="157">
        <v>693040</v>
      </c>
      <c r="E68" s="157">
        <f t="shared" si="2"/>
        <v>-81299</v>
      </c>
      <c r="F68" s="161">
        <f t="shared" si="3"/>
        <v>-0.10499148305845372</v>
      </c>
    </row>
    <row r="69" spans="1:6" ht="15" customHeight="1" x14ac:dyDescent="0.2">
      <c r="A69" s="147">
        <v>8</v>
      </c>
      <c r="B69" s="160" t="s">
        <v>204</v>
      </c>
      <c r="C69" s="157">
        <v>371069</v>
      </c>
      <c r="D69" s="157">
        <v>391167</v>
      </c>
      <c r="E69" s="157">
        <f t="shared" si="2"/>
        <v>20098</v>
      </c>
      <c r="F69" s="161">
        <f t="shared" si="3"/>
        <v>5.4162433401874044E-2</v>
      </c>
    </row>
    <row r="70" spans="1:6" ht="15" customHeight="1" x14ac:dyDescent="0.2">
      <c r="A70" s="147">
        <v>9</v>
      </c>
      <c r="B70" s="160" t="s">
        <v>205</v>
      </c>
      <c r="C70" s="157">
        <v>70310</v>
      </c>
      <c r="D70" s="157">
        <v>98659</v>
      </c>
      <c r="E70" s="157">
        <f t="shared" si="2"/>
        <v>28349</v>
      </c>
      <c r="F70" s="161">
        <f t="shared" si="3"/>
        <v>0.40320011378182335</v>
      </c>
    </row>
    <row r="71" spans="1:6" ht="15" customHeight="1" x14ac:dyDescent="0.2">
      <c r="A71" s="147">
        <v>10</v>
      </c>
      <c r="B71" s="160" t="s">
        <v>206</v>
      </c>
      <c r="C71" s="157">
        <v>13991</v>
      </c>
      <c r="D71" s="157">
        <v>4330</v>
      </c>
      <c r="E71" s="157">
        <f t="shared" si="2"/>
        <v>-9661</v>
      </c>
      <c r="F71" s="161">
        <f t="shared" si="3"/>
        <v>-0.69051533128439713</v>
      </c>
    </row>
    <row r="72" spans="1:6" ht="15" customHeight="1" x14ac:dyDescent="0.2">
      <c r="A72" s="147">
        <v>11</v>
      </c>
      <c r="B72" s="160" t="s">
        <v>207</v>
      </c>
      <c r="C72" s="157">
        <v>0</v>
      </c>
      <c r="D72" s="157">
        <v>0</v>
      </c>
      <c r="E72" s="157">
        <f t="shared" si="2"/>
        <v>0</v>
      </c>
      <c r="F72" s="161">
        <f t="shared" si="3"/>
        <v>0</v>
      </c>
    </row>
    <row r="73" spans="1:6" ht="15" customHeight="1" x14ac:dyDescent="0.2">
      <c r="A73" s="147">
        <v>12</v>
      </c>
      <c r="B73" s="160" t="s">
        <v>208</v>
      </c>
      <c r="C73" s="157">
        <v>1185117</v>
      </c>
      <c r="D73" s="157">
        <v>1102196</v>
      </c>
      <c r="E73" s="157">
        <f t="shared" si="2"/>
        <v>-82921</v>
      </c>
      <c r="F73" s="161">
        <f t="shared" si="3"/>
        <v>-6.996861913211945E-2</v>
      </c>
    </row>
    <row r="74" spans="1:6" ht="15" customHeight="1" x14ac:dyDescent="0.2">
      <c r="A74" s="147">
        <v>13</v>
      </c>
      <c r="B74" s="160" t="s">
        <v>209</v>
      </c>
      <c r="C74" s="157">
        <v>134140</v>
      </c>
      <c r="D74" s="157">
        <v>101694</v>
      </c>
      <c r="E74" s="157">
        <f t="shared" si="2"/>
        <v>-32446</v>
      </c>
      <c r="F74" s="161">
        <f t="shared" si="3"/>
        <v>-0.24188161622185775</v>
      </c>
    </row>
    <row r="75" spans="1:6" ht="15" customHeight="1" x14ac:dyDescent="0.2">
      <c r="A75" s="147">
        <v>14</v>
      </c>
      <c r="B75" s="160" t="s">
        <v>210</v>
      </c>
      <c r="C75" s="157">
        <v>116284</v>
      </c>
      <c r="D75" s="157">
        <v>125903</v>
      </c>
      <c r="E75" s="157">
        <f t="shared" si="2"/>
        <v>9619</v>
      </c>
      <c r="F75" s="161">
        <f t="shared" si="3"/>
        <v>8.2719892676550513E-2</v>
      </c>
    </row>
    <row r="76" spans="1:6" ht="15" customHeight="1" x14ac:dyDescent="0.2">
      <c r="A76" s="147">
        <v>15</v>
      </c>
      <c r="B76" s="160" t="s">
        <v>211</v>
      </c>
      <c r="C76" s="157">
        <v>989803</v>
      </c>
      <c r="D76" s="157">
        <v>347425</v>
      </c>
      <c r="E76" s="157">
        <f t="shared" si="2"/>
        <v>-642378</v>
      </c>
      <c r="F76" s="161">
        <f t="shared" si="3"/>
        <v>-0.64899581027739861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3079434</v>
      </c>
      <c r="D78" s="157">
        <v>3532898</v>
      </c>
      <c r="E78" s="157">
        <f t="shared" si="2"/>
        <v>453464</v>
      </c>
      <c r="F78" s="161">
        <f t="shared" si="3"/>
        <v>0.14725563204147255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1870008</v>
      </c>
      <c r="D80" s="157">
        <v>1771180</v>
      </c>
      <c r="E80" s="157">
        <f t="shared" si="2"/>
        <v>-98828</v>
      </c>
      <c r="F80" s="161">
        <f t="shared" si="3"/>
        <v>-5.2848971769104733E-2</v>
      </c>
    </row>
    <row r="81" spans="1:6" ht="15" customHeight="1" x14ac:dyDescent="0.2">
      <c r="A81" s="147">
        <v>20</v>
      </c>
      <c r="B81" s="160" t="s">
        <v>216</v>
      </c>
      <c r="C81" s="157">
        <v>887813</v>
      </c>
      <c r="D81" s="157">
        <v>714804</v>
      </c>
      <c r="E81" s="157">
        <f t="shared" si="2"/>
        <v>-173009</v>
      </c>
      <c r="F81" s="161">
        <f t="shared" si="3"/>
        <v>-0.19487099197691407</v>
      </c>
    </row>
    <row r="82" spans="1:6" ht="15" customHeight="1" x14ac:dyDescent="0.2">
      <c r="A82" s="147">
        <v>21</v>
      </c>
      <c r="B82" s="160" t="s">
        <v>217</v>
      </c>
      <c r="C82" s="157">
        <v>688707</v>
      </c>
      <c r="D82" s="157">
        <v>849675</v>
      </c>
      <c r="E82" s="157">
        <f t="shared" si="2"/>
        <v>160968</v>
      </c>
      <c r="F82" s="161">
        <f t="shared" si="3"/>
        <v>0.23372493672926223</v>
      </c>
    </row>
    <row r="83" spans="1:6" ht="15" customHeight="1" x14ac:dyDescent="0.2">
      <c r="A83" s="147">
        <v>22</v>
      </c>
      <c r="B83" s="160" t="s">
        <v>218</v>
      </c>
      <c r="C83" s="157">
        <v>524333</v>
      </c>
      <c r="D83" s="157">
        <v>555609</v>
      </c>
      <c r="E83" s="157">
        <f t="shared" si="2"/>
        <v>31276</v>
      </c>
      <c r="F83" s="161">
        <f t="shared" si="3"/>
        <v>5.9649116115140566E-2</v>
      </c>
    </row>
    <row r="84" spans="1:6" ht="15" customHeight="1" x14ac:dyDescent="0.2">
      <c r="A84" s="147">
        <v>23</v>
      </c>
      <c r="B84" s="160" t="s">
        <v>219</v>
      </c>
      <c r="C84" s="157">
        <v>756651</v>
      </c>
      <c r="D84" s="157">
        <v>754456</v>
      </c>
      <c r="E84" s="157">
        <f t="shared" si="2"/>
        <v>-2195</v>
      </c>
      <c r="F84" s="161">
        <f t="shared" si="3"/>
        <v>-2.900941120807347E-3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197071</v>
      </c>
      <c r="D86" s="157">
        <v>193996</v>
      </c>
      <c r="E86" s="157">
        <f t="shared" si="2"/>
        <v>-3075</v>
      </c>
      <c r="F86" s="161">
        <f t="shared" si="3"/>
        <v>-1.5603513454541765E-2</v>
      </c>
    </row>
    <row r="87" spans="1:6" ht="15" customHeight="1" x14ac:dyDescent="0.2">
      <c r="A87" s="147">
        <v>26</v>
      </c>
      <c r="B87" s="160" t="s">
        <v>222</v>
      </c>
      <c r="C87" s="157">
        <v>3028795</v>
      </c>
      <c r="D87" s="157">
        <v>2590050</v>
      </c>
      <c r="E87" s="157">
        <f t="shared" si="2"/>
        <v>-438745</v>
      </c>
      <c r="F87" s="161">
        <f t="shared" si="3"/>
        <v>-0.14485793855312096</v>
      </c>
    </row>
    <row r="88" spans="1:6" ht="15" customHeight="1" x14ac:dyDescent="0.2">
      <c r="A88" s="147">
        <v>27</v>
      </c>
      <c r="B88" s="160" t="s">
        <v>223</v>
      </c>
      <c r="C88" s="157">
        <v>3838612</v>
      </c>
      <c r="D88" s="157">
        <v>4015198</v>
      </c>
      <c r="E88" s="157">
        <f t="shared" si="2"/>
        <v>176586</v>
      </c>
      <c r="F88" s="161">
        <f t="shared" si="3"/>
        <v>4.6002565510658538E-2</v>
      </c>
    </row>
    <row r="89" spans="1:6" ht="15" customHeight="1" x14ac:dyDescent="0.2">
      <c r="A89" s="147">
        <v>28</v>
      </c>
      <c r="B89" s="160" t="s">
        <v>224</v>
      </c>
      <c r="C89" s="157">
        <v>1779261</v>
      </c>
      <c r="D89" s="157">
        <v>694805</v>
      </c>
      <c r="E89" s="157">
        <f t="shared" si="2"/>
        <v>-1084456</v>
      </c>
      <c r="F89" s="161">
        <f t="shared" si="3"/>
        <v>-0.60949798820971179</v>
      </c>
    </row>
    <row r="90" spans="1:6" ht="15.75" customHeight="1" x14ac:dyDescent="0.25">
      <c r="A90" s="147"/>
      <c r="B90" s="162" t="s">
        <v>225</v>
      </c>
      <c r="C90" s="158">
        <f>SUM(C62:C89)</f>
        <v>24373521</v>
      </c>
      <c r="D90" s="158">
        <f>SUM(D62:D89)</f>
        <v>22192953</v>
      </c>
      <c r="E90" s="158">
        <f t="shared" si="2"/>
        <v>-2180568</v>
      </c>
      <c r="F90" s="159">
        <f t="shared" si="3"/>
        <v>-8.9464628438377866E-2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410938</v>
      </c>
      <c r="D93" s="157">
        <v>183071</v>
      </c>
      <c r="E93" s="157">
        <f>+D93-C93</f>
        <v>-227867</v>
      </c>
      <c r="F93" s="161">
        <f>IF(C93=0,0,E93/C93)</f>
        <v>-0.55450457246591944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185309559</v>
      </c>
      <c r="D95" s="158">
        <f>+D93+D90+D59+D50+D47+D44+D41+D35+D30+D24+D18</f>
        <v>179724323</v>
      </c>
      <c r="E95" s="158">
        <f>+D95-C95</f>
        <v>-5585236</v>
      </c>
      <c r="F95" s="159">
        <f>IF(C95=0,0,E95/C95)</f>
        <v>-3.0140031794042531E-2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3027810</v>
      </c>
      <c r="D103" s="157">
        <v>3242807</v>
      </c>
      <c r="E103" s="157">
        <f t="shared" ref="E103:E121" si="4">D103-C103</f>
        <v>214997</v>
      </c>
      <c r="F103" s="161">
        <f t="shared" ref="F103:F121" si="5">IF(C103=0,0,E103/C103)</f>
        <v>7.1007427810859988E-2</v>
      </c>
    </row>
    <row r="104" spans="1:6" ht="15" customHeight="1" x14ac:dyDescent="0.2">
      <c r="A104" s="147">
        <v>2</v>
      </c>
      <c r="B104" s="169" t="s">
        <v>234</v>
      </c>
      <c r="C104" s="157">
        <v>2723775</v>
      </c>
      <c r="D104" s="157">
        <v>2119965</v>
      </c>
      <c r="E104" s="157">
        <f t="shared" si="4"/>
        <v>-603810</v>
      </c>
      <c r="F104" s="161">
        <f t="shared" si="5"/>
        <v>-0.22168130627529806</v>
      </c>
    </row>
    <row r="105" spans="1:6" ht="15" customHeight="1" x14ac:dyDescent="0.2">
      <c r="A105" s="147">
        <v>3</v>
      </c>
      <c r="B105" s="169" t="s">
        <v>235</v>
      </c>
      <c r="C105" s="157">
        <v>2183525</v>
      </c>
      <c r="D105" s="157">
        <v>1584068</v>
      </c>
      <c r="E105" s="157">
        <f t="shared" si="4"/>
        <v>-599457</v>
      </c>
      <c r="F105" s="161">
        <f t="shared" si="5"/>
        <v>-0.27453635749533439</v>
      </c>
    </row>
    <row r="106" spans="1:6" ht="15" customHeight="1" x14ac:dyDescent="0.2">
      <c r="A106" s="147">
        <v>4</v>
      </c>
      <c r="B106" s="169" t="s">
        <v>236</v>
      </c>
      <c r="C106" s="157">
        <v>1648710</v>
      </c>
      <c r="D106" s="157">
        <v>1540301</v>
      </c>
      <c r="E106" s="157">
        <f t="shared" si="4"/>
        <v>-108409</v>
      </c>
      <c r="F106" s="161">
        <f t="shared" si="5"/>
        <v>-6.5753831783636904E-2</v>
      </c>
    </row>
    <row r="107" spans="1:6" ht="15" customHeight="1" x14ac:dyDescent="0.2">
      <c r="A107" s="147">
        <v>5</v>
      </c>
      <c r="B107" s="169" t="s">
        <v>237</v>
      </c>
      <c r="C107" s="157">
        <v>5876200</v>
      </c>
      <c r="D107" s="157">
        <v>6096534</v>
      </c>
      <c r="E107" s="157">
        <f t="shared" si="4"/>
        <v>220334</v>
      </c>
      <c r="F107" s="161">
        <f t="shared" si="5"/>
        <v>3.7496000816854433E-2</v>
      </c>
    </row>
    <row r="108" spans="1:6" ht="15" customHeight="1" x14ac:dyDescent="0.2">
      <c r="A108" s="147">
        <v>6</v>
      </c>
      <c r="B108" s="169" t="s">
        <v>238</v>
      </c>
      <c r="C108" s="157">
        <v>1447733</v>
      </c>
      <c r="D108" s="157">
        <v>744116</v>
      </c>
      <c r="E108" s="157">
        <f t="shared" si="4"/>
        <v>-703617</v>
      </c>
      <c r="F108" s="161">
        <f t="shared" si="5"/>
        <v>-0.48601295957196528</v>
      </c>
    </row>
    <row r="109" spans="1:6" ht="15" customHeight="1" x14ac:dyDescent="0.2">
      <c r="A109" s="147">
        <v>7</v>
      </c>
      <c r="B109" s="169" t="s">
        <v>239</v>
      </c>
      <c r="C109" s="157">
        <v>20463526</v>
      </c>
      <c r="D109" s="157">
        <v>19352065</v>
      </c>
      <c r="E109" s="157">
        <f t="shared" si="4"/>
        <v>-1111461</v>
      </c>
      <c r="F109" s="161">
        <f t="shared" si="5"/>
        <v>-5.4314246723658477E-2</v>
      </c>
    </row>
    <row r="110" spans="1:6" ht="15" customHeight="1" x14ac:dyDescent="0.2">
      <c r="A110" s="147">
        <v>8</v>
      </c>
      <c r="B110" s="169" t="s">
        <v>240</v>
      </c>
      <c r="C110" s="157">
        <v>632348</v>
      </c>
      <c r="D110" s="157">
        <v>452036</v>
      </c>
      <c r="E110" s="157">
        <f t="shared" si="4"/>
        <v>-180312</v>
      </c>
      <c r="F110" s="161">
        <f t="shared" si="5"/>
        <v>-0.28514678626326012</v>
      </c>
    </row>
    <row r="111" spans="1:6" ht="15" customHeight="1" x14ac:dyDescent="0.2">
      <c r="A111" s="147">
        <v>9</v>
      </c>
      <c r="B111" s="169" t="s">
        <v>241</v>
      </c>
      <c r="C111" s="157">
        <v>1264242</v>
      </c>
      <c r="D111" s="157">
        <v>1749627</v>
      </c>
      <c r="E111" s="157">
        <f t="shared" si="4"/>
        <v>485385</v>
      </c>
      <c r="F111" s="161">
        <f t="shared" si="5"/>
        <v>0.38393361397580528</v>
      </c>
    </row>
    <row r="112" spans="1:6" ht="15" customHeight="1" x14ac:dyDescent="0.2">
      <c r="A112" s="147">
        <v>10</v>
      </c>
      <c r="B112" s="169" t="s">
        <v>242</v>
      </c>
      <c r="C112" s="157">
        <v>3416831</v>
      </c>
      <c r="D112" s="157">
        <v>3282962</v>
      </c>
      <c r="E112" s="157">
        <f t="shared" si="4"/>
        <v>-133869</v>
      </c>
      <c r="F112" s="161">
        <f t="shared" si="5"/>
        <v>-3.9179286303595351E-2</v>
      </c>
    </row>
    <row r="113" spans="1:6" ht="15" customHeight="1" x14ac:dyDescent="0.2">
      <c r="A113" s="147">
        <v>11</v>
      </c>
      <c r="B113" s="169" t="s">
        <v>243</v>
      </c>
      <c r="C113" s="157">
        <v>2132426</v>
      </c>
      <c r="D113" s="157">
        <v>2039517</v>
      </c>
      <c r="E113" s="157">
        <f t="shared" si="4"/>
        <v>-92909</v>
      </c>
      <c r="F113" s="161">
        <f t="shared" si="5"/>
        <v>-4.3569624455901401E-2</v>
      </c>
    </row>
    <row r="114" spans="1:6" ht="15" customHeight="1" x14ac:dyDescent="0.2">
      <c r="A114" s="147">
        <v>12</v>
      </c>
      <c r="B114" s="169" t="s">
        <v>244</v>
      </c>
      <c r="C114" s="157">
        <v>894223</v>
      </c>
      <c r="D114" s="157">
        <v>890861</v>
      </c>
      <c r="E114" s="157">
        <f t="shared" si="4"/>
        <v>-3362</v>
      </c>
      <c r="F114" s="161">
        <f t="shared" si="5"/>
        <v>-3.7596885787996954E-3</v>
      </c>
    </row>
    <row r="115" spans="1:6" ht="15" customHeight="1" x14ac:dyDescent="0.2">
      <c r="A115" s="147">
        <v>13</v>
      </c>
      <c r="B115" s="169" t="s">
        <v>245</v>
      </c>
      <c r="C115" s="157">
        <v>2515157</v>
      </c>
      <c r="D115" s="157">
        <v>2230716</v>
      </c>
      <c r="E115" s="157">
        <f t="shared" si="4"/>
        <v>-284441</v>
      </c>
      <c r="F115" s="161">
        <f t="shared" si="5"/>
        <v>-0.11309075338040528</v>
      </c>
    </row>
    <row r="116" spans="1:6" ht="15" customHeight="1" x14ac:dyDescent="0.2">
      <c r="A116" s="147">
        <v>14</v>
      </c>
      <c r="B116" s="169" t="s">
        <v>246</v>
      </c>
      <c r="C116" s="157">
        <v>910417</v>
      </c>
      <c r="D116" s="157">
        <v>990196</v>
      </c>
      <c r="E116" s="157">
        <f t="shared" si="4"/>
        <v>79779</v>
      </c>
      <c r="F116" s="161">
        <f t="shared" si="5"/>
        <v>8.7629075467615392E-2</v>
      </c>
    </row>
    <row r="117" spans="1:6" ht="15" customHeight="1" x14ac:dyDescent="0.2">
      <c r="A117" s="147">
        <v>15</v>
      </c>
      <c r="B117" s="169" t="s">
        <v>203</v>
      </c>
      <c r="C117" s="157">
        <v>1563352</v>
      </c>
      <c r="D117" s="157">
        <v>1678438</v>
      </c>
      <c r="E117" s="157">
        <f t="shared" si="4"/>
        <v>115086</v>
      </c>
      <c r="F117" s="161">
        <f t="shared" si="5"/>
        <v>7.3614899267727296E-2</v>
      </c>
    </row>
    <row r="118" spans="1:6" ht="15" customHeight="1" x14ac:dyDescent="0.2">
      <c r="A118" s="147">
        <v>16</v>
      </c>
      <c r="B118" s="169" t="s">
        <v>247</v>
      </c>
      <c r="C118" s="157">
        <v>1040599</v>
      </c>
      <c r="D118" s="157">
        <v>979916</v>
      </c>
      <c r="E118" s="157">
        <f t="shared" si="4"/>
        <v>-60683</v>
      </c>
      <c r="F118" s="161">
        <f t="shared" si="5"/>
        <v>-5.8315451004661741E-2</v>
      </c>
    </row>
    <row r="119" spans="1:6" ht="15" customHeight="1" x14ac:dyDescent="0.2">
      <c r="A119" s="147">
        <v>17</v>
      </c>
      <c r="B119" s="169" t="s">
        <v>248</v>
      </c>
      <c r="C119" s="157">
        <v>7347048</v>
      </c>
      <c r="D119" s="157">
        <v>7899204</v>
      </c>
      <c r="E119" s="157">
        <f t="shared" si="4"/>
        <v>552156</v>
      </c>
      <c r="F119" s="161">
        <f t="shared" si="5"/>
        <v>7.5153449385385804E-2</v>
      </c>
    </row>
    <row r="120" spans="1:6" ht="15" customHeight="1" x14ac:dyDescent="0.2">
      <c r="A120" s="147">
        <v>18</v>
      </c>
      <c r="B120" s="169" t="s">
        <v>249</v>
      </c>
      <c r="C120" s="157">
        <v>24001970</v>
      </c>
      <c r="D120" s="157">
        <v>22922267</v>
      </c>
      <c r="E120" s="157">
        <f t="shared" si="4"/>
        <v>-1079703</v>
      </c>
      <c r="F120" s="161">
        <f t="shared" si="5"/>
        <v>-4.4983932568868304E-2</v>
      </c>
    </row>
    <row r="121" spans="1:6" ht="15.75" customHeight="1" x14ac:dyDescent="0.25">
      <c r="A121" s="147"/>
      <c r="B121" s="165" t="s">
        <v>250</v>
      </c>
      <c r="C121" s="158">
        <f>SUM(C103:C120)</f>
        <v>83089892</v>
      </c>
      <c r="D121" s="158">
        <f>SUM(D103:D120)</f>
        <v>79795596</v>
      </c>
      <c r="E121" s="158">
        <f t="shared" si="4"/>
        <v>-3294296</v>
      </c>
      <c r="F121" s="159">
        <f t="shared" si="5"/>
        <v>-3.9647373714241922E-2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8374402</v>
      </c>
      <c r="D124" s="157">
        <v>8679164</v>
      </c>
      <c r="E124" s="157">
        <f t="shared" ref="E124:E130" si="6">D124-C124</f>
        <v>304762</v>
      </c>
      <c r="F124" s="161">
        <f t="shared" ref="F124:F130" si="7">IF(C124=0,0,E124/C124)</f>
        <v>3.6392091041246882E-2</v>
      </c>
    </row>
    <row r="125" spans="1:6" ht="15" customHeight="1" x14ac:dyDescent="0.2">
      <c r="A125" s="147">
        <v>2</v>
      </c>
      <c r="B125" s="169" t="s">
        <v>253</v>
      </c>
      <c r="C125" s="157">
        <v>1430427</v>
      </c>
      <c r="D125" s="157">
        <v>2371421</v>
      </c>
      <c r="E125" s="157">
        <f t="shared" si="6"/>
        <v>940994</v>
      </c>
      <c r="F125" s="161">
        <f t="shared" si="7"/>
        <v>0.65784132989659727</v>
      </c>
    </row>
    <row r="126" spans="1:6" ht="15" customHeight="1" x14ac:dyDescent="0.2">
      <c r="A126" s="147">
        <v>3</v>
      </c>
      <c r="B126" s="169" t="s">
        <v>254</v>
      </c>
      <c r="C126" s="157">
        <v>1735206</v>
      </c>
      <c r="D126" s="157">
        <v>2060346</v>
      </c>
      <c r="E126" s="157">
        <f t="shared" si="6"/>
        <v>325140</v>
      </c>
      <c r="F126" s="161">
        <f t="shared" si="7"/>
        <v>0.18737832856732861</v>
      </c>
    </row>
    <row r="127" spans="1:6" ht="15" customHeight="1" x14ac:dyDescent="0.2">
      <c r="A127" s="147">
        <v>4</v>
      </c>
      <c r="B127" s="169" t="s">
        <v>255</v>
      </c>
      <c r="C127" s="157">
        <v>2014309</v>
      </c>
      <c r="D127" s="157">
        <v>2150645</v>
      </c>
      <c r="E127" s="157">
        <f t="shared" si="6"/>
        <v>136336</v>
      </c>
      <c r="F127" s="161">
        <f t="shared" si="7"/>
        <v>6.7683756563665251E-2</v>
      </c>
    </row>
    <row r="128" spans="1:6" ht="15" customHeight="1" x14ac:dyDescent="0.2">
      <c r="A128" s="147">
        <v>5</v>
      </c>
      <c r="B128" s="169" t="s">
        <v>256</v>
      </c>
      <c r="C128" s="157">
        <v>114895</v>
      </c>
      <c r="D128" s="157">
        <v>125877</v>
      </c>
      <c r="E128" s="157">
        <f t="shared" si="6"/>
        <v>10982</v>
      </c>
      <c r="F128" s="161">
        <f t="shared" si="7"/>
        <v>9.5582923538883327E-2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13669239</v>
      </c>
      <c r="D130" s="158">
        <f>SUM(D124:D129)</f>
        <v>15387453</v>
      </c>
      <c r="E130" s="158">
        <f t="shared" si="6"/>
        <v>1718214</v>
      </c>
      <c r="F130" s="159">
        <f t="shared" si="7"/>
        <v>0.12569931654571259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12756126</v>
      </c>
      <c r="D133" s="157">
        <v>12025114</v>
      </c>
      <c r="E133" s="157">
        <f t="shared" ref="E133:E167" si="8">D133-C133</f>
        <v>-731012</v>
      </c>
      <c r="F133" s="161">
        <f t="shared" ref="F133:F167" si="9">IF(C133=0,0,E133/C133)</f>
        <v>-5.7306740306578972E-2</v>
      </c>
    </row>
    <row r="134" spans="1:6" ht="15" customHeight="1" x14ac:dyDescent="0.2">
      <c r="A134" s="147">
        <v>2</v>
      </c>
      <c r="B134" s="169" t="s">
        <v>261</v>
      </c>
      <c r="C134" s="157">
        <v>1116773</v>
      </c>
      <c r="D134" s="157">
        <v>1009720</v>
      </c>
      <c r="E134" s="157">
        <f t="shared" si="8"/>
        <v>-107053</v>
      </c>
      <c r="F134" s="161">
        <f t="shared" si="9"/>
        <v>-9.5859230121072059E-2</v>
      </c>
    </row>
    <row r="135" spans="1:6" ht="15" customHeight="1" x14ac:dyDescent="0.2">
      <c r="A135" s="147">
        <v>3</v>
      </c>
      <c r="B135" s="169" t="s">
        <v>262</v>
      </c>
      <c r="C135" s="157">
        <v>388848</v>
      </c>
      <c r="D135" s="157">
        <v>372293</v>
      </c>
      <c r="E135" s="157">
        <f t="shared" si="8"/>
        <v>-16555</v>
      </c>
      <c r="F135" s="161">
        <f t="shared" si="9"/>
        <v>-4.2574476402090278E-2</v>
      </c>
    </row>
    <row r="136" spans="1:6" ht="15" customHeight="1" x14ac:dyDescent="0.2">
      <c r="A136" s="147">
        <v>4</v>
      </c>
      <c r="B136" s="169" t="s">
        <v>263</v>
      </c>
      <c r="C136" s="157">
        <v>4162289</v>
      </c>
      <c r="D136" s="157">
        <v>4392741</v>
      </c>
      <c r="E136" s="157">
        <f t="shared" si="8"/>
        <v>230452</v>
      </c>
      <c r="F136" s="161">
        <f t="shared" si="9"/>
        <v>5.536665041759474E-2</v>
      </c>
    </row>
    <row r="137" spans="1:6" ht="15" customHeight="1" x14ac:dyDescent="0.2">
      <c r="A137" s="147">
        <v>5</v>
      </c>
      <c r="B137" s="169" t="s">
        <v>264</v>
      </c>
      <c r="C137" s="157">
        <v>2482618</v>
      </c>
      <c r="D137" s="157">
        <v>2875688</v>
      </c>
      <c r="E137" s="157">
        <f t="shared" si="8"/>
        <v>393070</v>
      </c>
      <c r="F137" s="161">
        <f t="shared" si="9"/>
        <v>0.15832882868004663</v>
      </c>
    </row>
    <row r="138" spans="1:6" ht="15" customHeight="1" x14ac:dyDescent="0.2">
      <c r="A138" s="147">
        <v>6</v>
      </c>
      <c r="B138" s="169" t="s">
        <v>265</v>
      </c>
      <c r="C138" s="157">
        <v>638164</v>
      </c>
      <c r="D138" s="157">
        <v>683801</v>
      </c>
      <c r="E138" s="157">
        <f t="shared" si="8"/>
        <v>45637</v>
      </c>
      <c r="F138" s="161">
        <f t="shared" si="9"/>
        <v>7.151296531925963E-2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527959</v>
      </c>
      <c r="D140" s="157">
        <v>557272</v>
      </c>
      <c r="E140" s="157">
        <f t="shared" si="8"/>
        <v>29313</v>
      </c>
      <c r="F140" s="161">
        <f t="shared" si="9"/>
        <v>5.5521356772022072E-2</v>
      </c>
    </row>
    <row r="141" spans="1:6" ht="15" customHeight="1" x14ac:dyDescent="0.2">
      <c r="A141" s="147">
        <v>9</v>
      </c>
      <c r="B141" s="169" t="s">
        <v>268</v>
      </c>
      <c r="C141" s="157">
        <v>753463</v>
      </c>
      <c r="D141" s="157">
        <v>792258</v>
      </c>
      <c r="E141" s="157">
        <f t="shared" si="8"/>
        <v>38795</v>
      </c>
      <c r="F141" s="161">
        <f t="shared" si="9"/>
        <v>5.1488925136337155E-2</v>
      </c>
    </row>
    <row r="142" spans="1:6" ht="15" customHeight="1" x14ac:dyDescent="0.2">
      <c r="A142" s="147">
        <v>10</v>
      </c>
      <c r="B142" s="169" t="s">
        <v>269</v>
      </c>
      <c r="C142" s="157">
        <v>12603080</v>
      </c>
      <c r="D142" s="157">
        <v>11618066</v>
      </c>
      <c r="E142" s="157">
        <f t="shared" si="8"/>
        <v>-985014</v>
      </c>
      <c r="F142" s="161">
        <f t="shared" si="9"/>
        <v>-7.8156609336765298E-2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1809000</v>
      </c>
      <c r="D144" s="157">
        <v>1773894</v>
      </c>
      <c r="E144" s="157">
        <f t="shared" si="8"/>
        <v>-35106</v>
      </c>
      <c r="F144" s="161">
        <f t="shared" si="9"/>
        <v>-1.9406301824212272E-2</v>
      </c>
    </row>
    <row r="145" spans="1:6" ht="15" customHeight="1" x14ac:dyDescent="0.2">
      <c r="A145" s="147">
        <v>13</v>
      </c>
      <c r="B145" s="169" t="s">
        <v>272</v>
      </c>
      <c r="C145" s="157">
        <v>183783</v>
      </c>
      <c r="D145" s="157">
        <v>193223</v>
      </c>
      <c r="E145" s="157">
        <f t="shared" si="8"/>
        <v>9440</v>
      </c>
      <c r="F145" s="161">
        <f t="shared" si="9"/>
        <v>5.1364924938650476E-2</v>
      </c>
    </row>
    <row r="146" spans="1:6" ht="15" customHeight="1" x14ac:dyDescent="0.2">
      <c r="A146" s="147">
        <v>14</v>
      </c>
      <c r="B146" s="169" t="s">
        <v>273</v>
      </c>
      <c r="C146" s="157">
        <v>156915</v>
      </c>
      <c r="D146" s="157">
        <v>121449</v>
      </c>
      <c r="E146" s="157">
        <f t="shared" si="8"/>
        <v>-35466</v>
      </c>
      <c r="F146" s="161">
        <f t="shared" si="9"/>
        <v>-0.22602045693528344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95107</v>
      </c>
      <c r="D148" s="157">
        <v>92241</v>
      </c>
      <c r="E148" s="157">
        <f t="shared" si="8"/>
        <v>-2866</v>
      </c>
      <c r="F148" s="161">
        <f t="shared" si="9"/>
        <v>-3.0134480111873994E-2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0</v>
      </c>
      <c r="D150" s="157">
        <v>0</v>
      </c>
      <c r="E150" s="157">
        <f t="shared" si="8"/>
        <v>0</v>
      </c>
      <c r="F150" s="161">
        <f t="shared" si="9"/>
        <v>0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4769299</v>
      </c>
      <c r="D154" s="157">
        <v>4809944</v>
      </c>
      <c r="E154" s="157">
        <f t="shared" si="8"/>
        <v>40645</v>
      </c>
      <c r="F154" s="161">
        <f t="shared" si="9"/>
        <v>8.5222167869953222E-3</v>
      </c>
    </row>
    <row r="155" spans="1:6" ht="15" customHeight="1" x14ac:dyDescent="0.2">
      <c r="A155" s="147">
        <v>23</v>
      </c>
      <c r="B155" s="169" t="s">
        <v>282</v>
      </c>
      <c r="C155" s="157">
        <v>175518</v>
      </c>
      <c r="D155" s="157">
        <v>174970</v>
      </c>
      <c r="E155" s="157">
        <f t="shared" si="8"/>
        <v>-548</v>
      </c>
      <c r="F155" s="161">
        <f t="shared" si="9"/>
        <v>-3.1221868982098701E-3</v>
      </c>
    </row>
    <row r="156" spans="1:6" ht="15" customHeight="1" x14ac:dyDescent="0.2">
      <c r="A156" s="147">
        <v>24</v>
      </c>
      <c r="B156" s="169" t="s">
        <v>283</v>
      </c>
      <c r="C156" s="157">
        <v>10115566</v>
      </c>
      <c r="D156" s="157">
        <v>10001468</v>
      </c>
      <c r="E156" s="157">
        <f t="shared" si="8"/>
        <v>-114098</v>
      </c>
      <c r="F156" s="161">
        <f t="shared" si="9"/>
        <v>-1.1279447932028716E-2</v>
      </c>
    </row>
    <row r="157" spans="1:6" ht="15" customHeight="1" x14ac:dyDescent="0.2">
      <c r="A157" s="147">
        <v>25</v>
      </c>
      <c r="B157" s="169" t="s">
        <v>284</v>
      </c>
      <c r="C157" s="157">
        <v>223469</v>
      </c>
      <c r="D157" s="157">
        <v>253322</v>
      </c>
      <c r="E157" s="157">
        <f t="shared" si="8"/>
        <v>29853</v>
      </c>
      <c r="F157" s="161">
        <f t="shared" si="9"/>
        <v>0.13358899892155063</v>
      </c>
    </row>
    <row r="158" spans="1:6" ht="15" customHeight="1" x14ac:dyDescent="0.2">
      <c r="A158" s="147">
        <v>26</v>
      </c>
      <c r="B158" s="169" t="s">
        <v>285</v>
      </c>
      <c r="C158" s="157">
        <v>414175</v>
      </c>
      <c r="D158" s="157">
        <v>348507</v>
      </c>
      <c r="E158" s="157">
        <f t="shared" si="8"/>
        <v>-65668</v>
      </c>
      <c r="F158" s="161">
        <f t="shared" si="9"/>
        <v>-0.1585513369952315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2206103</v>
      </c>
      <c r="D160" s="157">
        <v>2163668</v>
      </c>
      <c r="E160" s="157">
        <f t="shared" si="8"/>
        <v>-42435</v>
      </c>
      <c r="F160" s="161">
        <f t="shared" si="9"/>
        <v>-1.9235275959463363E-2</v>
      </c>
    </row>
    <row r="161" spans="1:6" ht="15" customHeight="1" x14ac:dyDescent="0.2">
      <c r="A161" s="147">
        <v>29</v>
      </c>
      <c r="B161" s="169" t="s">
        <v>288</v>
      </c>
      <c r="C161" s="157">
        <v>601343</v>
      </c>
      <c r="D161" s="157">
        <v>575985</v>
      </c>
      <c r="E161" s="157">
        <f t="shared" si="8"/>
        <v>-25358</v>
      </c>
      <c r="F161" s="161">
        <f t="shared" si="9"/>
        <v>-4.2168945177710561E-2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1936676</v>
      </c>
      <c r="D164" s="157">
        <v>1907656</v>
      </c>
      <c r="E164" s="157">
        <f t="shared" si="8"/>
        <v>-29020</v>
      </c>
      <c r="F164" s="161">
        <f t="shared" si="9"/>
        <v>-1.4984437252281744E-2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6892454</v>
      </c>
      <c r="D166" s="157">
        <v>6554323</v>
      </c>
      <c r="E166" s="157">
        <f t="shared" si="8"/>
        <v>-338131</v>
      </c>
      <c r="F166" s="161">
        <f t="shared" si="9"/>
        <v>-4.9058143877347603E-2</v>
      </c>
    </row>
    <row r="167" spans="1:6" ht="15.75" customHeight="1" x14ac:dyDescent="0.25">
      <c r="A167" s="147"/>
      <c r="B167" s="165" t="s">
        <v>294</v>
      </c>
      <c r="C167" s="158">
        <f>SUM(C133:C166)</f>
        <v>65008728</v>
      </c>
      <c r="D167" s="158">
        <f>SUM(D133:D166)</f>
        <v>63297603</v>
      </c>
      <c r="E167" s="158">
        <f t="shared" si="8"/>
        <v>-1711125</v>
      </c>
      <c r="F167" s="159">
        <f t="shared" si="9"/>
        <v>-2.6321465634583714E-2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6973713</v>
      </c>
      <c r="D170" s="157">
        <v>6092325</v>
      </c>
      <c r="E170" s="157">
        <f t="shared" ref="E170:E183" si="10">D170-C170</f>
        <v>-881388</v>
      </c>
      <c r="F170" s="161">
        <f t="shared" ref="F170:F183" si="11">IF(C170=0,0,E170/C170)</f>
        <v>-0.12638719144306626</v>
      </c>
    </row>
    <row r="171" spans="1:6" ht="15" customHeight="1" x14ac:dyDescent="0.2">
      <c r="A171" s="147">
        <v>2</v>
      </c>
      <c r="B171" s="169" t="s">
        <v>297</v>
      </c>
      <c r="C171" s="157">
        <v>7925279</v>
      </c>
      <c r="D171" s="157">
        <v>7016464</v>
      </c>
      <c r="E171" s="157">
        <f t="shared" si="10"/>
        <v>-908815</v>
      </c>
      <c r="F171" s="161">
        <f t="shared" si="11"/>
        <v>-0.11467293454274606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4303667</v>
      </c>
      <c r="D173" s="157">
        <v>4235497</v>
      </c>
      <c r="E173" s="157">
        <f t="shared" si="10"/>
        <v>-68170</v>
      </c>
      <c r="F173" s="161">
        <f t="shared" si="11"/>
        <v>-1.583998018434047E-2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1414572</v>
      </c>
      <c r="D175" s="157">
        <v>1463305</v>
      </c>
      <c r="E175" s="157">
        <f t="shared" si="10"/>
        <v>48733</v>
      </c>
      <c r="F175" s="161">
        <f t="shared" si="11"/>
        <v>3.4450703110198704E-2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1338003</v>
      </c>
      <c r="D179" s="157">
        <v>1262025</v>
      </c>
      <c r="E179" s="157">
        <f t="shared" si="10"/>
        <v>-75978</v>
      </c>
      <c r="F179" s="161">
        <f t="shared" si="11"/>
        <v>-5.6784626043439368E-2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1586466</v>
      </c>
      <c r="D182" s="157">
        <v>1174055</v>
      </c>
      <c r="E182" s="157">
        <f t="shared" si="10"/>
        <v>-412411</v>
      </c>
      <c r="F182" s="161">
        <f t="shared" si="11"/>
        <v>-0.2599557759195596</v>
      </c>
    </row>
    <row r="183" spans="1:6" ht="15.75" customHeight="1" x14ac:dyDescent="0.25">
      <c r="A183" s="147"/>
      <c r="B183" s="165" t="s">
        <v>309</v>
      </c>
      <c r="C183" s="158">
        <f>SUM(C170:C182)</f>
        <v>23541700</v>
      </c>
      <c r="D183" s="158">
        <f>SUM(D170:D182)</f>
        <v>21243671</v>
      </c>
      <c r="E183" s="158">
        <f t="shared" si="10"/>
        <v>-2298029</v>
      </c>
      <c r="F183" s="159">
        <f t="shared" si="11"/>
        <v>-9.7615252934155142E-2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185309559</v>
      </c>
      <c r="D188" s="158">
        <f>+D186+D183+D167+D130+D121</f>
        <v>179724323</v>
      </c>
      <c r="E188" s="158">
        <f>D188-C188</f>
        <v>-5585236</v>
      </c>
      <c r="F188" s="159">
        <f>IF(C188=0,0,E188/C188)</f>
        <v>-3.0140031794042531E-2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FILING&amp;RMANCHESTER MEMORIAL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170299621</v>
      </c>
      <c r="D11" s="183">
        <v>172204267</v>
      </c>
      <c r="E11" s="76">
        <v>176292453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19289474</v>
      </c>
      <c r="D12" s="185">
        <v>17340796</v>
      </c>
      <c r="E12" s="185">
        <v>12387148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189589095</v>
      </c>
      <c r="D13" s="76">
        <f>+D11+D12</f>
        <v>189545063</v>
      </c>
      <c r="E13" s="76">
        <f>+E11+E12</f>
        <v>188679601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188335086</v>
      </c>
      <c r="D14" s="185">
        <v>185309559</v>
      </c>
      <c r="E14" s="185">
        <v>179724323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1254009</v>
      </c>
      <c r="D15" s="76">
        <f>+D13-D14</f>
        <v>4235504</v>
      </c>
      <c r="E15" s="76">
        <f>+E13-E14</f>
        <v>8955278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-1466699</v>
      </c>
      <c r="D16" s="185">
        <v>-1743322</v>
      </c>
      <c r="E16" s="185">
        <v>-1638670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-212690</v>
      </c>
      <c r="D17" s="76">
        <f>D15+D16</f>
        <v>2492182</v>
      </c>
      <c r="E17" s="76">
        <f>E15+E16</f>
        <v>7316608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6.6659208401747124E-3</v>
      </c>
      <c r="D20" s="189">
        <f>IF(+D27=0,0,+D24/+D27)</f>
        <v>2.2553060357411704E-2</v>
      </c>
      <c r="E20" s="189">
        <f>IF(+E27=0,0,+E24/+E27)</f>
        <v>4.7878707361652298E-2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-7.7965145627849645E-3</v>
      </c>
      <c r="D21" s="189">
        <f>IF(D27=0,0,+D26/D27)</f>
        <v>-9.2827786937289356E-3</v>
      </c>
      <c r="E21" s="189">
        <f>IF(E27=0,0,+E26/E27)</f>
        <v>-8.7610235430233187E-3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-1.1305937226102521E-3</v>
      </c>
      <c r="D22" s="189">
        <f>IF(D27=0,0,+D28/D27)</f>
        <v>1.3270281663682767E-2</v>
      </c>
      <c r="E22" s="189">
        <f>IF(E27=0,0,+E28/E27)</f>
        <v>3.9117683818628984E-2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1254009</v>
      </c>
      <c r="D24" s="76">
        <f>+D15</f>
        <v>4235504</v>
      </c>
      <c r="E24" s="76">
        <f>+E15</f>
        <v>8955278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189589095</v>
      </c>
      <c r="D25" s="76">
        <f>+D13</f>
        <v>189545063</v>
      </c>
      <c r="E25" s="76">
        <f>+E13</f>
        <v>188679601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-1466699</v>
      </c>
      <c r="D26" s="76">
        <f>+D16</f>
        <v>-1743322</v>
      </c>
      <c r="E26" s="76">
        <f>+E16</f>
        <v>-1638670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188122396</v>
      </c>
      <c r="D27" s="76">
        <f>+D25+D26</f>
        <v>187801741</v>
      </c>
      <c r="E27" s="76">
        <f>+E25+E26</f>
        <v>187040931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-212690</v>
      </c>
      <c r="D28" s="76">
        <f>+D17</f>
        <v>2492182</v>
      </c>
      <c r="E28" s="76">
        <f>+E17</f>
        <v>7316608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27759929</v>
      </c>
      <c r="D31" s="76">
        <v>11344473</v>
      </c>
      <c r="E31" s="76">
        <v>2829380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37731740</v>
      </c>
      <c r="D32" s="76">
        <v>24798417</v>
      </c>
      <c r="E32" s="76">
        <v>15005459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22725967</v>
      </c>
      <c r="D33" s="76">
        <f>+D32-C32</f>
        <v>-12933323</v>
      </c>
      <c r="E33" s="76">
        <f>+E32-D32</f>
        <v>-9792958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2.5144000000000002</v>
      </c>
      <c r="D34" s="193">
        <f>IF(C32=0,0,+D33/C32)</f>
        <v>-0.3427703837670884</v>
      </c>
      <c r="E34" s="193">
        <f>IF(D32=0,0,+E33/D32)</f>
        <v>-0.3949025455939385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0.32342537059621679</v>
      </c>
      <c r="D38" s="195">
        <f>IF((D40+D41)=0,0,+D39/(D40+D41))</f>
        <v>0.29922399509133907</v>
      </c>
      <c r="E38" s="195">
        <f>IF((E40+E41)=0,0,+E39/(E40+E41))</f>
        <v>0.29393921213121604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188335086</v>
      </c>
      <c r="D39" s="76">
        <v>185309559</v>
      </c>
      <c r="E39" s="196">
        <v>179724323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563024417</v>
      </c>
      <c r="D40" s="76">
        <v>601959668</v>
      </c>
      <c r="E40" s="196">
        <v>599046494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19289474</v>
      </c>
      <c r="D41" s="76">
        <v>17340796</v>
      </c>
      <c r="E41" s="196">
        <v>12387148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1.3505563500127604</v>
      </c>
      <c r="D43" s="197">
        <f>IF(D38=0,0,IF((D46-D47)=0,0,((+D44-D45)/(D46-D47)/D38)))</f>
        <v>1.36814802887894</v>
      </c>
      <c r="E43" s="197">
        <f>IF(E38=0,0,IF((E46-E47)=0,0,((+E44-E45)/(E46-E47)/E38)))</f>
        <v>1.5092370397332315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88413152</v>
      </c>
      <c r="D44" s="76">
        <v>85464345</v>
      </c>
      <c r="E44" s="196">
        <v>88293307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476710</v>
      </c>
      <c r="D45" s="76">
        <v>408998</v>
      </c>
      <c r="E45" s="196">
        <v>349586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211134171</v>
      </c>
      <c r="D46" s="76">
        <v>216312756</v>
      </c>
      <c r="E46" s="196">
        <v>206779452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9816408</v>
      </c>
      <c r="D47" s="76">
        <v>8547887</v>
      </c>
      <c r="E47" s="76">
        <v>8540106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0.75998632627273688</v>
      </c>
      <c r="D49" s="198">
        <f>IF(D38=0,0,IF(D51=0,0,(D50/D51)/D38))</f>
        <v>0.81643074846935715</v>
      </c>
      <c r="E49" s="198">
        <f>IF(E38=0,0,IF(E51=0,0,(E50/E51)/E38))</f>
        <v>0.83673334405481803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60507116</v>
      </c>
      <c r="D50" s="199">
        <v>62692532</v>
      </c>
      <c r="E50" s="199">
        <v>63226062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246165162</v>
      </c>
      <c r="D51" s="199">
        <v>256625637</v>
      </c>
      <c r="E51" s="199">
        <v>257070079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0.69121111559703396</v>
      </c>
      <c r="D53" s="198">
        <f>IF(D38=0,0,IF(D55=0,0,(D54/D55)/D38))</f>
        <v>0.72131877557365465</v>
      </c>
      <c r="E53" s="198">
        <f>IF(E38=0,0,IF(E55=0,0,(E54/E55)/E38))</f>
        <v>0.75816206183356261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23251760</v>
      </c>
      <c r="D54" s="199">
        <v>27287201</v>
      </c>
      <c r="E54" s="199">
        <v>29387441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104009027</v>
      </c>
      <c r="D55" s="199">
        <v>126425691</v>
      </c>
      <c r="E55" s="199">
        <v>131868843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3049041.9035126502</v>
      </c>
      <c r="D57" s="88">
        <f>+D60*D38</f>
        <v>2463730.4827753967</v>
      </c>
      <c r="E57" s="88">
        <f>+E60*E38</f>
        <v>2457363.5588518763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3908882</v>
      </c>
      <c r="D58" s="199">
        <v>2411263</v>
      </c>
      <c r="E58" s="199">
        <v>1553798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5518461</v>
      </c>
      <c r="D59" s="199">
        <v>5822470</v>
      </c>
      <c r="E59" s="199">
        <v>6806310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9427343</v>
      </c>
      <c r="D60" s="76">
        <v>8233733</v>
      </c>
      <c r="E60" s="201">
        <v>8360108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1.6189452365305158E-2</v>
      </c>
      <c r="D62" s="202">
        <f>IF(D63=0,0,+D57/D63)</f>
        <v>1.3295215293105287E-2</v>
      </c>
      <c r="E62" s="202">
        <f>IF(E63=0,0,+E57/E63)</f>
        <v>1.3672960442042541E-2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188335086</v>
      </c>
      <c r="D63" s="199">
        <v>185309559</v>
      </c>
      <c r="E63" s="199">
        <v>179724323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1.1865868171863634</v>
      </c>
      <c r="D67" s="203">
        <f>IF(D69=0,0,D68/D69)</f>
        <v>1.137136464486636</v>
      </c>
      <c r="E67" s="203">
        <f>IF(E69=0,0,E68/E69)</f>
        <v>1.1854852184742681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49732057</v>
      </c>
      <c r="D68" s="204">
        <v>44942062</v>
      </c>
      <c r="E68" s="204">
        <v>40036272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41911857</v>
      </c>
      <c r="D69" s="204">
        <v>39522136</v>
      </c>
      <c r="E69" s="204">
        <v>33772055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24.65190621792155</v>
      </c>
      <c r="D71" s="203">
        <f>IF((D77/365)=0,0,+D74/(D77/365))</f>
        <v>19.175455094798689</v>
      </c>
      <c r="E71" s="203">
        <f>IF((E77/365)=0,0,+E74/(E77/365))</f>
        <v>11.135675181557755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12239488</v>
      </c>
      <c r="D72" s="183">
        <v>9361439</v>
      </c>
      <c r="E72" s="183">
        <v>5266042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12239488</v>
      </c>
      <c r="D74" s="204">
        <f>+D72+D73</f>
        <v>9361439</v>
      </c>
      <c r="E74" s="204">
        <f>+E72+E73</f>
        <v>5266042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188335086</v>
      </c>
      <c r="D75" s="204">
        <f>+D14</f>
        <v>185309559</v>
      </c>
      <c r="E75" s="204">
        <f>+E14</f>
        <v>179724323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7115302</v>
      </c>
      <c r="D76" s="204">
        <v>7116905</v>
      </c>
      <c r="E76" s="204">
        <v>7116439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181219784</v>
      </c>
      <c r="D77" s="204">
        <f>+D75-D76</f>
        <v>178192654</v>
      </c>
      <c r="E77" s="204">
        <f>+E75-E76</f>
        <v>172607884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58.548352876252146</v>
      </c>
      <c r="D79" s="203">
        <f>IF((D84/365)=0,0,+D83/(D84/365))</f>
        <v>51.439809589619522</v>
      </c>
      <c r="E79" s="203">
        <f>IF((E84/365)=0,0,+E83/(E84/365))</f>
        <v>54.58175957764908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27182276</v>
      </c>
      <c r="D80" s="212">
        <v>25099884</v>
      </c>
      <c r="E80" s="212">
        <v>25143982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3078822</v>
      </c>
      <c r="D81" s="212">
        <v>3454150</v>
      </c>
      <c r="E81" s="212">
        <v>2821878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2943941</v>
      </c>
      <c r="D82" s="212">
        <v>4285117</v>
      </c>
      <c r="E82" s="212">
        <v>1603251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27317157</v>
      </c>
      <c r="D83" s="212">
        <f>+D80+D81-D82</f>
        <v>24268917</v>
      </c>
      <c r="E83" s="212">
        <f>+E80+E81-E82</f>
        <v>26362609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170299621</v>
      </c>
      <c r="D84" s="204">
        <f>+D11</f>
        <v>172204267</v>
      </c>
      <c r="E84" s="204">
        <f>+E11</f>
        <v>176292453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84.415881463582366</v>
      </c>
      <c r="D86" s="203">
        <f>IF((D90/365)=0,0,+D87/(D90/365))</f>
        <v>80.9549625990755</v>
      </c>
      <c r="E86" s="203">
        <f>IF((E90/365)=0,0,+E87/(E90/365))</f>
        <v>71.415046574581723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41911857</v>
      </c>
      <c r="D87" s="76">
        <f>+D69</f>
        <v>39522136</v>
      </c>
      <c r="E87" s="76">
        <f>+E69</f>
        <v>33772055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188335086</v>
      </c>
      <c r="D88" s="76">
        <f t="shared" si="0"/>
        <v>185309559</v>
      </c>
      <c r="E88" s="76">
        <f t="shared" si="0"/>
        <v>179724323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7115302</v>
      </c>
      <c r="D89" s="201">
        <f t="shared" si="0"/>
        <v>7116905</v>
      </c>
      <c r="E89" s="201">
        <f t="shared" si="0"/>
        <v>7116439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181219784</v>
      </c>
      <c r="D90" s="76">
        <f>+D88-D89</f>
        <v>178192654</v>
      </c>
      <c r="E90" s="76">
        <f>+E88-E89</f>
        <v>172607884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21.665636337939262</v>
      </c>
      <c r="D94" s="214">
        <f>IF(D96=0,0,(D95/D96)*100)</f>
        <v>15.330908080263491</v>
      </c>
      <c r="E94" s="214">
        <f>IF(E96=0,0,(E95/E96)*100)</f>
        <v>9.6002689912447643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37731740</v>
      </c>
      <c r="D95" s="76">
        <f>+D32</f>
        <v>24798417</v>
      </c>
      <c r="E95" s="76">
        <f>+E32</f>
        <v>15005459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174154774</v>
      </c>
      <c r="D96" s="76">
        <v>161754391</v>
      </c>
      <c r="E96" s="76">
        <v>156302485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7.445727968958102</v>
      </c>
      <c r="D98" s="214">
        <f>IF(D104=0,0,(D101/D104)*100)</f>
        <v>10.683510207440671</v>
      </c>
      <c r="E98" s="214">
        <f>IF(E104=0,0,(E101/E104)*100)</f>
        <v>17.333468400960623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-212690</v>
      </c>
      <c r="D99" s="76">
        <f>+D28</f>
        <v>2492182</v>
      </c>
      <c r="E99" s="76">
        <f>+E28</f>
        <v>7316608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7115302</v>
      </c>
      <c r="D100" s="201">
        <f>+D76</f>
        <v>7116905</v>
      </c>
      <c r="E100" s="201">
        <f>+E76</f>
        <v>7116439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6902612</v>
      </c>
      <c r="D101" s="76">
        <f>+D99+D100</f>
        <v>9609087</v>
      </c>
      <c r="E101" s="76">
        <f>+E99+E100</f>
        <v>14433047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41911857</v>
      </c>
      <c r="D102" s="204">
        <f>+D69</f>
        <v>39522136</v>
      </c>
      <c r="E102" s="204">
        <f>+E69</f>
        <v>33772055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50793813</v>
      </c>
      <c r="D103" s="216">
        <v>50421027</v>
      </c>
      <c r="E103" s="216">
        <v>49494875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92705670</v>
      </c>
      <c r="D104" s="204">
        <f>+D102+D103</f>
        <v>89943163</v>
      </c>
      <c r="E104" s="204">
        <f>+E102+E103</f>
        <v>83266930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57.377572100566269</v>
      </c>
      <c r="D106" s="214">
        <f>IF(D109=0,0,(D107/D109)*100)</f>
        <v>67.031906005580154</v>
      </c>
      <c r="E106" s="214">
        <f>IF(E109=0,0,(E107/E109)*100)</f>
        <v>76.735842949278378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50793813</v>
      </c>
      <c r="D107" s="204">
        <f>+D103</f>
        <v>50421027</v>
      </c>
      <c r="E107" s="204">
        <f>+E103</f>
        <v>49494875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37731740</v>
      </c>
      <c r="D108" s="204">
        <f>+D32</f>
        <v>24798417</v>
      </c>
      <c r="E108" s="204">
        <f>+E32</f>
        <v>15005459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88525553</v>
      </c>
      <c r="D109" s="204">
        <f>+D107+D108</f>
        <v>75219444</v>
      </c>
      <c r="E109" s="204">
        <f>+E107+E108</f>
        <v>64500334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0.72439947788175207</v>
      </c>
      <c r="D111" s="214">
        <f>IF((+D113+D115)=0,0,((+D112+D113+D114)/(+D113+D115)))</f>
        <v>1.8111501140442332</v>
      </c>
      <c r="E111" s="214">
        <f>IF((+E113+E115)=0,0,((+E112+E113+E114)/(+E113+E115)))</f>
        <v>1.9617503825394027</v>
      </c>
    </row>
    <row r="112" spans="1:6" ht="24" customHeight="1" x14ac:dyDescent="0.2">
      <c r="A112" s="85">
        <v>16</v>
      </c>
      <c r="B112" s="75" t="s">
        <v>373</v>
      </c>
      <c r="C112" s="218">
        <f>+C17</f>
        <v>-212690</v>
      </c>
      <c r="D112" s="76">
        <f>+D17</f>
        <v>2492182</v>
      </c>
      <c r="E112" s="76">
        <f>+E17</f>
        <v>7316608</v>
      </c>
    </row>
    <row r="113" spans="1:8" ht="24" customHeight="1" x14ac:dyDescent="0.2">
      <c r="A113" s="85">
        <v>17</v>
      </c>
      <c r="B113" s="75" t="s">
        <v>88</v>
      </c>
      <c r="C113" s="218">
        <v>2685044</v>
      </c>
      <c r="D113" s="76">
        <v>2589201</v>
      </c>
      <c r="E113" s="76">
        <v>2358063</v>
      </c>
    </row>
    <row r="114" spans="1:8" ht="24" customHeight="1" x14ac:dyDescent="0.2">
      <c r="A114" s="85">
        <v>18</v>
      </c>
      <c r="B114" s="75" t="s">
        <v>374</v>
      </c>
      <c r="C114" s="218">
        <v>7115302</v>
      </c>
      <c r="D114" s="76">
        <v>7116905</v>
      </c>
      <c r="E114" s="76">
        <v>7116439</v>
      </c>
    </row>
    <row r="115" spans="1:8" ht="24" customHeight="1" x14ac:dyDescent="0.2">
      <c r="A115" s="85">
        <v>19</v>
      </c>
      <c r="B115" s="75" t="s">
        <v>104</v>
      </c>
      <c r="C115" s="218">
        <v>10550272</v>
      </c>
      <c r="D115" s="76">
        <v>4145905</v>
      </c>
      <c r="E115" s="76">
        <v>6201186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18.941568045881962</v>
      </c>
      <c r="D119" s="214">
        <f>IF(+D121=0,0,(+D120)/(+D121))</f>
        <v>19.879552839331144</v>
      </c>
      <c r="E119" s="214">
        <f>IF(+E121=0,0,(+E120)/(+E121))</f>
        <v>20.853147901640131</v>
      </c>
    </row>
    <row r="120" spans="1:8" ht="24" customHeight="1" x14ac:dyDescent="0.2">
      <c r="A120" s="85">
        <v>21</v>
      </c>
      <c r="B120" s="75" t="s">
        <v>378</v>
      </c>
      <c r="C120" s="218">
        <v>134774977</v>
      </c>
      <c r="D120" s="218">
        <v>141480889</v>
      </c>
      <c r="E120" s="218">
        <v>148400155</v>
      </c>
    </row>
    <row r="121" spans="1:8" ht="24" customHeight="1" x14ac:dyDescent="0.2">
      <c r="A121" s="85">
        <v>22</v>
      </c>
      <c r="B121" s="75" t="s">
        <v>374</v>
      </c>
      <c r="C121" s="218">
        <v>7115302</v>
      </c>
      <c r="D121" s="218">
        <v>7116905</v>
      </c>
      <c r="E121" s="218">
        <v>7116439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46662</v>
      </c>
      <c r="D124" s="218">
        <v>44106</v>
      </c>
      <c r="E124" s="218">
        <v>40692</v>
      </c>
    </row>
    <row r="125" spans="1:8" ht="24" customHeight="1" x14ac:dyDescent="0.2">
      <c r="A125" s="85">
        <v>2</v>
      </c>
      <c r="B125" s="75" t="s">
        <v>381</v>
      </c>
      <c r="C125" s="218">
        <v>9342</v>
      </c>
      <c r="D125" s="218">
        <v>9110</v>
      </c>
      <c r="E125" s="218">
        <v>8806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4.9948619139370587</v>
      </c>
      <c r="D126" s="219">
        <f>IF(D125=0,0,D124/D125)</f>
        <v>4.8414928649835343</v>
      </c>
      <c r="E126" s="219">
        <f>IF(E125=0,0,E124/E125)</f>
        <v>4.6209402679990914</v>
      </c>
    </row>
    <row r="127" spans="1:8" ht="24" customHeight="1" x14ac:dyDescent="0.2">
      <c r="A127" s="85">
        <v>4</v>
      </c>
      <c r="B127" s="75" t="s">
        <v>383</v>
      </c>
      <c r="C127" s="218">
        <v>171</v>
      </c>
      <c r="D127" s="218">
        <v>171</v>
      </c>
      <c r="E127" s="218">
        <v>181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283</v>
      </c>
      <c r="E128" s="218">
        <v>283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283</v>
      </c>
      <c r="D129" s="218">
        <v>283</v>
      </c>
      <c r="E129" s="218">
        <v>283</v>
      </c>
    </row>
    <row r="130" spans="1:7" ht="24" customHeight="1" x14ac:dyDescent="0.2">
      <c r="A130" s="85">
        <v>7</v>
      </c>
      <c r="B130" s="75" t="s">
        <v>386</v>
      </c>
      <c r="C130" s="193">
        <v>0.74760000000000004</v>
      </c>
      <c r="D130" s="193">
        <v>0.70660000000000001</v>
      </c>
      <c r="E130" s="193">
        <v>0.6159</v>
      </c>
    </row>
    <row r="131" spans="1:7" ht="24" customHeight="1" x14ac:dyDescent="0.2">
      <c r="A131" s="85">
        <v>8</v>
      </c>
      <c r="B131" s="75" t="s">
        <v>387</v>
      </c>
      <c r="C131" s="193">
        <v>0.45169999999999999</v>
      </c>
      <c r="D131" s="193">
        <v>0.4269</v>
      </c>
      <c r="E131" s="193">
        <v>0.39389999999999997</v>
      </c>
    </row>
    <row r="132" spans="1:7" ht="24" customHeight="1" x14ac:dyDescent="0.2">
      <c r="A132" s="85">
        <v>9</v>
      </c>
      <c r="B132" s="75" t="s">
        <v>388</v>
      </c>
      <c r="C132" s="219">
        <v>1108.7</v>
      </c>
      <c r="D132" s="219">
        <v>1152.7</v>
      </c>
      <c r="E132" s="219">
        <v>1134.5999999999999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0.3575648887000224</v>
      </c>
      <c r="D135" s="227">
        <f>IF(D149=0,0,D143/D149)</f>
        <v>0.34514749084485175</v>
      </c>
      <c r="E135" s="227">
        <f>IF(E149=0,0,E143/E149)</f>
        <v>0.33092480798326818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0.43721933643954203</v>
      </c>
      <c r="D136" s="227">
        <f>IF(D149=0,0,D144/D149)</f>
        <v>0.42631699537717199</v>
      </c>
      <c r="E136" s="227">
        <f>IF(E149=0,0,E144/E149)</f>
        <v>0.42913209838433675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0.18473271115700121</v>
      </c>
      <c r="D137" s="227">
        <f>IF(D149=0,0,D145/D149)</f>
        <v>0.21002352436675209</v>
      </c>
      <c r="E137" s="227">
        <f>IF(E149=0,0,E145/E149)</f>
        <v>0.22013123241816351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1.7435137275760459E-2</v>
      </c>
      <c r="D139" s="227">
        <f>IF(D149=0,0,D147/D149)</f>
        <v>1.4200099200001553E-2</v>
      </c>
      <c r="E139" s="227">
        <f>IF(E149=0,0,E147/E149)</f>
        <v>1.4256165565673105E-2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3.0479264276739174E-3</v>
      </c>
      <c r="D140" s="227">
        <f>IF(D149=0,0,D148/D149)</f>
        <v>4.3118902112225894E-3</v>
      </c>
      <c r="E140" s="227">
        <f>IF(E149=0,0,E148/E149)</f>
        <v>5.5556956485584572E-3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0.99999999999999989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201317763</v>
      </c>
      <c r="D143" s="229">
        <f>+D46-D147</f>
        <v>207764869</v>
      </c>
      <c r="E143" s="229">
        <f>+E46-E147</f>
        <v>198239346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246165162</v>
      </c>
      <c r="D144" s="229">
        <f>+D51</f>
        <v>256625637</v>
      </c>
      <c r="E144" s="229">
        <f>+E51</f>
        <v>257070079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104009027</v>
      </c>
      <c r="D145" s="229">
        <f>+D55</f>
        <v>126425691</v>
      </c>
      <c r="E145" s="229">
        <f>+E55</f>
        <v>131868843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9816408</v>
      </c>
      <c r="D147" s="229">
        <f>+D47</f>
        <v>8547887</v>
      </c>
      <c r="E147" s="229">
        <f>+E47</f>
        <v>8540106</v>
      </c>
    </row>
    <row r="148" spans="1:7" ht="20.100000000000001" customHeight="1" x14ac:dyDescent="0.2">
      <c r="A148" s="226">
        <v>13</v>
      </c>
      <c r="B148" s="224" t="s">
        <v>402</v>
      </c>
      <c r="C148" s="230">
        <v>1716057</v>
      </c>
      <c r="D148" s="229">
        <v>2595584</v>
      </c>
      <c r="E148" s="229">
        <v>3328120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563024417</v>
      </c>
      <c r="D149" s="229">
        <f>SUM(D143:D148)</f>
        <v>601959668</v>
      </c>
      <c r="E149" s="229">
        <f>SUM(E143:E148)</f>
        <v>599046494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0.50883008974201416</v>
      </c>
      <c r="D152" s="227">
        <f>IF(D166=0,0,D160/D166)</f>
        <v>0.48299136287426042</v>
      </c>
      <c r="E152" s="227">
        <f>IF(E166=0,0,E160/E166)</f>
        <v>0.48421371507214012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0.35011470289314706</v>
      </c>
      <c r="D153" s="227">
        <f>IF(D166=0,0,D161/D166)</f>
        <v>0.3560029150515156</v>
      </c>
      <c r="E153" s="227">
        <f>IF(E166=0,0,E161/E166)</f>
        <v>0.34811952487661357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0.13454257254870255</v>
      </c>
      <c r="D154" s="227">
        <f>IF(D166=0,0,D162/D166)</f>
        <v>0.15495183859533113</v>
      </c>
      <c r="E154" s="227">
        <f>IF(E166=0,0,E162/E166)</f>
        <v>0.16180577557178105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2.7584058049666777E-3</v>
      </c>
      <c r="D156" s="227">
        <f>IF(D166=0,0,D164/D166)</f>
        <v>2.3225171420774614E-3</v>
      </c>
      <c r="E156" s="227">
        <f>IF(E166=0,0,E164/E166)</f>
        <v>1.924802974816237E-3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3.7542290111695271E-3</v>
      </c>
      <c r="D157" s="227">
        <f>IF(D166=0,0,D165/D166)</f>
        <v>3.7313663368153771E-3</v>
      </c>
      <c r="E157" s="227">
        <f>IF(E166=0,0,E165/E166)</f>
        <v>3.9361815046490096E-3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0.99999999999999989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87936442</v>
      </c>
      <c r="D160" s="229">
        <f>+D44-D164</f>
        <v>85055347</v>
      </c>
      <c r="E160" s="229">
        <f>+E44-E164</f>
        <v>87943721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60507116</v>
      </c>
      <c r="D161" s="229">
        <f>+D50</f>
        <v>62692532</v>
      </c>
      <c r="E161" s="229">
        <f>+E50</f>
        <v>63226062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23251760</v>
      </c>
      <c r="D162" s="229">
        <f>+D54</f>
        <v>27287201</v>
      </c>
      <c r="E162" s="229">
        <f>+E54</f>
        <v>29387441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476710</v>
      </c>
      <c r="D164" s="229">
        <f>+D45</f>
        <v>408998</v>
      </c>
      <c r="E164" s="229">
        <f>+E45</f>
        <v>349586</v>
      </c>
    </row>
    <row r="165" spans="1:6" ht="20.100000000000001" customHeight="1" x14ac:dyDescent="0.2">
      <c r="A165" s="226">
        <v>13</v>
      </c>
      <c r="B165" s="224" t="s">
        <v>417</v>
      </c>
      <c r="C165" s="230">
        <v>648809</v>
      </c>
      <c r="D165" s="229">
        <v>657098</v>
      </c>
      <c r="E165" s="229">
        <v>714896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172820837</v>
      </c>
      <c r="D166" s="229">
        <f>SUM(D160:D165)</f>
        <v>176101176</v>
      </c>
      <c r="E166" s="229">
        <f>SUM(E160:E165)</f>
        <v>181621706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3395</v>
      </c>
      <c r="D169" s="218">
        <v>3214</v>
      </c>
      <c r="E169" s="218">
        <v>3108</v>
      </c>
    </row>
    <row r="170" spans="1:6" ht="20.100000000000001" customHeight="1" x14ac:dyDescent="0.2">
      <c r="A170" s="226">
        <v>2</v>
      </c>
      <c r="B170" s="224" t="s">
        <v>420</v>
      </c>
      <c r="C170" s="218">
        <v>3821</v>
      </c>
      <c r="D170" s="218">
        <v>3676</v>
      </c>
      <c r="E170" s="218">
        <v>3353</v>
      </c>
    </row>
    <row r="171" spans="1:6" ht="20.100000000000001" customHeight="1" x14ac:dyDescent="0.2">
      <c r="A171" s="226">
        <v>3</v>
      </c>
      <c r="B171" s="224" t="s">
        <v>421</v>
      </c>
      <c r="C171" s="218">
        <v>2085</v>
      </c>
      <c r="D171" s="218">
        <v>2180</v>
      </c>
      <c r="E171" s="218">
        <v>2269</v>
      </c>
    </row>
    <row r="172" spans="1:6" ht="20.100000000000001" customHeight="1" x14ac:dyDescent="0.2">
      <c r="A172" s="226">
        <v>4</v>
      </c>
      <c r="B172" s="224" t="s">
        <v>422</v>
      </c>
      <c r="C172" s="218">
        <v>2085</v>
      </c>
      <c r="D172" s="218">
        <v>2180</v>
      </c>
      <c r="E172" s="218">
        <v>2269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41</v>
      </c>
      <c r="D174" s="218">
        <v>40</v>
      </c>
      <c r="E174" s="218">
        <v>76</v>
      </c>
    </row>
    <row r="175" spans="1:6" ht="20.100000000000001" customHeight="1" x14ac:dyDescent="0.2">
      <c r="A175" s="226">
        <v>7</v>
      </c>
      <c r="B175" s="224" t="s">
        <v>425</v>
      </c>
      <c r="C175" s="218">
        <v>218</v>
      </c>
      <c r="D175" s="218">
        <v>101</v>
      </c>
      <c r="E175" s="218">
        <v>64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9342</v>
      </c>
      <c r="D176" s="218">
        <f>+D169+D170+D171+D174</f>
        <v>9110</v>
      </c>
      <c r="E176" s="218">
        <f>+E169+E170+E171+E174</f>
        <v>8806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0.98411999999999999</v>
      </c>
      <c r="D179" s="231">
        <v>1.0006200000000001</v>
      </c>
      <c r="E179" s="231">
        <v>1.02108</v>
      </c>
    </row>
    <row r="180" spans="1:6" ht="20.100000000000001" customHeight="1" x14ac:dyDescent="0.2">
      <c r="A180" s="226">
        <v>2</v>
      </c>
      <c r="B180" s="224" t="s">
        <v>420</v>
      </c>
      <c r="C180" s="231">
        <v>1.5048900000000001</v>
      </c>
      <c r="D180" s="231">
        <v>1.46454</v>
      </c>
      <c r="E180" s="231">
        <v>1.48956</v>
      </c>
    </row>
    <row r="181" spans="1:6" ht="20.100000000000001" customHeight="1" x14ac:dyDescent="0.2">
      <c r="A181" s="226">
        <v>3</v>
      </c>
      <c r="B181" s="224" t="s">
        <v>421</v>
      </c>
      <c r="C181" s="231">
        <v>0.96306000000000003</v>
      </c>
      <c r="D181" s="231">
        <v>1.0111699999999999</v>
      </c>
      <c r="E181" s="231">
        <v>1.02108</v>
      </c>
    </row>
    <row r="182" spans="1:6" ht="20.100000000000001" customHeight="1" x14ac:dyDescent="0.2">
      <c r="A182" s="226">
        <v>4</v>
      </c>
      <c r="B182" s="224" t="s">
        <v>422</v>
      </c>
      <c r="C182" s="231">
        <v>0.96306000000000003</v>
      </c>
      <c r="D182" s="231">
        <v>1.0111699999999999</v>
      </c>
      <c r="E182" s="231">
        <v>1.02108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1.0127900000000001</v>
      </c>
      <c r="D184" s="231">
        <v>1.1261000000000001</v>
      </c>
      <c r="E184" s="231">
        <v>1.0809</v>
      </c>
    </row>
    <row r="185" spans="1:6" ht="20.100000000000001" customHeight="1" x14ac:dyDescent="0.2">
      <c r="A185" s="226">
        <v>7</v>
      </c>
      <c r="B185" s="224" t="s">
        <v>425</v>
      </c>
      <c r="C185" s="231">
        <v>1.0421400000000001</v>
      </c>
      <c r="D185" s="231">
        <v>1.0187999999999999</v>
      </c>
      <c r="E185" s="231">
        <v>1.0867899999999999</v>
      </c>
    </row>
    <row r="186" spans="1:6" ht="20.100000000000001" customHeight="1" x14ac:dyDescent="0.2">
      <c r="A186" s="226">
        <v>8</v>
      </c>
      <c r="B186" s="224" t="s">
        <v>429</v>
      </c>
      <c r="C186" s="231">
        <v>1.192547</v>
      </c>
      <c r="D186" s="231">
        <v>1.190893</v>
      </c>
      <c r="E186" s="231">
        <v>1.1999759999999999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6189</v>
      </c>
      <c r="D189" s="218">
        <v>5484</v>
      </c>
      <c r="E189" s="218">
        <v>4907</v>
      </c>
    </row>
    <row r="190" spans="1:6" ht="20.100000000000001" customHeight="1" x14ac:dyDescent="0.2">
      <c r="A190" s="226">
        <v>2</v>
      </c>
      <c r="B190" s="224" t="s">
        <v>433</v>
      </c>
      <c r="C190" s="218">
        <v>40876</v>
      </c>
      <c r="D190" s="218">
        <v>35557</v>
      </c>
      <c r="E190" s="218">
        <v>34872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47065</v>
      </c>
      <c r="D191" s="218">
        <f>+D190+D189</f>
        <v>41041</v>
      </c>
      <c r="E191" s="218">
        <f>+E190+E189</f>
        <v>39779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scale="75" fitToHeight="0" orientation="portrait" horizontalDpi="1200" verticalDpi="1200" r:id="rId1"/>
  <headerFooter>
    <oddHeader>&amp;LOFFICE OF HEALTH CARE ACCESS&amp;CTWELVE MONTHS ACTUAL FILING&amp;RMANCHESTER MEMORIAL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2</v>
      </c>
      <c r="B4" s="802"/>
      <c r="C4" s="802"/>
      <c r="D4" s="802"/>
      <c r="E4" s="802"/>
      <c r="F4" s="802"/>
    </row>
    <row r="5" spans="1:7" ht="20.25" customHeight="1" x14ac:dyDescent="0.3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3"/>
      <c r="D9" s="804"/>
      <c r="E9" s="804"/>
      <c r="F9" s="805"/>
      <c r="G9" s="245"/>
    </row>
    <row r="10" spans="1:7" ht="20.25" customHeight="1" x14ac:dyDescent="0.3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">
      <c r="A11" s="795"/>
      <c r="B11" s="787"/>
      <c r="C11" s="791"/>
      <c r="D11" s="792"/>
      <c r="E11" s="792"/>
      <c r="F11" s="793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696595</v>
      </c>
      <c r="D14" s="258">
        <v>961627</v>
      </c>
      <c r="E14" s="258">
        <f t="shared" ref="E14:E24" si="0">D14-C14</f>
        <v>265032</v>
      </c>
      <c r="F14" s="259">
        <f t="shared" ref="F14:F24" si="1">IF(C14=0,0,E14/C14)</f>
        <v>0.38046784717088122</v>
      </c>
    </row>
    <row r="15" spans="1:7" ht="20.25" customHeight="1" x14ac:dyDescent="0.3">
      <c r="A15" s="256">
        <v>2</v>
      </c>
      <c r="B15" s="257" t="s">
        <v>442</v>
      </c>
      <c r="C15" s="258">
        <v>143489</v>
      </c>
      <c r="D15" s="258">
        <v>219976</v>
      </c>
      <c r="E15" s="258">
        <f t="shared" si="0"/>
        <v>76487</v>
      </c>
      <c r="F15" s="259">
        <f t="shared" si="1"/>
        <v>0.53305131403800987</v>
      </c>
    </row>
    <row r="16" spans="1:7" ht="20.25" customHeight="1" x14ac:dyDescent="0.3">
      <c r="A16" s="256">
        <v>3</v>
      </c>
      <c r="B16" s="257" t="s">
        <v>443</v>
      </c>
      <c r="C16" s="258">
        <v>1119304</v>
      </c>
      <c r="D16" s="258">
        <v>1467290</v>
      </c>
      <c r="E16" s="258">
        <f t="shared" si="0"/>
        <v>347986</v>
      </c>
      <c r="F16" s="259">
        <f t="shared" si="1"/>
        <v>0.3108949847405173</v>
      </c>
    </row>
    <row r="17" spans="1:6" ht="20.25" customHeight="1" x14ac:dyDescent="0.3">
      <c r="A17" s="256">
        <v>4</v>
      </c>
      <c r="B17" s="257" t="s">
        <v>444</v>
      </c>
      <c r="C17" s="258">
        <v>275715</v>
      </c>
      <c r="D17" s="258">
        <v>269112</v>
      </c>
      <c r="E17" s="258">
        <f t="shared" si="0"/>
        <v>-6603</v>
      </c>
      <c r="F17" s="259">
        <f t="shared" si="1"/>
        <v>-2.3948642620096838E-2</v>
      </c>
    </row>
    <row r="18" spans="1:6" ht="20.25" customHeight="1" x14ac:dyDescent="0.3">
      <c r="A18" s="256">
        <v>5</v>
      </c>
      <c r="B18" s="257" t="s">
        <v>381</v>
      </c>
      <c r="C18" s="260">
        <v>19</v>
      </c>
      <c r="D18" s="260">
        <v>29</v>
      </c>
      <c r="E18" s="260">
        <f t="shared" si="0"/>
        <v>10</v>
      </c>
      <c r="F18" s="259">
        <f t="shared" si="1"/>
        <v>0.52631578947368418</v>
      </c>
    </row>
    <row r="19" spans="1:6" ht="20.25" customHeight="1" x14ac:dyDescent="0.3">
      <c r="A19" s="256">
        <v>6</v>
      </c>
      <c r="B19" s="257" t="s">
        <v>380</v>
      </c>
      <c r="C19" s="260">
        <v>111</v>
      </c>
      <c r="D19" s="260">
        <v>161</v>
      </c>
      <c r="E19" s="260">
        <f t="shared" si="0"/>
        <v>50</v>
      </c>
      <c r="F19" s="259">
        <f t="shared" si="1"/>
        <v>0.45045045045045046</v>
      </c>
    </row>
    <row r="20" spans="1:6" ht="20.25" customHeight="1" x14ac:dyDescent="0.3">
      <c r="A20" s="256">
        <v>7</v>
      </c>
      <c r="B20" s="257" t="s">
        <v>445</v>
      </c>
      <c r="C20" s="260">
        <v>664</v>
      </c>
      <c r="D20" s="260">
        <v>772</v>
      </c>
      <c r="E20" s="260">
        <f t="shared" si="0"/>
        <v>108</v>
      </c>
      <c r="F20" s="259">
        <f t="shared" si="1"/>
        <v>0.16265060240963855</v>
      </c>
    </row>
    <row r="21" spans="1:6" ht="20.25" customHeight="1" x14ac:dyDescent="0.3">
      <c r="A21" s="256">
        <v>8</v>
      </c>
      <c r="B21" s="257" t="s">
        <v>446</v>
      </c>
      <c r="C21" s="260">
        <v>53</v>
      </c>
      <c r="D21" s="260">
        <v>81</v>
      </c>
      <c r="E21" s="260">
        <f t="shared" si="0"/>
        <v>28</v>
      </c>
      <c r="F21" s="259">
        <f t="shared" si="1"/>
        <v>0.52830188679245282</v>
      </c>
    </row>
    <row r="22" spans="1:6" ht="20.25" customHeight="1" x14ac:dyDescent="0.3">
      <c r="A22" s="256">
        <v>9</v>
      </c>
      <c r="B22" s="257" t="s">
        <v>447</v>
      </c>
      <c r="C22" s="260">
        <v>17</v>
      </c>
      <c r="D22" s="260">
        <v>24</v>
      </c>
      <c r="E22" s="260">
        <f t="shared" si="0"/>
        <v>7</v>
      </c>
      <c r="F22" s="259">
        <f t="shared" si="1"/>
        <v>0.41176470588235292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1815899</v>
      </c>
      <c r="D23" s="263">
        <f>+D14+D16</f>
        <v>2428917</v>
      </c>
      <c r="E23" s="263">
        <f t="shared" si="0"/>
        <v>613018</v>
      </c>
      <c r="F23" s="264">
        <f t="shared" si="1"/>
        <v>0.33758375328143247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419204</v>
      </c>
      <c r="D24" s="263">
        <f>+D15+D17</f>
        <v>489088</v>
      </c>
      <c r="E24" s="263">
        <f t="shared" si="0"/>
        <v>69884</v>
      </c>
      <c r="F24" s="264">
        <f t="shared" si="1"/>
        <v>0.16670642455701759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2999</v>
      </c>
      <c r="E29" s="258">
        <f t="shared" si="2"/>
        <v>2999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302</v>
      </c>
      <c r="E30" s="258">
        <f t="shared" si="2"/>
        <v>302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4</v>
      </c>
      <c r="E33" s="260">
        <f t="shared" si="2"/>
        <v>4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2999</v>
      </c>
      <c r="E36" s="263">
        <f t="shared" si="2"/>
        <v>2999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302</v>
      </c>
      <c r="E37" s="263">
        <f t="shared" si="2"/>
        <v>302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10570966</v>
      </c>
      <c r="D40" s="258">
        <v>10655866</v>
      </c>
      <c r="E40" s="258">
        <f t="shared" ref="E40:E50" si="4">D40-C40</f>
        <v>84900</v>
      </c>
      <c r="F40" s="259">
        <f t="shared" ref="F40:F50" si="5">IF(C40=0,0,E40/C40)</f>
        <v>8.0314325105198519E-3</v>
      </c>
    </row>
    <row r="41" spans="1:6" ht="20.25" customHeight="1" x14ac:dyDescent="0.3">
      <c r="A41" s="256">
        <v>2</v>
      </c>
      <c r="B41" s="257" t="s">
        <v>442</v>
      </c>
      <c r="C41" s="258">
        <v>3085329</v>
      </c>
      <c r="D41" s="258">
        <v>3048860</v>
      </c>
      <c r="E41" s="258">
        <f t="shared" si="4"/>
        <v>-36469</v>
      </c>
      <c r="F41" s="259">
        <f t="shared" si="5"/>
        <v>-1.1820133282382527E-2</v>
      </c>
    </row>
    <row r="42" spans="1:6" ht="20.25" customHeight="1" x14ac:dyDescent="0.3">
      <c r="A42" s="256">
        <v>3</v>
      </c>
      <c r="B42" s="257" t="s">
        <v>443</v>
      </c>
      <c r="C42" s="258">
        <v>16947962</v>
      </c>
      <c r="D42" s="258">
        <v>18135690</v>
      </c>
      <c r="E42" s="258">
        <f t="shared" si="4"/>
        <v>1187728</v>
      </c>
      <c r="F42" s="259">
        <f t="shared" si="5"/>
        <v>7.0080874620795111E-2</v>
      </c>
    </row>
    <row r="43" spans="1:6" ht="20.25" customHeight="1" x14ac:dyDescent="0.3">
      <c r="A43" s="256">
        <v>4</v>
      </c>
      <c r="B43" s="257" t="s">
        <v>444</v>
      </c>
      <c r="C43" s="258">
        <v>3374001</v>
      </c>
      <c r="D43" s="258">
        <v>3603998</v>
      </c>
      <c r="E43" s="258">
        <f t="shared" si="4"/>
        <v>229997</v>
      </c>
      <c r="F43" s="259">
        <f t="shared" si="5"/>
        <v>6.8167436820558147E-2</v>
      </c>
    </row>
    <row r="44" spans="1:6" ht="20.25" customHeight="1" x14ac:dyDescent="0.3">
      <c r="A44" s="256">
        <v>5</v>
      </c>
      <c r="B44" s="257" t="s">
        <v>381</v>
      </c>
      <c r="C44" s="260">
        <v>333</v>
      </c>
      <c r="D44" s="260">
        <v>303</v>
      </c>
      <c r="E44" s="260">
        <f t="shared" si="4"/>
        <v>-30</v>
      </c>
      <c r="F44" s="259">
        <f t="shared" si="5"/>
        <v>-9.0090090090090086E-2</v>
      </c>
    </row>
    <row r="45" spans="1:6" ht="20.25" customHeight="1" x14ac:dyDescent="0.3">
      <c r="A45" s="256">
        <v>6</v>
      </c>
      <c r="B45" s="257" t="s">
        <v>380</v>
      </c>
      <c r="C45" s="260">
        <v>1792</v>
      </c>
      <c r="D45" s="260">
        <v>1475</v>
      </c>
      <c r="E45" s="260">
        <f t="shared" si="4"/>
        <v>-317</v>
      </c>
      <c r="F45" s="259">
        <f t="shared" si="5"/>
        <v>-0.17689732142857142</v>
      </c>
    </row>
    <row r="46" spans="1:6" ht="20.25" customHeight="1" x14ac:dyDescent="0.3">
      <c r="A46" s="256">
        <v>7</v>
      </c>
      <c r="B46" s="257" t="s">
        <v>445</v>
      </c>
      <c r="C46" s="260">
        <v>12674</v>
      </c>
      <c r="D46" s="260">
        <v>13265</v>
      </c>
      <c r="E46" s="260">
        <f t="shared" si="4"/>
        <v>591</v>
      </c>
      <c r="F46" s="259">
        <f t="shared" si="5"/>
        <v>4.6630897901215086E-2</v>
      </c>
    </row>
    <row r="47" spans="1:6" ht="20.25" customHeight="1" x14ac:dyDescent="0.3">
      <c r="A47" s="256">
        <v>8</v>
      </c>
      <c r="B47" s="257" t="s">
        <v>446</v>
      </c>
      <c r="C47" s="260">
        <v>689</v>
      </c>
      <c r="D47" s="260">
        <v>661</v>
      </c>
      <c r="E47" s="260">
        <f t="shared" si="4"/>
        <v>-28</v>
      </c>
      <c r="F47" s="259">
        <f t="shared" si="5"/>
        <v>-4.0638606676342524E-2</v>
      </c>
    </row>
    <row r="48" spans="1:6" ht="20.25" customHeight="1" x14ac:dyDescent="0.3">
      <c r="A48" s="256">
        <v>9</v>
      </c>
      <c r="B48" s="257" t="s">
        <v>447</v>
      </c>
      <c r="C48" s="260">
        <v>282</v>
      </c>
      <c r="D48" s="260">
        <v>245</v>
      </c>
      <c r="E48" s="260">
        <f t="shared" si="4"/>
        <v>-37</v>
      </c>
      <c r="F48" s="259">
        <f t="shared" si="5"/>
        <v>-0.13120567375886524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27518928</v>
      </c>
      <c r="D49" s="263">
        <f>+D40+D42</f>
        <v>28791556</v>
      </c>
      <c r="E49" s="263">
        <f t="shared" si="4"/>
        <v>1272628</v>
      </c>
      <c r="F49" s="264">
        <f t="shared" si="5"/>
        <v>4.6245551425549716E-2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6459330</v>
      </c>
      <c r="D50" s="263">
        <f>+D41+D43</f>
        <v>6652858</v>
      </c>
      <c r="E50" s="263">
        <f t="shared" si="4"/>
        <v>193528</v>
      </c>
      <c r="F50" s="264">
        <f t="shared" si="5"/>
        <v>2.9961002147281528E-2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324766</v>
      </c>
      <c r="D66" s="258">
        <v>341627</v>
      </c>
      <c r="E66" s="258">
        <f t="shared" ref="E66:E76" si="8">D66-C66</f>
        <v>16861</v>
      </c>
      <c r="F66" s="259">
        <f t="shared" ref="F66:F76" si="9">IF(C66=0,0,E66/C66)</f>
        <v>5.191738051397006E-2</v>
      </c>
    </row>
    <row r="67" spans="1:6" ht="20.25" customHeight="1" x14ac:dyDescent="0.3">
      <c r="A67" s="256">
        <v>2</v>
      </c>
      <c r="B67" s="257" t="s">
        <v>442</v>
      </c>
      <c r="C67" s="258">
        <v>77097</v>
      </c>
      <c r="D67" s="258">
        <v>122781</v>
      </c>
      <c r="E67" s="258">
        <f t="shared" si="8"/>
        <v>45684</v>
      </c>
      <c r="F67" s="259">
        <f t="shared" si="9"/>
        <v>0.59255223938674662</v>
      </c>
    </row>
    <row r="68" spans="1:6" ht="20.25" customHeight="1" x14ac:dyDescent="0.3">
      <c r="A68" s="256">
        <v>3</v>
      </c>
      <c r="B68" s="257" t="s">
        <v>443</v>
      </c>
      <c r="C68" s="258">
        <v>192811</v>
      </c>
      <c r="D68" s="258">
        <v>222187</v>
      </c>
      <c r="E68" s="258">
        <f t="shared" si="8"/>
        <v>29376</v>
      </c>
      <c r="F68" s="259">
        <f t="shared" si="9"/>
        <v>0.15235645269201445</v>
      </c>
    </row>
    <row r="69" spans="1:6" ht="20.25" customHeight="1" x14ac:dyDescent="0.3">
      <c r="A69" s="256">
        <v>4</v>
      </c>
      <c r="B69" s="257" t="s">
        <v>444</v>
      </c>
      <c r="C69" s="258">
        <v>24004</v>
      </c>
      <c r="D69" s="258">
        <v>28812</v>
      </c>
      <c r="E69" s="258">
        <f t="shared" si="8"/>
        <v>4808</v>
      </c>
      <c r="F69" s="259">
        <f t="shared" si="9"/>
        <v>0.20029995000833195</v>
      </c>
    </row>
    <row r="70" spans="1:6" ht="20.25" customHeight="1" x14ac:dyDescent="0.3">
      <c r="A70" s="256">
        <v>5</v>
      </c>
      <c r="B70" s="257" t="s">
        <v>381</v>
      </c>
      <c r="C70" s="260">
        <v>6</v>
      </c>
      <c r="D70" s="260">
        <v>8</v>
      </c>
      <c r="E70" s="260">
        <f t="shared" si="8"/>
        <v>2</v>
      </c>
      <c r="F70" s="259">
        <f t="shared" si="9"/>
        <v>0.33333333333333331</v>
      </c>
    </row>
    <row r="71" spans="1:6" ht="20.25" customHeight="1" x14ac:dyDescent="0.3">
      <c r="A71" s="256">
        <v>6</v>
      </c>
      <c r="B71" s="257" t="s">
        <v>380</v>
      </c>
      <c r="C71" s="260">
        <v>43</v>
      </c>
      <c r="D71" s="260">
        <v>66</v>
      </c>
      <c r="E71" s="260">
        <f t="shared" si="8"/>
        <v>23</v>
      </c>
      <c r="F71" s="259">
        <f t="shared" si="9"/>
        <v>0.53488372093023251</v>
      </c>
    </row>
    <row r="72" spans="1:6" ht="20.25" customHeight="1" x14ac:dyDescent="0.3">
      <c r="A72" s="256">
        <v>7</v>
      </c>
      <c r="B72" s="257" t="s">
        <v>445</v>
      </c>
      <c r="C72" s="260">
        <v>64</v>
      </c>
      <c r="D72" s="260">
        <v>47</v>
      </c>
      <c r="E72" s="260">
        <f t="shared" si="8"/>
        <v>-17</v>
      </c>
      <c r="F72" s="259">
        <f t="shared" si="9"/>
        <v>-0.265625</v>
      </c>
    </row>
    <row r="73" spans="1:6" ht="20.25" customHeight="1" x14ac:dyDescent="0.3">
      <c r="A73" s="256">
        <v>8</v>
      </c>
      <c r="B73" s="257" t="s">
        <v>446</v>
      </c>
      <c r="C73" s="260">
        <v>26</v>
      </c>
      <c r="D73" s="260">
        <v>42</v>
      </c>
      <c r="E73" s="260">
        <f t="shared" si="8"/>
        <v>16</v>
      </c>
      <c r="F73" s="259">
        <f t="shared" si="9"/>
        <v>0.61538461538461542</v>
      </c>
    </row>
    <row r="74" spans="1:6" ht="20.25" customHeight="1" x14ac:dyDescent="0.3">
      <c r="A74" s="256">
        <v>9</v>
      </c>
      <c r="B74" s="257" t="s">
        <v>447</v>
      </c>
      <c r="C74" s="260">
        <v>7</v>
      </c>
      <c r="D74" s="260">
        <v>7</v>
      </c>
      <c r="E74" s="260">
        <f t="shared" si="8"/>
        <v>0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517577</v>
      </c>
      <c r="D75" s="263">
        <f>+D66+D68</f>
        <v>563814</v>
      </c>
      <c r="E75" s="263">
        <f t="shared" si="8"/>
        <v>46237</v>
      </c>
      <c r="F75" s="264">
        <f t="shared" si="9"/>
        <v>8.9333567759000115E-2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101101</v>
      </c>
      <c r="D76" s="263">
        <f>+D67+D69</f>
        <v>151593</v>
      </c>
      <c r="E76" s="263">
        <f t="shared" si="8"/>
        <v>50492</v>
      </c>
      <c r="F76" s="264">
        <f t="shared" si="9"/>
        <v>0.4994213707084994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8437412</v>
      </c>
      <c r="D92" s="258">
        <v>8531593</v>
      </c>
      <c r="E92" s="258">
        <f t="shared" ref="E92:E102" si="12">D92-C92</f>
        <v>94181</v>
      </c>
      <c r="F92" s="259">
        <f t="shared" ref="F92:F102" si="13">IF(C92=0,0,E92/C92)</f>
        <v>1.1162309011341392E-2</v>
      </c>
    </row>
    <row r="93" spans="1:6" ht="20.25" customHeight="1" x14ac:dyDescent="0.3">
      <c r="A93" s="256">
        <v>2</v>
      </c>
      <c r="B93" s="257" t="s">
        <v>442</v>
      </c>
      <c r="C93" s="258">
        <v>2285113</v>
      </c>
      <c r="D93" s="258">
        <v>2087981</v>
      </c>
      <c r="E93" s="258">
        <f t="shared" si="12"/>
        <v>-197132</v>
      </c>
      <c r="F93" s="259">
        <f t="shared" si="13"/>
        <v>-8.6267943860981924E-2</v>
      </c>
    </row>
    <row r="94" spans="1:6" ht="20.25" customHeight="1" x14ac:dyDescent="0.3">
      <c r="A94" s="256">
        <v>3</v>
      </c>
      <c r="B94" s="257" t="s">
        <v>443</v>
      </c>
      <c r="C94" s="258">
        <v>8684304</v>
      </c>
      <c r="D94" s="258">
        <v>9863230</v>
      </c>
      <c r="E94" s="258">
        <f t="shared" si="12"/>
        <v>1178926</v>
      </c>
      <c r="F94" s="259">
        <f t="shared" si="13"/>
        <v>0.13575365394854902</v>
      </c>
    </row>
    <row r="95" spans="1:6" ht="20.25" customHeight="1" x14ac:dyDescent="0.3">
      <c r="A95" s="256">
        <v>4</v>
      </c>
      <c r="B95" s="257" t="s">
        <v>444</v>
      </c>
      <c r="C95" s="258">
        <v>1689002</v>
      </c>
      <c r="D95" s="258">
        <v>1742836</v>
      </c>
      <c r="E95" s="258">
        <f t="shared" si="12"/>
        <v>53834</v>
      </c>
      <c r="F95" s="259">
        <f t="shared" si="13"/>
        <v>3.1873260067187603E-2</v>
      </c>
    </row>
    <row r="96" spans="1:6" ht="20.25" customHeight="1" x14ac:dyDescent="0.3">
      <c r="A96" s="256">
        <v>5</v>
      </c>
      <c r="B96" s="257" t="s">
        <v>381</v>
      </c>
      <c r="C96" s="260">
        <v>247</v>
      </c>
      <c r="D96" s="260">
        <v>223</v>
      </c>
      <c r="E96" s="260">
        <f t="shared" si="12"/>
        <v>-24</v>
      </c>
      <c r="F96" s="259">
        <f t="shared" si="13"/>
        <v>-9.7165991902834009E-2</v>
      </c>
    </row>
    <row r="97" spans="1:6" ht="20.25" customHeight="1" x14ac:dyDescent="0.3">
      <c r="A97" s="256">
        <v>6</v>
      </c>
      <c r="B97" s="257" t="s">
        <v>380</v>
      </c>
      <c r="C97" s="260">
        <v>1342</v>
      </c>
      <c r="D97" s="260">
        <v>1344</v>
      </c>
      <c r="E97" s="260">
        <f t="shared" si="12"/>
        <v>2</v>
      </c>
      <c r="F97" s="259">
        <f t="shared" si="13"/>
        <v>1.4903129657228018E-3</v>
      </c>
    </row>
    <row r="98" spans="1:6" ht="20.25" customHeight="1" x14ac:dyDescent="0.3">
      <c r="A98" s="256">
        <v>7</v>
      </c>
      <c r="B98" s="257" t="s">
        <v>445</v>
      </c>
      <c r="C98" s="260">
        <v>5981</v>
      </c>
      <c r="D98" s="260">
        <v>6078</v>
      </c>
      <c r="E98" s="260">
        <f t="shared" si="12"/>
        <v>97</v>
      </c>
      <c r="F98" s="259">
        <f t="shared" si="13"/>
        <v>1.6218023741849188E-2</v>
      </c>
    </row>
    <row r="99" spans="1:6" ht="20.25" customHeight="1" x14ac:dyDescent="0.3">
      <c r="A99" s="256">
        <v>8</v>
      </c>
      <c r="B99" s="257" t="s">
        <v>446</v>
      </c>
      <c r="C99" s="260">
        <v>508</v>
      </c>
      <c r="D99" s="260">
        <v>575</v>
      </c>
      <c r="E99" s="260">
        <f t="shared" si="12"/>
        <v>67</v>
      </c>
      <c r="F99" s="259">
        <f t="shared" si="13"/>
        <v>0.13188976377952755</v>
      </c>
    </row>
    <row r="100" spans="1:6" ht="20.25" customHeight="1" x14ac:dyDescent="0.3">
      <c r="A100" s="256">
        <v>9</v>
      </c>
      <c r="B100" s="257" t="s">
        <v>447</v>
      </c>
      <c r="C100" s="260">
        <v>223</v>
      </c>
      <c r="D100" s="260">
        <v>180</v>
      </c>
      <c r="E100" s="260">
        <f t="shared" si="12"/>
        <v>-43</v>
      </c>
      <c r="F100" s="259">
        <f t="shared" si="13"/>
        <v>-0.19282511210762332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17121716</v>
      </c>
      <c r="D101" s="263">
        <f>+D92+D94</f>
        <v>18394823</v>
      </c>
      <c r="E101" s="263">
        <f t="shared" si="12"/>
        <v>1273107</v>
      </c>
      <c r="F101" s="264">
        <f t="shared" si="13"/>
        <v>7.4356273635189374E-2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3974115</v>
      </c>
      <c r="D102" s="263">
        <f>+D93+D95</f>
        <v>3830817</v>
      </c>
      <c r="E102" s="263">
        <f t="shared" si="12"/>
        <v>-143298</v>
      </c>
      <c r="F102" s="264">
        <f t="shared" si="13"/>
        <v>-3.605783929252173E-2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2324790</v>
      </c>
      <c r="D105" s="258">
        <v>2622958</v>
      </c>
      <c r="E105" s="258">
        <f t="shared" ref="E105:E115" si="14">D105-C105</f>
        <v>298168</v>
      </c>
      <c r="F105" s="259">
        <f t="shared" ref="F105:F115" si="15">IF(C105=0,0,E105/C105)</f>
        <v>0.1282558854778281</v>
      </c>
    </row>
    <row r="106" spans="1:6" ht="20.25" customHeight="1" x14ac:dyDescent="0.3">
      <c r="A106" s="256">
        <v>2</v>
      </c>
      <c r="B106" s="257" t="s">
        <v>442</v>
      </c>
      <c r="C106" s="258">
        <v>660677</v>
      </c>
      <c r="D106" s="258">
        <v>735613</v>
      </c>
      <c r="E106" s="258">
        <f t="shared" si="14"/>
        <v>74936</v>
      </c>
      <c r="F106" s="259">
        <f t="shared" si="15"/>
        <v>0.11342304938721948</v>
      </c>
    </row>
    <row r="107" spans="1:6" ht="20.25" customHeight="1" x14ac:dyDescent="0.3">
      <c r="A107" s="256">
        <v>3</v>
      </c>
      <c r="B107" s="257" t="s">
        <v>443</v>
      </c>
      <c r="C107" s="258">
        <v>3418472</v>
      </c>
      <c r="D107" s="258">
        <v>4345750</v>
      </c>
      <c r="E107" s="258">
        <f t="shared" si="14"/>
        <v>927278</v>
      </c>
      <c r="F107" s="259">
        <f t="shared" si="15"/>
        <v>0.27125511047040901</v>
      </c>
    </row>
    <row r="108" spans="1:6" ht="20.25" customHeight="1" x14ac:dyDescent="0.3">
      <c r="A108" s="256">
        <v>4</v>
      </c>
      <c r="B108" s="257" t="s">
        <v>444</v>
      </c>
      <c r="C108" s="258">
        <v>570955</v>
      </c>
      <c r="D108" s="258">
        <v>795987</v>
      </c>
      <c r="E108" s="258">
        <f t="shared" si="14"/>
        <v>225032</v>
      </c>
      <c r="F108" s="259">
        <f t="shared" si="15"/>
        <v>0.39413263742326454</v>
      </c>
    </row>
    <row r="109" spans="1:6" ht="20.25" customHeight="1" x14ac:dyDescent="0.3">
      <c r="A109" s="256">
        <v>5</v>
      </c>
      <c r="B109" s="257" t="s">
        <v>381</v>
      </c>
      <c r="C109" s="260">
        <v>70</v>
      </c>
      <c r="D109" s="260">
        <v>94</v>
      </c>
      <c r="E109" s="260">
        <f t="shared" si="14"/>
        <v>24</v>
      </c>
      <c r="F109" s="259">
        <f t="shared" si="15"/>
        <v>0.34285714285714286</v>
      </c>
    </row>
    <row r="110" spans="1:6" ht="20.25" customHeight="1" x14ac:dyDescent="0.3">
      <c r="A110" s="256">
        <v>6</v>
      </c>
      <c r="B110" s="257" t="s">
        <v>380</v>
      </c>
      <c r="C110" s="260">
        <v>429</v>
      </c>
      <c r="D110" s="260">
        <v>451</v>
      </c>
      <c r="E110" s="260">
        <f t="shared" si="14"/>
        <v>22</v>
      </c>
      <c r="F110" s="259">
        <f t="shared" si="15"/>
        <v>5.128205128205128E-2</v>
      </c>
    </row>
    <row r="111" spans="1:6" ht="20.25" customHeight="1" x14ac:dyDescent="0.3">
      <c r="A111" s="256">
        <v>7</v>
      </c>
      <c r="B111" s="257" t="s">
        <v>445</v>
      </c>
      <c r="C111" s="260">
        <v>2022</v>
      </c>
      <c r="D111" s="260">
        <v>2371</v>
      </c>
      <c r="E111" s="260">
        <f t="shared" si="14"/>
        <v>349</v>
      </c>
      <c r="F111" s="259">
        <f t="shared" si="15"/>
        <v>0.17260138476755688</v>
      </c>
    </row>
    <row r="112" spans="1:6" ht="20.25" customHeight="1" x14ac:dyDescent="0.3">
      <c r="A112" s="256">
        <v>8</v>
      </c>
      <c r="B112" s="257" t="s">
        <v>446</v>
      </c>
      <c r="C112" s="260">
        <v>282</v>
      </c>
      <c r="D112" s="260">
        <v>303</v>
      </c>
      <c r="E112" s="260">
        <f t="shared" si="14"/>
        <v>21</v>
      </c>
      <c r="F112" s="259">
        <f t="shared" si="15"/>
        <v>7.4468085106382975E-2</v>
      </c>
    </row>
    <row r="113" spans="1:6" ht="20.25" customHeight="1" x14ac:dyDescent="0.3">
      <c r="A113" s="256">
        <v>9</v>
      </c>
      <c r="B113" s="257" t="s">
        <v>447</v>
      </c>
      <c r="C113" s="260">
        <v>61</v>
      </c>
      <c r="D113" s="260">
        <v>81</v>
      </c>
      <c r="E113" s="260">
        <f t="shared" si="14"/>
        <v>20</v>
      </c>
      <c r="F113" s="259">
        <f t="shared" si="15"/>
        <v>0.32786885245901637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5743262</v>
      </c>
      <c r="D114" s="263">
        <f>+D105+D107</f>
        <v>6968708</v>
      </c>
      <c r="E114" s="263">
        <f t="shared" si="14"/>
        <v>1225446</v>
      </c>
      <c r="F114" s="264">
        <f t="shared" si="15"/>
        <v>0.21337107727281115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1231632</v>
      </c>
      <c r="D115" s="263">
        <f>+D106+D108</f>
        <v>1531600</v>
      </c>
      <c r="E115" s="263">
        <f t="shared" si="14"/>
        <v>299968</v>
      </c>
      <c r="F115" s="264">
        <f t="shared" si="15"/>
        <v>0.24355326915832001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4954845</v>
      </c>
      <c r="D118" s="258">
        <v>3915112</v>
      </c>
      <c r="E118" s="258">
        <f t="shared" ref="E118:E128" si="16">D118-C118</f>
        <v>-1039733</v>
      </c>
      <c r="F118" s="259">
        <f t="shared" ref="F118:F128" si="17">IF(C118=0,0,E118/C118)</f>
        <v>-0.20984168021401275</v>
      </c>
    </row>
    <row r="119" spans="1:6" ht="20.25" customHeight="1" x14ac:dyDescent="0.3">
      <c r="A119" s="256">
        <v>2</v>
      </c>
      <c r="B119" s="257" t="s">
        <v>442</v>
      </c>
      <c r="C119" s="258">
        <v>1328545</v>
      </c>
      <c r="D119" s="258">
        <v>1002685</v>
      </c>
      <c r="E119" s="258">
        <f t="shared" si="16"/>
        <v>-325860</v>
      </c>
      <c r="F119" s="259">
        <f t="shared" si="17"/>
        <v>-0.24527584688512621</v>
      </c>
    </row>
    <row r="120" spans="1:6" ht="20.25" customHeight="1" x14ac:dyDescent="0.3">
      <c r="A120" s="256">
        <v>3</v>
      </c>
      <c r="B120" s="257" t="s">
        <v>443</v>
      </c>
      <c r="C120" s="258">
        <v>4653150</v>
      </c>
      <c r="D120" s="258">
        <v>6834471</v>
      </c>
      <c r="E120" s="258">
        <f t="shared" si="16"/>
        <v>2181321</v>
      </c>
      <c r="F120" s="259">
        <f t="shared" si="17"/>
        <v>0.46878372715257405</v>
      </c>
    </row>
    <row r="121" spans="1:6" ht="20.25" customHeight="1" x14ac:dyDescent="0.3">
      <c r="A121" s="256">
        <v>4</v>
      </c>
      <c r="B121" s="257" t="s">
        <v>444</v>
      </c>
      <c r="C121" s="258">
        <v>900178</v>
      </c>
      <c r="D121" s="258">
        <v>1316971</v>
      </c>
      <c r="E121" s="258">
        <f t="shared" si="16"/>
        <v>416793</v>
      </c>
      <c r="F121" s="259">
        <f t="shared" si="17"/>
        <v>0.46301175989637605</v>
      </c>
    </row>
    <row r="122" spans="1:6" ht="20.25" customHeight="1" x14ac:dyDescent="0.3">
      <c r="A122" s="256">
        <v>5</v>
      </c>
      <c r="B122" s="257" t="s">
        <v>381</v>
      </c>
      <c r="C122" s="260">
        <v>121</v>
      </c>
      <c r="D122" s="260">
        <v>117</v>
      </c>
      <c r="E122" s="260">
        <f t="shared" si="16"/>
        <v>-4</v>
      </c>
      <c r="F122" s="259">
        <f t="shared" si="17"/>
        <v>-3.3057851239669422E-2</v>
      </c>
    </row>
    <row r="123" spans="1:6" ht="20.25" customHeight="1" x14ac:dyDescent="0.3">
      <c r="A123" s="256">
        <v>6</v>
      </c>
      <c r="B123" s="257" t="s">
        <v>380</v>
      </c>
      <c r="C123" s="260">
        <v>755</v>
      </c>
      <c r="D123" s="260">
        <v>605</v>
      </c>
      <c r="E123" s="260">
        <f t="shared" si="16"/>
        <v>-150</v>
      </c>
      <c r="F123" s="259">
        <f t="shared" si="17"/>
        <v>-0.19867549668874171</v>
      </c>
    </row>
    <row r="124" spans="1:6" ht="20.25" customHeight="1" x14ac:dyDescent="0.3">
      <c r="A124" s="256">
        <v>7</v>
      </c>
      <c r="B124" s="257" t="s">
        <v>445</v>
      </c>
      <c r="C124" s="260">
        <v>3114</v>
      </c>
      <c r="D124" s="260">
        <v>4266</v>
      </c>
      <c r="E124" s="260">
        <f t="shared" si="16"/>
        <v>1152</v>
      </c>
      <c r="F124" s="259">
        <f t="shared" si="17"/>
        <v>0.36994219653179189</v>
      </c>
    </row>
    <row r="125" spans="1:6" ht="20.25" customHeight="1" x14ac:dyDescent="0.3">
      <c r="A125" s="256">
        <v>8</v>
      </c>
      <c r="B125" s="257" t="s">
        <v>446</v>
      </c>
      <c r="C125" s="260">
        <v>229</v>
      </c>
      <c r="D125" s="260">
        <v>312</v>
      </c>
      <c r="E125" s="260">
        <f t="shared" si="16"/>
        <v>83</v>
      </c>
      <c r="F125" s="259">
        <f t="shared" si="17"/>
        <v>0.36244541484716158</v>
      </c>
    </row>
    <row r="126" spans="1:6" ht="20.25" customHeight="1" x14ac:dyDescent="0.3">
      <c r="A126" s="256">
        <v>9</v>
      </c>
      <c r="B126" s="257" t="s">
        <v>447</v>
      </c>
      <c r="C126" s="260">
        <v>109</v>
      </c>
      <c r="D126" s="260">
        <v>101</v>
      </c>
      <c r="E126" s="260">
        <f t="shared" si="16"/>
        <v>-8</v>
      </c>
      <c r="F126" s="259">
        <f t="shared" si="17"/>
        <v>-7.3394495412844041E-2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9607995</v>
      </c>
      <c r="D127" s="263">
        <f>+D118+D120</f>
        <v>10749583</v>
      </c>
      <c r="E127" s="263">
        <f t="shared" si="16"/>
        <v>1141588</v>
      </c>
      <c r="F127" s="264">
        <f t="shared" si="17"/>
        <v>0.1188164648295508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2228723</v>
      </c>
      <c r="D128" s="263">
        <f>+D119+D121</f>
        <v>2319656</v>
      </c>
      <c r="E128" s="263">
        <f t="shared" si="16"/>
        <v>90933</v>
      </c>
      <c r="F128" s="264">
        <f t="shared" si="17"/>
        <v>4.0800494274075332E-2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77422</v>
      </c>
      <c r="D131" s="258">
        <v>164261</v>
      </c>
      <c r="E131" s="258">
        <f t="shared" ref="E131:E141" si="18">D131-C131</f>
        <v>86839</v>
      </c>
      <c r="F131" s="259">
        <f t="shared" ref="F131:F141" si="19">IF(C131=0,0,E131/C131)</f>
        <v>1.1216320942367803</v>
      </c>
    </row>
    <row r="132" spans="1:6" ht="20.25" customHeight="1" x14ac:dyDescent="0.3">
      <c r="A132" s="256">
        <v>2</v>
      </c>
      <c r="B132" s="257" t="s">
        <v>442</v>
      </c>
      <c r="C132" s="258">
        <v>23128</v>
      </c>
      <c r="D132" s="258">
        <v>37757</v>
      </c>
      <c r="E132" s="258">
        <f t="shared" si="18"/>
        <v>14629</v>
      </c>
      <c r="F132" s="259">
        <f t="shared" si="19"/>
        <v>0.63252334832237977</v>
      </c>
    </row>
    <row r="133" spans="1:6" ht="20.25" customHeight="1" x14ac:dyDescent="0.3">
      <c r="A133" s="256">
        <v>3</v>
      </c>
      <c r="B133" s="257" t="s">
        <v>443</v>
      </c>
      <c r="C133" s="258">
        <v>141925</v>
      </c>
      <c r="D133" s="258">
        <v>189513</v>
      </c>
      <c r="E133" s="258">
        <f t="shared" si="18"/>
        <v>47588</v>
      </c>
      <c r="F133" s="259">
        <f t="shared" si="19"/>
        <v>0.33530385767130527</v>
      </c>
    </row>
    <row r="134" spans="1:6" ht="20.25" customHeight="1" x14ac:dyDescent="0.3">
      <c r="A134" s="256">
        <v>4</v>
      </c>
      <c r="B134" s="257" t="s">
        <v>444</v>
      </c>
      <c r="C134" s="258">
        <v>26539</v>
      </c>
      <c r="D134" s="258">
        <v>40060</v>
      </c>
      <c r="E134" s="258">
        <f t="shared" si="18"/>
        <v>13521</v>
      </c>
      <c r="F134" s="259">
        <f t="shared" si="19"/>
        <v>0.50947661931497046</v>
      </c>
    </row>
    <row r="135" spans="1:6" ht="20.25" customHeight="1" x14ac:dyDescent="0.3">
      <c r="A135" s="256">
        <v>5</v>
      </c>
      <c r="B135" s="257" t="s">
        <v>381</v>
      </c>
      <c r="C135" s="260">
        <v>4</v>
      </c>
      <c r="D135" s="260">
        <v>3</v>
      </c>
      <c r="E135" s="260">
        <f t="shared" si="18"/>
        <v>-1</v>
      </c>
      <c r="F135" s="259">
        <f t="shared" si="19"/>
        <v>-0.25</v>
      </c>
    </row>
    <row r="136" spans="1:6" ht="20.25" customHeight="1" x14ac:dyDescent="0.3">
      <c r="A136" s="256">
        <v>6</v>
      </c>
      <c r="B136" s="257" t="s">
        <v>380</v>
      </c>
      <c r="C136" s="260">
        <v>15</v>
      </c>
      <c r="D136" s="260">
        <v>28</v>
      </c>
      <c r="E136" s="260">
        <f t="shared" si="18"/>
        <v>13</v>
      </c>
      <c r="F136" s="259">
        <f t="shared" si="19"/>
        <v>0.8666666666666667</v>
      </c>
    </row>
    <row r="137" spans="1:6" ht="20.25" customHeight="1" x14ac:dyDescent="0.3">
      <c r="A137" s="256">
        <v>7</v>
      </c>
      <c r="B137" s="257" t="s">
        <v>445</v>
      </c>
      <c r="C137" s="260">
        <v>133</v>
      </c>
      <c r="D137" s="260">
        <v>78</v>
      </c>
      <c r="E137" s="260">
        <f t="shared" si="18"/>
        <v>-55</v>
      </c>
      <c r="F137" s="259">
        <f t="shared" si="19"/>
        <v>-0.41353383458646614</v>
      </c>
    </row>
    <row r="138" spans="1:6" ht="20.25" customHeight="1" x14ac:dyDescent="0.3">
      <c r="A138" s="256">
        <v>8</v>
      </c>
      <c r="B138" s="257" t="s">
        <v>446</v>
      </c>
      <c r="C138" s="260">
        <v>8</v>
      </c>
      <c r="D138" s="260">
        <v>17</v>
      </c>
      <c r="E138" s="260">
        <f t="shared" si="18"/>
        <v>9</v>
      </c>
      <c r="F138" s="259">
        <f t="shared" si="19"/>
        <v>1.125</v>
      </c>
    </row>
    <row r="139" spans="1:6" ht="20.25" customHeight="1" x14ac:dyDescent="0.3">
      <c r="A139" s="256">
        <v>9</v>
      </c>
      <c r="B139" s="257" t="s">
        <v>447</v>
      </c>
      <c r="C139" s="260">
        <v>5</v>
      </c>
      <c r="D139" s="260">
        <v>3</v>
      </c>
      <c r="E139" s="260">
        <f t="shared" si="18"/>
        <v>-2</v>
      </c>
      <c r="F139" s="259">
        <f t="shared" si="19"/>
        <v>-0.4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219347</v>
      </c>
      <c r="D140" s="263">
        <f>+D131+D133</f>
        <v>353774</v>
      </c>
      <c r="E140" s="263">
        <f t="shared" si="18"/>
        <v>134427</v>
      </c>
      <c r="F140" s="264">
        <f t="shared" si="19"/>
        <v>0.61285087099436053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49667</v>
      </c>
      <c r="D141" s="263">
        <f>+D132+D134</f>
        <v>77817</v>
      </c>
      <c r="E141" s="263">
        <f t="shared" si="18"/>
        <v>28150</v>
      </c>
      <c r="F141" s="264">
        <f t="shared" si="19"/>
        <v>0.56677471963275416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27386796</v>
      </c>
      <c r="D198" s="263">
        <f t="shared" si="28"/>
        <v>27193044</v>
      </c>
      <c r="E198" s="263">
        <f t="shared" ref="E198:E208" si="29">D198-C198</f>
        <v>-193752</v>
      </c>
      <c r="F198" s="273">
        <f t="shared" ref="F198:F208" si="30">IF(C198=0,0,E198/C198)</f>
        <v>-7.0746501343202034E-3</v>
      </c>
    </row>
    <row r="199" spans="1:9" ht="20.25" customHeight="1" x14ac:dyDescent="0.3">
      <c r="A199" s="271"/>
      <c r="B199" s="272" t="s">
        <v>466</v>
      </c>
      <c r="C199" s="263">
        <f t="shared" si="28"/>
        <v>7603378</v>
      </c>
      <c r="D199" s="263">
        <f t="shared" si="28"/>
        <v>7255653</v>
      </c>
      <c r="E199" s="263">
        <f t="shared" si="29"/>
        <v>-347725</v>
      </c>
      <c r="F199" s="273">
        <f t="shared" si="30"/>
        <v>-4.5732962375407353E-2</v>
      </c>
    </row>
    <row r="200" spans="1:9" ht="20.25" customHeight="1" x14ac:dyDescent="0.3">
      <c r="A200" s="271"/>
      <c r="B200" s="272" t="s">
        <v>467</v>
      </c>
      <c r="C200" s="263">
        <f t="shared" si="28"/>
        <v>35157928</v>
      </c>
      <c r="D200" s="263">
        <f t="shared" si="28"/>
        <v>41061130</v>
      </c>
      <c r="E200" s="263">
        <f t="shared" si="29"/>
        <v>5903202</v>
      </c>
      <c r="F200" s="273">
        <f t="shared" si="30"/>
        <v>0.16790528725128512</v>
      </c>
    </row>
    <row r="201" spans="1:9" ht="20.25" customHeight="1" x14ac:dyDescent="0.3">
      <c r="A201" s="271"/>
      <c r="B201" s="272" t="s">
        <v>468</v>
      </c>
      <c r="C201" s="263">
        <f t="shared" si="28"/>
        <v>6860394</v>
      </c>
      <c r="D201" s="263">
        <f t="shared" si="28"/>
        <v>7798078</v>
      </c>
      <c r="E201" s="263">
        <f t="shared" si="29"/>
        <v>937684</v>
      </c>
      <c r="F201" s="273">
        <f t="shared" si="30"/>
        <v>0.13668077955872504</v>
      </c>
    </row>
    <row r="202" spans="1:9" ht="20.25" customHeight="1" x14ac:dyDescent="0.3">
      <c r="A202" s="271"/>
      <c r="B202" s="272" t="s">
        <v>138</v>
      </c>
      <c r="C202" s="274">
        <f t="shared" si="28"/>
        <v>800</v>
      </c>
      <c r="D202" s="274">
        <f t="shared" si="28"/>
        <v>777</v>
      </c>
      <c r="E202" s="274">
        <f t="shared" si="29"/>
        <v>-23</v>
      </c>
      <c r="F202" s="273">
        <f t="shared" si="30"/>
        <v>-2.8750000000000001E-2</v>
      </c>
    </row>
    <row r="203" spans="1:9" ht="20.25" customHeight="1" x14ac:dyDescent="0.3">
      <c r="A203" s="271"/>
      <c r="B203" s="272" t="s">
        <v>140</v>
      </c>
      <c r="C203" s="274">
        <f t="shared" si="28"/>
        <v>4487</v>
      </c>
      <c r="D203" s="274">
        <f t="shared" si="28"/>
        <v>4130</v>
      </c>
      <c r="E203" s="274">
        <f t="shared" si="29"/>
        <v>-357</v>
      </c>
      <c r="F203" s="273">
        <f t="shared" si="30"/>
        <v>-7.9563182527301088E-2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24652</v>
      </c>
      <c r="D204" s="274">
        <f t="shared" si="28"/>
        <v>26881</v>
      </c>
      <c r="E204" s="274">
        <f t="shared" si="29"/>
        <v>2229</v>
      </c>
      <c r="F204" s="273">
        <f t="shared" si="30"/>
        <v>9.0418627291903295E-2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1795</v>
      </c>
      <c r="D205" s="274">
        <f t="shared" si="28"/>
        <v>1991</v>
      </c>
      <c r="E205" s="274">
        <f t="shared" si="29"/>
        <v>196</v>
      </c>
      <c r="F205" s="273">
        <f t="shared" si="30"/>
        <v>0.10919220055710306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704</v>
      </c>
      <c r="D206" s="274">
        <f t="shared" si="28"/>
        <v>641</v>
      </c>
      <c r="E206" s="274">
        <f t="shared" si="29"/>
        <v>-63</v>
      </c>
      <c r="F206" s="273">
        <f t="shared" si="30"/>
        <v>-8.9488636363636367E-2</v>
      </c>
    </row>
    <row r="207" spans="1:9" ht="20.25" customHeight="1" x14ac:dyDescent="0.3">
      <c r="A207" s="271"/>
      <c r="B207" s="262" t="s">
        <v>471</v>
      </c>
      <c r="C207" s="263">
        <f>+C198+C200</f>
        <v>62544724</v>
      </c>
      <c r="D207" s="263">
        <f>+D198+D200</f>
        <v>68254174</v>
      </c>
      <c r="E207" s="263">
        <f t="shared" si="29"/>
        <v>5709450</v>
      </c>
      <c r="F207" s="273">
        <f t="shared" si="30"/>
        <v>9.1285877286787609E-2</v>
      </c>
    </row>
    <row r="208" spans="1:9" ht="20.25" customHeight="1" x14ac:dyDescent="0.3">
      <c r="A208" s="271"/>
      <c r="B208" s="262" t="s">
        <v>472</v>
      </c>
      <c r="C208" s="263">
        <f>+C199+C201</f>
        <v>14463772</v>
      </c>
      <c r="D208" s="263">
        <f>+D199+D201</f>
        <v>15053731</v>
      </c>
      <c r="E208" s="263">
        <f t="shared" si="29"/>
        <v>589959</v>
      </c>
      <c r="F208" s="273">
        <f t="shared" si="30"/>
        <v>4.0788737543705753E-2</v>
      </c>
    </row>
  </sheetData>
  <mergeCells count="12"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  <mergeCell ref="G195:I196"/>
  </mergeCells>
  <pageMargins left="0.25" right="0.25" top="0.5" bottom="0.5" header="0.25" footer="0.25"/>
  <pageSetup scale="57" fitToHeight="0" orientation="portrait" horizontalDpi="1200" verticalDpi="1200" r:id="rId1"/>
  <headerFooter>
    <oddHeader>&amp;LOFFICE OF HEALTH CARE ACCESS&amp;CTWELVE MONTHS ACTUAL FILING&amp;RMANCHESTER MEMORIAL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314</v>
      </c>
      <c r="B4" s="802"/>
      <c r="C4" s="802"/>
      <c r="D4" s="802"/>
      <c r="E4" s="802"/>
      <c r="F4" s="802"/>
    </row>
    <row r="5" spans="1:7" ht="20.25" customHeight="1" x14ac:dyDescent="0.3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">
      <c r="A11" s="795"/>
      <c r="B11" s="797"/>
      <c r="C11" s="791"/>
      <c r="D11" s="792"/>
      <c r="E11" s="792"/>
      <c r="F11" s="793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">
      <c r="A110" s="795"/>
      <c r="B110" s="797"/>
      <c r="C110" s="791"/>
      <c r="D110" s="792"/>
      <c r="E110" s="792"/>
      <c r="F110" s="793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scale="57" fitToHeight="0" orientation="portrait" horizontalDpi="1200" verticalDpi="1200" r:id="rId1"/>
  <headerFooter>
    <oddHeader>&amp;LOFFICE OF HEALTH CARE ACCESS&amp;CTWELVE MONTHS ACTUAL FILING&amp;RMANCHESTER MEMORIAL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20733601</v>
      </c>
      <c r="D13" s="22">
        <v>16286829</v>
      </c>
      <c r="E13" s="22">
        <f t="shared" ref="E13:E22" si="0">D13-C13</f>
        <v>-4446772</v>
      </c>
      <c r="F13" s="306">
        <f t="shared" ref="F13:F22" si="1">IF(C13=0,0,E13/C13)</f>
        <v>-0.21447176493846873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44610272</v>
      </c>
      <c r="D15" s="22">
        <v>41607499</v>
      </c>
      <c r="E15" s="22">
        <f t="shared" si="0"/>
        <v>-3002773</v>
      </c>
      <c r="F15" s="306">
        <f t="shared" si="1"/>
        <v>-6.7311246163215502E-2</v>
      </c>
    </row>
    <row r="16" spans="1:8" ht="35.1" customHeight="1" x14ac:dyDescent="0.2">
      <c r="A16" s="304">
        <v>4</v>
      </c>
      <c r="B16" s="305" t="s">
        <v>19</v>
      </c>
      <c r="C16" s="22">
        <v>1163916</v>
      </c>
      <c r="D16" s="22">
        <v>1097599</v>
      </c>
      <c r="E16" s="22">
        <f t="shared" si="0"/>
        <v>-66317</v>
      </c>
      <c r="F16" s="306">
        <f t="shared" si="1"/>
        <v>-5.6977479474463792E-2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3602585</v>
      </c>
      <c r="D18" s="22">
        <v>3573134</v>
      </c>
      <c r="E18" s="22">
        <f t="shared" si="0"/>
        <v>-29451</v>
      </c>
      <c r="F18" s="306">
        <f t="shared" si="1"/>
        <v>-8.1749632555512229E-3</v>
      </c>
    </row>
    <row r="19" spans="1:11" ht="24" customHeight="1" x14ac:dyDescent="0.2">
      <c r="A19" s="304">
        <v>7</v>
      </c>
      <c r="B19" s="305" t="s">
        <v>22</v>
      </c>
      <c r="C19" s="22">
        <v>5437285</v>
      </c>
      <c r="D19" s="22">
        <v>5553809</v>
      </c>
      <c r="E19" s="22">
        <f t="shared" si="0"/>
        <v>116524</v>
      </c>
      <c r="F19" s="306">
        <f t="shared" si="1"/>
        <v>2.143054851824026E-2</v>
      </c>
    </row>
    <row r="20" spans="1:11" ht="24" customHeight="1" x14ac:dyDescent="0.2">
      <c r="A20" s="304">
        <v>8</v>
      </c>
      <c r="B20" s="305" t="s">
        <v>23</v>
      </c>
      <c r="C20" s="22">
        <v>5686236</v>
      </c>
      <c r="D20" s="22">
        <v>6653091</v>
      </c>
      <c r="E20" s="22">
        <f t="shared" si="0"/>
        <v>966855</v>
      </c>
      <c r="F20" s="306">
        <f t="shared" si="1"/>
        <v>0.17003427223210574</v>
      </c>
    </row>
    <row r="21" spans="1:11" ht="24" customHeight="1" x14ac:dyDescent="0.2">
      <c r="A21" s="304">
        <v>9</v>
      </c>
      <c r="B21" s="305" t="s">
        <v>24</v>
      </c>
      <c r="C21" s="22">
        <v>0</v>
      </c>
      <c r="D21" s="22">
        <v>0</v>
      </c>
      <c r="E21" s="22">
        <f t="shared" si="0"/>
        <v>0</v>
      </c>
      <c r="F21" s="306">
        <f t="shared" si="1"/>
        <v>0</v>
      </c>
    </row>
    <row r="22" spans="1:11" ht="24" customHeight="1" x14ac:dyDescent="0.25">
      <c r="A22" s="307"/>
      <c r="B22" s="308" t="s">
        <v>25</v>
      </c>
      <c r="C22" s="309">
        <f>SUM(C13:C21)</f>
        <v>81233895</v>
      </c>
      <c r="D22" s="309">
        <f>SUM(D13:D21)</f>
        <v>74771961</v>
      </c>
      <c r="E22" s="309">
        <f t="shared" si="0"/>
        <v>-6461934</v>
      </c>
      <c r="F22" s="310">
        <f t="shared" si="1"/>
        <v>-7.954726287592144E-2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16980766</v>
      </c>
      <c r="D25" s="22">
        <v>15981754</v>
      </c>
      <c r="E25" s="22">
        <f>D25-C25</f>
        <v>-999012</v>
      </c>
      <c r="F25" s="306">
        <f>IF(C25=0,0,E25/C25)</f>
        <v>-5.8831974953308941E-2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49083777</v>
      </c>
      <c r="D28" s="22">
        <v>47693344</v>
      </c>
      <c r="E28" s="22">
        <f>D28-C28</f>
        <v>-1390433</v>
      </c>
      <c r="F28" s="306">
        <f>IF(C28=0,0,E28/C28)</f>
        <v>-2.8327750735237835E-2</v>
      </c>
    </row>
    <row r="29" spans="1:11" ht="35.1" customHeight="1" x14ac:dyDescent="0.25">
      <c r="A29" s="307"/>
      <c r="B29" s="308" t="s">
        <v>32</v>
      </c>
      <c r="C29" s="309">
        <f>SUM(C25:C28)</f>
        <v>66064543</v>
      </c>
      <c r="D29" s="309">
        <f>SUM(D25:D28)</f>
        <v>63675098</v>
      </c>
      <c r="E29" s="309">
        <f>D29-C29</f>
        <v>-2389445</v>
      </c>
      <c r="F29" s="310">
        <f>IF(C29=0,0,E29/C29)</f>
        <v>-3.6168342222544399E-2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24413166</v>
      </c>
      <c r="D32" s="22">
        <v>25309242</v>
      </c>
      <c r="E32" s="22">
        <f>D32-C32</f>
        <v>896076</v>
      </c>
      <c r="F32" s="306">
        <f>IF(C32=0,0,E32/C32)</f>
        <v>3.6704620777165894E-2</v>
      </c>
    </row>
    <row r="33" spans="1:8" ht="24" customHeight="1" x14ac:dyDescent="0.2">
      <c r="A33" s="304">
        <v>7</v>
      </c>
      <c r="B33" s="305" t="s">
        <v>35</v>
      </c>
      <c r="C33" s="22">
        <v>10310026</v>
      </c>
      <c r="D33" s="22">
        <v>8567926</v>
      </c>
      <c r="E33" s="22">
        <f>D33-C33</f>
        <v>-1742100</v>
      </c>
      <c r="F33" s="306">
        <f>IF(C33=0,0,E33/C33)</f>
        <v>-0.16897144585280385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309457919</v>
      </c>
      <c r="D36" s="22">
        <v>316413058</v>
      </c>
      <c r="E36" s="22">
        <f>D36-C36</f>
        <v>6955139</v>
      </c>
      <c r="F36" s="306">
        <f>IF(C36=0,0,E36/C36)</f>
        <v>2.247523353894201E-2</v>
      </c>
    </row>
    <row r="37" spans="1:8" ht="24" customHeight="1" x14ac:dyDescent="0.2">
      <c r="A37" s="304">
        <v>2</v>
      </c>
      <c r="B37" s="305" t="s">
        <v>39</v>
      </c>
      <c r="C37" s="22">
        <v>218033560</v>
      </c>
      <c r="D37" s="22">
        <v>229410757</v>
      </c>
      <c r="E37" s="22">
        <f>D37-C37</f>
        <v>11377197</v>
      </c>
      <c r="F37" s="22">
        <f>IF(C37=0,0,E37/C37)</f>
        <v>5.2180944071178764E-2</v>
      </c>
    </row>
    <row r="38" spans="1:8" ht="24" customHeight="1" x14ac:dyDescent="0.25">
      <c r="A38" s="307"/>
      <c r="B38" s="308" t="s">
        <v>40</v>
      </c>
      <c r="C38" s="309">
        <f>C36-C37</f>
        <v>91424359</v>
      </c>
      <c r="D38" s="309">
        <f>D36-D37</f>
        <v>87002301</v>
      </c>
      <c r="E38" s="309">
        <f>D38-C38</f>
        <v>-4422058</v>
      </c>
      <c r="F38" s="310">
        <f>IF(C38=0,0,E38/C38)</f>
        <v>-4.8368487877503197E-2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2641200</v>
      </c>
      <c r="D40" s="22">
        <v>1273117</v>
      </c>
      <c r="E40" s="22">
        <f>D40-C40</f>
        <v>-1368083</v>
      </c>
      <c r="F40" s="306">
        <f>IF(C40=0,0,E40/C40)</f>
        <v>-0.5179778131152506</v>
      </c>
    </row>
    <row r="41" spans="1:8" ht="24" customHeight="1" x14ac:dyDescent="0.25">
      <c r="A41" s="307"/>
      <c r="B41" s="308" t="s">
        <v>42</v>
      </c>
      <c r="C41" s="309">
        <f>+C38+C40</f>
        <v>94065559</v>
      </c>
      <c r="D41" s="309">
        <f>+D38+D40</f>
        <v>88275418</v>
      </c>
      <c r="E41" s="309">
        <f>D41-C41</f>
        <v>-5790141</v>
      </c>
      <c r="F41" s="310">
        <f>IF(C41=0,0,E41/C41)</f>
        <v>-6.1554314475503198E-2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276087189</v>
      </c>
      <c r="D43" s="309">
        <f>D22+D29+D31+D32+D33+D41</f>
        <v>260599645</v>
      </c>
      <c r="E43" s="309">
        <f>D43-C43</f>
        <v>-15487544</v>
      </c>
      <c r="F43" s="310">
        <f>IF(C43=0,0,E43/C43)</f>
        <v>-5.6096568827030943E-2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30917763</v>
      </c>
      <c r="D49" s="22">
        <v>27642500</v>
      </c>
      <c r="E49" s="22">
        <f t="shared" ref="E49:E56" si="2">D49-C49</f>
        <v>-3275263</v>
      </c>
      <c r="F49" s="306">
        <f t="shared" ref="F49:F56" si="3">IF(C49=0,0,E49/C49)</f>
        <v>-0.10593466933555316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5046852</v>
      </c>
      <c r="D50" s="22">
        <v>5787051</v>
      </c>
      <c r="E50" s="22">
        <f t="shared" si="2"/>
        <v>740199</v>
      </c>
      <c r="F50" s="306">
        <f t="shared" si="3"/>
        <v>0.14666548573249225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5743160</v>
      </c>
      <c r="D51" s="22">
        <v>3124803</v>
      </c>
      <c r="E51" s="22">
        <f t="shared" si="2"/>
        <v>-2618357</v>
      </c>
      <c r="F51" s="306">
        <f t="shared" si="3"/>
        <v>-0.45590876799531965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2523279</v>
      </c>
      <c r="D53" s="22">
        <v>2562000</v>
      </c>
      <c r="E53" s="22">
        <f t="shared" si="2"/>
        <v>38721</v>
      </c>
      <c r="F53" s="306">
        <f t="shared" si="3"/>
        <v>1.5345508760624568E-2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9541203</v>
      </c>
      <c r="D54" s="22">
        <v>8256708</v>
      </c>
      <c r="E54" s="22">
        <f t="shared" si="2"/>
        <v>-1284495</v>
      </c>
      <c r="F54" s="306">
        <f t="shared" si="3"/>
        <v>-0.13462610532445438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7180735</v>
      </c>
      <c r="D55" s="22">
        <v>4324901</v>
      </c>
      <c r="E55" s="22">
        <f t="shared" si="2"/>
        <v>-2855834</v>
      </c>
      <c r="F55" s="306">
        <f t="shared" si="3"/>
        <v>-0.39770775554313031</v>
      </c>
    </row>
    <row r="56" spans="1:6" ht="24" customHeight="1" x14ac:dyDescent="0.25">
      <c r="A56" s="307"/>
      <c r="B56" s="308" t="s">
        <v>54</v>
      </c>
      <c r="C56" s="309">
        <f>SUM(C49:C55)</f>
        <v>60952992</v>
      </c>
      <c r="D56" s="309">
        <f>SUM(D49:D55)</f>
        <v>51697963</v>
      </c>
      <c r="E56" s="309">
        <f t="shared" si="2"/>
        <v>-9255029</v>
      </c>
      <c r="F56" s="310">
        <f t="shared" si="3"/>
        <v>-0.1518387973473066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69571034</v>
      </c>
      <c r="D59" s="22">
        <v>66995612</v>
      </c>
      <c r="E59" s="22">
        <f>D59-C59</f>
        <v>-2575422</v>
      </c>
      <c r="F59" s="306">
        <f>IF(C59=0,0,E59/C59)</f>
        <v>-3.7018595986369841E-2</v>
      </c>
    </row>
    <row r="60" spans="1:6" ht="24" customHeight="1" x14ac:dyDescent="0.2">
      <c r="A60" s="304">
        <v>2</v>
      </c>
      <c r="B60" s="305" t="s">
        <v>57</v>
      </c>
      <c r="C60" s="22">
        <v>13024380</v>
      </c>
      <c r="D60" s="22">
        <v>13126634</v>
      </c>
      <c r="E60" s="22">
        <f>D60-C60</f>
        <v>102254</v>
      </c>
      <c r="F60" s="306">
        <f>IF(C60=0,0,E60/C60)</f>
        <v>7.8509687217356988E-3</v>
      </c>
    </row>
    <row r="61" spans="1:6" ht="24" customHeight="1" x14ac:dyDescent="0.25">
      <c r="A61" s="307"/>
      <c r="B61" s="308" t="s">
        <v>58</v>
      </c>
      <c r="C61" s="309">
        <f>SUM(C59:C60)</f>
        <v>82595414</v>
      </c>
      <c r="D61" s="309">
        <f>SUM(D59:D60)</f>
        <v>80122246</v>
      </c>
      <c r="E61" s="309">
        <f>D61-C61</f>
        <v>-2473168</v>
      </c>
      <c r="F61" s="310">
        <f>IF(C61=0,0,E61/C61)</f>
        <v>-2.9943163672501237E-2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44676486</v>
      </c>
      <c r="D63" s="22">
        <v>62407379</v>
      </c>
      <c r="E63" s="22">
        <f>D63-C63</f>
        <v>17730893</v>
      </c>
      <c r="F63" s="306">
        <f>IF(C63=0,0,E63/C63)</f>
        <v>0.39687304413332775</v>
      </c>
    </row>
    <row r="64" spans="1:6" ht="24" customHeight="1" x14ac:dyDescent="0.2">
      <c r="A64" s="304">
        <v>4</v>
      </c>
      <c r="B64" s="305" t="s">
        <v>60</v>
      </c>
      <c r="C64" s="22">
        <v>10168508</v>
      </c>
      <c r="D64" s="22">
        <v>7664508</v>
      </c>
      <c r="E64" s="22">
        <f>D64-C64</f>
        <v>-2504000</v>
      </c>
      <c r="F64" s="306">
        <f>IF(C64=0,0,E64/C64)</f>
        <v>-0.24625048237165176</v>
      </c>
    </row>
    <row r="65" spans="1:6" ht="24" customHeight="1" x14ac:dyDescent="0.25">
      <c r="A65" s="307"/>
      <c r="B65" s="308" t="s">
        <v>61</v>
      </c>
      <c r="C65" s="309">
        <f>SUM(C61:C64)</f>
        <v>137440408</v>
      </c>
      <c r="D65" s="309">
        <f>SUM(D61:D64)</f>
        <v>150194133</v>
      </c>
      <c r="E65" s="309">
        <f>D65-C65</f>
        <v>12753725</v>
      </c>
      <c r="F65" s="310">
        <f>IF(C65=0,0,E65/C65)</f>
        <v>9.279458047010454E-2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59544873</v>
      </c>
      <c r="D70" s="22">
        <v>42167565</v>
      </c>
      <c r="E70" s="22">
        <f>D70-C70</f>
        <v>-17377308</v>
      </c>
      <c r="F70" s="306">
        <f>IF(C70=0,0,E70/C70)</f>
        <v>-0.29183550362094146</v>
      </c>
    </row>
    <row r="71" spans="1:6" ht="24" customHeight="1" x14ac:dyDescent="0.2">
      <c r="A71" s="304">
        <v>2</v>
      </c>
      <c r="B71" s="305" t="s">
        <v>65</v>
      </c>
      <c r="C71" s="22">
        <v>2096313</v>
      </c>
      <c r="D71" s="22">
        <v>1486536</v>
      </c>
      <c r="E71" s="22">
        <f>D71-C71</f>
        <v>-609777</v>
      </c>
      <c r="F71" s="306">
        <f>IF(C71=0,0,E71/C71)</f>
        <v>-0.29088070340640926</v>
      </c>
    </row>
    <row r="72" spans="1:6" ht="24" customHeight="1" x14ac:dyDescent="0.2">
      <c r="A72" s="304">
        <v>3</v>
      </c>
      <c r="B72" s="305" t="s">
        <v>66</v>
      </c>
      <c r="C72" s="22">
        <v>16052603</v>
      </c>
      <c r="D72" s="22">
        <v>15053448</v>
      </c>
      <c r="E72" s="22">
        <f>D72-C72</f>
        <v>-999155</v>
      </c>
      <c r="F72" s="306">
        <f>IF(C72=0,0,E72/C72)</f>
        <v>-6.2242553435103327E-2</v>
      </c>
    </row>
    <row r="73" spans="1:6" ht="24" customHeight="1" x14ac:dyDescent="0.25">
      <c r="A73" s="304"/>
      <c r="B73" s="308" t="s">
        <v>67</v>
      </c>
      <c r="C73" s="309">
        <f>SUM(C70:C72)</f>
        <v>77693789</v>
      </c>
      <c r="D73" s="309">
        <f>SUM(D70:D72)</f>
        <v>58707549</v>
      </c>
      <c r="E73" s="309">
        <f>D73-C73</f>
        <v>-18986240</v>
      </c>
      <c r="F73" s="310">
        <f>IF(C73=0,0,E73/C73)</f>
        <v>-0.24437268724273442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276087189</v>
      </c>
      <c r="D75" s="309">
        <f>D56+D65+D67+D73</f>
        <v>260599645</v>
      </c>
      <c r="E75" s="309">
        <f>D75-C75</f>
        <v>-15487544</v>
      </c>
      <c r="F75" s="310">
        <f>IF(C75=0,0,E75/C75)</f>
        <v>-5.6096568827030943E-2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0" fitToHeight="0" orientation="portrait" horizontalDpi="1200" verticalDpi="1200" r:id="rId1"/>
  <headerFooter>
    <oddHeader>&amp;LOFFICE OF HEALTH CARE ACCESS&amp;CTWELVE MONTHS ACTUAL FILING&amp;REASTERN CONNECTICUT HEALTH NETWORK,INC.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925914801</v>
      </c>
      <c r="D11" s="76">
        <v>919633538</v>
      </c>
      <c r="E11" s="76">
        <f t="shared" ref="E11:E20" si="0">D11-C11</f>
        <v>-6281263</v>
      </c>
      <c r="F11" s="77">
        <f t="shared" ref="F11:F20" si="1">IF(C11=0,0,E11/C11)</f>
        <v>-6.7838455473615443E-3</v>
      </c>
    </row>
    <row r="12" spans="1:7" ht="23.1" customHeight="1" x14ac:dyDescent="0.2">
      <c r="A12" s="74">
        <v>2</v>
      </c>
      <c r="B12" s="75" t="s">
        <v>72</v>
      </c>
      <c r="C12" s="76">
        <v>612343685</v>
      </c>
      <c r="D12" s="76">
        <v>609939044</v>
      </c>
      <c r="E12" s="76">
        <f t="shared" si="0"/>
        <v>-2404641</v>
      </c>
      <c r="F12" s="77">
        <f t="shared" si="1"/>
        <v>-3.9269466786450158E-3</v>
      </c>
    </row>
    <row r="13" spans="1:7" ht="23.1" customHeight="1" x14ac:dyDescent="0.2">
      <c r="A13" s="74">
        <v>3</v>
      </c>
      <c r="B13" s="75" t="s">
        <v>73</v>
      </c>
      <c r="C13" s="76">
        <v>3599806</v>
      </c>
      <c r="D13" s="76">
        <v>1650100</v>
      </c>
      <c r="E13" s="76">
        <f t="shared" si="0"/>
        <v>-1949706</v>
      </c>
      <c r="F13" s="77">
        <f t="shared" si="1"/>
        <v>-0.54161418698674313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309971310</v>
      </c>
      <c r="D15" s="79">
        <f>D11-D12-D13-D14</f>
        <v>308044394</v>
      </c>
      <c r="E15" s="79">
        <f t="shared" si="0"/>
        <v>-1926916</v>
      </c>
      <c r="F15" s="80">
        <f t="shared" si="1"/>
        <v>-6.2164333853994419E-3</v>
      </c>
    </row>
    <row r="16" spans="1:7" ht="23.1" customHeight="1" x14ac:dyDescent="0.2">
      <c r="A16" s="74">
        <v>5</v>
      </c>
      <c r="B16" s="75" t="s">
        <v>76</v>
      </c>
      <c r="C16" s="76">
        <v>10216094</v>
      </c>
      <c r="D16" s="76">
        <v>10899289</v>
      </c>
      <c r="E16" s="76">
        <f t="shared" si="0"/>
        <v>683195</v>
      </c>
      <c r="F16" s="77">
        <f t="shared" si="1"/>
        <v>6.6874384671871651E-2</v>
      </c>
      <c r="G16" s="65"/>
    </row>
    <row r="17" spans="1:7" ht="31.5" customHeight="1" x14ac:dyDescent="0.25">
      <c r="A17" s="71"/>
      <c r="B17" s="81" t="s">
        <v>77</v>
      </c>
      <c r="C17" s="79">
        <f>C15-C16</f>
        <v>299755216</v>
      </c>
      <c r="D17" s="79">
        <f>D15-D16</f>
        <v>297145105</v>
      </c>
      <c r="E17" s="79">
        <f t="shared" si="0"/>
        <v>-2610111</v>
      </c>
      <c r="F17" s="80">
        <f t="shared" si="1"/>
        <v>-8.7074748350667568E-3</v>
      </c>
    </row>
    <row r="18" spans="1:7" ht="23.1" customHeight="1" x14ac:dyDescent="0.2">
      <c r="A18" s="74">
        <v>6</v>
      </c>
      <c r="B18" s="75" t="s">
        <v>78</v>
      </c>
      <c r="C18" s="76">
        <v>28166459</v>
      </c>
      <c r="D18" s="76">
        <v>17589913</v>
      </c>
      <c r="E18" s="76">
        <f t="shared" si="0"/>
        <v>-10576546</v>
      </c>
      <c r="F18" s="77">
        <f t="shared" si="1"/>
        <v>-0.37550144304614225</v>
      </c>
      <c r="G18" s="65"/>
    </row>
    <row r="19" spans="1:7" ht="33" customHeight="1" x14ac:dyDescent="0.2">
      <c r="A19" s="74">
        <v>7</v>
      </c>
      <c r="B19" s="82" t="s">
        <v>79</v>
      </c>
      <c r="C19" s="76">
        <v>833650</v>
      </c>
      <c r="D19" s="76">
        <v>832608</v>
      </c>
      <c r="E19" s="76">
        <f t="shared" si="0"/>
        <v>-1042</v>
      </c>
      <c r="F19" s="77">
        <f t="shared" si="1"/>
        <v>-1.2499250284891742E-3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328755325</v>
      </c>
      <c r="D20" s="79">
        <f>SUM(D17:D19)</f>
        <v>315567626</v>
      </c>
      <c r="E20" s="79">
        <f t="shared" si="0"/>
        <v>-13187699</v>
      </c>
      <c r="F20" s="80">
        <f t="shared" si="1"/>
        <v>-4.0114024008584499E-2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162727445</v>
      </c>
      <c r="D23" s="76">
        <v>156774464</v>
      </c>
      <c r="E23" s="76">
        <f t="shared" ref="E23:E32" si="2">D23-C23</f>
        <v>-5952981</v>
      </c>
      <c r="F23" s="77">
        <f t="shared" ref="F23:F32" si="3">IF(C23=0,0,E23/C23)</f>
        <v>-3.6582526076040831E-2</v>
      </c>
    </row>
    <row r="24" spans="1:7" ht="23.1" customHeight="1" x14ac:dyDescent="0.2">
      <c r="A24" s="74">
        <v>2</v>
      </c>
      <c r="B24" s="75" t="s">
        <v>83</v>
      </c>
      <c r="C24" s="76">
        <v>43859398</v>
      </c>
      <c r="D24" s="76">
        <v>44024084</v>
      </c>
      <c r="E24" s="76">
        <f t="shared" si="2"/>
        <v>164686</v>
      </c>
      <c r="F24" s="77">
        <f t="shared" si="3"/>
        <v>3.7548622988395784E-3</v>
      </c>
    </row>
    <row r="25" spans="1:7" ht="23.1" customHeight="1" x14ac:dyDescent="0.2">
      <c r="A25" s="74">
        <v>3</v>
      </c>
      <c r="B25" s="75" t="s">
        <v>84</v>
      </c>
      <c r="C25" s="76">
        <v>14478331</v>
      </c>
      <c r="D25" s="76">
        <v>15492872</v>
      </c>
      <c r="E25" s="76">
        <f t="shared" si="2"/>
        <v>1014541</v>
      </c>
      <c r="F25" s="77">
        <f t="shared" si="3"/>
        <v>7.0073062979427669E-2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34194649</v>
      </c>
      <c r="D26" s="76">
        <v>34144873</v>
      </c>
      <c r="E26" s="76">
        <f t="shared" si="2"/>
        <v>-49776</v>
      </c>
      <c r="F26" s="77">
        <f t="shared" si="3"/>
        <v>-1.455666352943117E-3</v>
      </c>
    </row>
    <row r="27" spans="1:7" ht="23.1" customHeight="1" x14ac:dyDescent="0.2">
      <c r="A27" s="74">
        <v>5</v>
      </c>
      <c r="B27" s="75" t="s">
        <v>86</v>
      </c>
      <c r="C27" s="76">
        <v>12196877</v>
      </c>
      <c r="D27" s="76">
        <v>11920720</v>
      </c>
      <c r="E27" s="76">
        <f t="shared" si="2"/>
        <v>-276157</v>
      </c>
      <c r="F27" s="77">
        <f t="shared" si="3"/>
        <v>-2.2641615554539085E-2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3764488</v>
      </c>
      <c r="D29" s="76">
        <v>3445934</v>
      </c>
      <c r="E29" s="76">
        <f t="shared" si="2"/>
        <v>-318554</v>
      </c>
      <c r="F29" s="77">
        <f t="shared" si="3"/>
        <v>-8.4620803679012924E-2</v>
      </c>
    </row>
    <row r="30" spans="1:7" ht="23.1" customHeight="1" x14ac:dyDescent="0.2">
      <c r="A30" s="74">
        <v>8</v>
      </c>
      <c r="B30" s="75" t="s">
        <v>89</v>
      </c>
      <c r="C30" s="76">
        <v>3807147</v>
      </c>
      <c r="D30" s="76">
        <v>3396254</v>
      </c>
      <c r="E30" s="76">
        <f t="shared" si="2"/>
        <v>-410893</v>
      </c>
      <c r="F30" s="77">
        <f t="shared" si="3"/>
        <v>-0.10792674934800259</v>
      </c>
    </row>
    <row r="31" spans="1:7" ht="23.1" customHeight="1" x14ac:dyDescent="0.2">
      <c r="A31" s="74">
        <v>9</v>
      </c>
      <c r="B31" s="75" t="s">
        <v>90</v>
      </c>
      <c r="C31" s="76">
        <v>51554269</v>
      </c>
      <c r="D31" s="76">
        <v>46648875</v>
      </c>
      <c r="E31" s="76">
        <f t="shared" si="2"/>
        <v>-4905394</v>
      </c>
      <c r="F31" s="77">
        <f t="shared" si="3"/>
        <v>-9.5150102894485805E-2</v>
      </c>
    </row>
    <row r="32" spans="1:7" ht="23.1" customHeight="1" x14ac:dyDescent="0.25">
      <c r="A32" s="71"/>
      <c r="B32" s="78" t="s">
        <v>91</v>
      </c>
      <c r="C32" s="79">
        <f>SUM(C23:C31)</f>
        <v>326582604</v>
      </c>
      <c r="D32" s="79">
        <f>SUM(D23:D31)</f>
        <v>315848076</v>
      </c>
      <c r="E32" s="79">
        <f t="shared" si="2"/>
        <v>-10734528</v>
      </c>
      <c r="F32" s="80">
        <f t="shared" si="3"/>
        <v>-3.2869258400548489E-2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2172721</v>
      </c>
      <c r="D34" s="79">
        <f>+D20-D32</f>
        <v>-280450</v>
      </c>
      <c r="E34" s="79">
        <f>D34-C34</f>
        <v>-2453171</v>
      </c>
      <c r="F34" s="80">
        <f>IF(C34=0,0,E34/C34)</f>
        <v>-1.1290777785090678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645</v>
      </c>
      <c r="D37" s="76">
        <v>0</v>
      </c>
      <c r="E37" s="76">
        <f>D37-C37</f>
        <v>-645</v>
      </c>
      <c r="F37" s="77">
        <f>IF(C37=0,0,E37/C37)</f>
        <v>-1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-2126396</v>
      </c>
      <c r="D39" s="76">
        <v>-2235410</v>
      </c>
      <c r="E39" s="76">
        <f>D39-C39</f>
        <v>-109014</v>
      </c>
      <c r="F39" s="77">
        <f>IF(C39=0,0,E39/C39)</f>
        <v>5.126702646167506E-2</v>
      </c>
    </row>
    <row r="40" spans="1:6" ht="23.1" customHeight="1" x14ac:dyDescent="0.25">
      <c r="A40" s="83"/>
      <c r="B40" s="78" t="s">
        <v>97</v>
      </c>
      <c r="C40" s="79">
        <f>SUM(C37:C39)</f>
        <v>-2125751</v>
      </c>
      <c r="D40" s="79">
        <f>SUM(D37:D39)</f>
        <v>-2235410</v>
      </c>
      <c r="E40" s="79">
        <f>D40-C40</f>
        <v>-109659</v>
      </c>
      <c r="F40" s="80">
        <f>IF(C40=0,0,E40/C40)</f>
        <v>5.1586004193341556E-2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46970</v>
      </c>
      <c r="D42" s="79">
        <f>D34+D40</f>
        <v>-2515860</v>
      </c>
      <c r="E42" s="79">
        <f>D42-C42</f>
        <v>-2562830</v>
      </c>
      <c r="F42" s="80">
        <f>IF(C42=0,0,E42/C42)</f>
        <v>-54.563125399190973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46970</v>
      </c>
      <c r="D49" s="79">
        <f>D42+D47</f>
        <v>-2515860</v>
      </c>
      <c r="E49" s="79">
        <f>D49-C49</f>
        <v>-2562830</v>
      </c>
      <c r="F49" s="80">
        <f>IF(C49=0,0,E49/C49)</f>
        <v>-54.563125399190973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scale="76" fitToHeight="0" orientation="portrait" horizontalDpi="1200" verticalDpi="1200" r:id="rId1"/>
  <headerFooter>
    <oddHeader>&amp;L&amp;8OFFICE OF HEALTH CARE ACCESS&amp;C&amp;8TWELVE MONTHS ACTUAL FILING&amp;R&amp;8EASTERN CONNECTICUT HEALTH NETWORK,INC.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Foster, Tillman</cp:lastModifiedBy>
  <cp:lastPrinted>2016-07-21T16:46:11Z</cp:lastPrinted>
  <dcterms:created xsi:type="dcterms:W3CDTF">2016-07-21T16:38:58Z</dcterms:created>
  <dcterms:modified xsi:type="dcterms:W3CDTF">2016-07-27T14:52:27Z</dcterms:modified>
</cp:coreProperties>
</file>