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Report485!$A$11:$F$32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/>
  <c r="C96" i="22"/>
  <c r="C98" i="22" s="1"/>
  <c r="E92" i="22"/>
  <c r="D92" i="22"/>
  <c r="D93" i="22" s="1"/>
  <c r="C92" i="22"/>
  <c r="C93" i="22" s="1"/>
  <c r="E91" i="22"/>
  <c r="E93" i="22"/>
  <c r="D91" i="22"/>
  <c r="C91" i="22"/>
  <c r="E87" i="22"/>
  <c r="E88" i="22" s="1"/>
  <c r="D87" i="22"/>
  <c r="C87" i="22"/>
  <c r="E86" i="22"/>
  <c r="D86" i="22"/>
  <c r="C86" i="22"/>
  <c r="C88" i="22"/>
  <c r="E83" i="22"/>
  <c r="D83" i="22"/>
  <c r="C83" i="22"/>
  <c r="C101" i="22" s="1"/>
  <c r="E76" i="22"/>
  <c r="D76" i="22"/>
  <c r="C76" i="22"/>
  <c r="C77" i="22" s="1"/>
  <c r="E75" i="22"/>
  <c r="E77" i="22"/>
  <c r="D75" i="22"/>
  <c r="D77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34" i="22" s="1"/>
  <c r="C12" i="22"/>
  <c r="C33" i="22"/>
  <c r="D21" i="21"/>
  <c r="E21" i="21"/>
  <c r="C21" i="21"/>
  <c r="D19" i="21"/>
  <c r="E19" i="21"/>
  <c r="C19" i="21"/>
  <c r="E17" i="21"/>
  <c r="F17" i="21" s="1"/>
  <c r="E15" i="21"/>
  <c r="F15" i="21" s="1"/>
  <c r="D45" i="20"/>
  <c r="E45" i="20" s="1"/>
  <c r="C45" i="20"/>
  <c r="D44" i="20"/>
  <c r="C44" i="20"/>
  <c r="D43" i="20"/>
  <c r="C43" i="20"/>
  <c r="D36" i="20"/>
  <c r="D40" i="20"/>
  <c r="C36" i="20"/>
  <c r="C40" i="20"/>
  <c r="F35" i="20"/>
  <c r="E35" i="20"/>
  <c r="F34" i="20"/>
  <c r="E34" i="20"/>
  <c r="E36" i="20" s="1"/>
  <c r="F33" i="20"/>
  <c r="E33" i="20"/>
  <c r="F36" i="20"/>
  <c r="F30" i="20"/>
  <c r="E30" i="20"/>
  <c r="E29" i="20"/>
  <c r="F29" i="20" s="1"/>
  <c r="F28" i="20"/>
  <c r="E28" i="20"/>
  <c r="E27" i="20"/>
  <c r="F27" i="20" s="1"/>
  <c r="D25" i="20"/>
  <c r="D39" i="20" s="1"/>
  <c r="C25" i="20"/>
  <c r="C39" i="20"/>
  <c r="F24" i="20"/>
  <c r="E24" i="20"/>
  <c r="E23" i="20"/>
  <c r="F23" i="20" s="1"/>
  <c r="F22" i="20"/>
  <c r="E22" i="20"/>
  <c r="E25" i="20"/>
  <c r="F25" i="20"/>
  <c r="D19" i="20"/>
  <c r="D20" i="20" s="1"/>
  <c r="C19" i="20"/>
  <c r="C20" i="20" s="1"/>
  <c r="E18" i="20"/>
  <c r="F18" i="20" s="1"/>
  <c r="D16" i="20"/>
  <c r="E16" i="20"/>
  <c r="C16" i="20"/>
  <c r="F15" i="20"/>
  <c r="E15" i="20"/>
  <c r="E13" i="20"/>
  <c r="F13" i="20" s="1"/>
  <c r="F12" i="20"/>
  <c r="E12" i="20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/>
  <c r="C63" i="19"/>
  <c r="C60" i="19"/>
  <c r="C59" i="19"/>
  <c r="C48" i="19"/>
  <c r="C36" i="19"/>
  <c r="C32" i="19"/>
  <c r="C33" i="19" s="1"/>
  <c r="C21" i="19"/>
  <c r="C37" i="19"/>
  <c r="C38" i="19" s="1"/>
  <c r="C127" i="19" s="1"/>
  <c r="E328" i="18"/>
  <c r="E325" i="18"/>
  <c r="D324" i="18"/>
  <c r="D326" i="18"/>
  <c r="C324" i="18"/>
  <c r="C326" i="18" s="1"/>
  <c r="C330" i="18"/>
  <c r="E318" i="18"/>
  <c r="E315" i="18"/>
  <c r="D314" i="18"/>
  <c r="D316" i="18" s="1"/>
  <c r="C314" i="18"/>
  <c r="C316" i="18" s="1"/>
  <c r="C320" i="18" s="1"/>
  <c r="E308" i="18"/>
  <c r="E305" i="18"/>
  <c r="D301" i="18"/>
  <c r="D303" i="18"/>
  <c r="C301" i="18"/>
  <c r="D293" i="18"/>
  <c r="E293" i="18" s="1"/>
  <c r="C293" i="18"/>
  <c r="D292" i="18"/>
  <c r="C292" i="18"/>
  <c r="D291" i="18"/>
  <c r="C291" i="18"/>
  <c r="E291" i="18" s="1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C281" i="18"/>
  <c r="E281" i="18" s="1"/>
  <c r="D280" i="18"/>
  <c r="E280" i="18" s="1"/>
  <c r="C280" i="18"/>
  <c r="D279" i="18"/>
  <c r="E279" i="18" s="1"/>
  <c r="C279" i="18"/>
  <c r="D278" i="18"/>
  <c r="E278" i="18" s="1"/>
  <c r="C278" i="18"/>
  <c r="D277" i="18"/>
  <c r="C277" i="18"/>
  <c r="E277" i="18" s="1"/>
  <c r="D276" i="18"/>
  <c r="E276" i="18" s="1"/>
  <c r="C276" i="18"/>
  <c r="E270" i="18"/>
  <c r="D265" i="18"/>
  <c r="D302" i="18" s="1"/>
  <c r="C265" i="18"/>
  <c r="C302" i="18"/>
  <c r="D262" i="18"/>
  <c r="E262" i="18" s="1"/>
  <c r="C262" i="18"/>
  <c r="D251" i="18"/>
  <c r="C251" i="18"/>
  <c r="C254" i="18" s="1"/>
  <c r="D233" i="18"/>
  <c r="C233" i="18"/>
  <c r="E233" i="18" s="1"/>
  <c r="D232" i="18"/>
  <c r="E232" i="18" s="1"/>
  <c r="C232" i="18"/>
  <c r="D231" i="18"/>
  <c r="C231" i="18"/>
  <c r="D230" i="18"/>
  <c r="E230" i="18"/>
  <c r="C230" i="18"/>
  <c r="D228" i="18"/>
  <c r="E228" i="18"/>
  <c r="C228" i="18"/>
  <c r="D227" i="18"/>
  <c r="E227" i="18" s="1"/>
  <c r="C227" i="18"/>
  <c r="D221" i="18"/>
  <c r="D245" i="18"/>
  <c r="C221" i="18"/>
  <c r="C245" i="18"/>
  <c r="D220" i="18"/>
  <c r="D244" i="18" s="1"/>
  <c r="C220" i="18"/>
  <c r="C244" i="18"/>
  <c r="D219" i="18"/>
  <c r="D243" i="18"/>
  <c r="C219" i="18"/>
  <c r="C243" i="18"/>
  <c r="D218" i="18"/>
  <c r="D217" i="18" s="1"/>
  <c r="C218" i="18"/>
  <c r="C242" i="18"/>
  <c r="D216" i="18"/>
  <c r="C216" i="18"/>
  <c r="D215" i="18"/>
  <c r="C215" i="18"/>
  <c r="E209" i="18"/>
  <c r="E208" i="18"/>
  <c r="E207" i="18"/>
  <c r="E206" i="18"/>
  <c r="D205" i="18"/>
  <c r="C205" i="18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8" i="18"/>
  <c r="C188" i="18"/>
  <c r="E186" i="18"/>
  <c r="E185" i="18"/>
  <c r="D179" i="18"/>
  <c r="E179" i="18" s="1"/>
  <c r="C179" i="18"/>
  <c r="D178" i="18"/>
  <c r="C178" i="18"/>
  <c r="D177" i="18"/>
  <c r="E177" i="18"/>
  <c r="C177" i="18"/>
  <c r="D176" i="18"/>
  <c r="C176" i="18"/>
  <c r="E176" i="18" s="1"/>
  <c r="D174" i="18"/>
  <c r="E174" i="18" s="1"/>
  <c r="C174" i="18"/>
  <c r="D173" i="18"/>
  <c r="E173" i="18"/>
  <c r="C173" i="18"/>
  <c r="D167" i="18"/>
  <c r="C167" i="18"/>
  <c r="D166" i="18"/>
  <c r="C166" i="18"/>
  <c r="E166" i="18" s="1"/>
  <c r="D165" i="18"/>
  <c r="C165" i="18"/>
  <c r="E165" i="18"/>
  <c r="D164" i="18"/>
  <c r="E164" i="18" s="1"/>
  <c r="C164" i="18"/>
  <c r="D162" i="18"/>
  <c r="E162" i="18"/>
  <c r="C162" i="18"/>
  <c r="D161" i="18"/>
  <c r="C161" i="18"/>
  <c r="E161" i="18"/>
  <c r="E155" i="18"/>
  <c r="E154" i="18"/>
  <c r="E153" i="18"/>
  <c r="E152" i="18"/>
  <c r="D151" i="18"/>
  <c r="D156" i="18" s="1"/>
  <c r="C151" i="18"/>
  <c r="E150" i="18"/>
  <c r="E149" i="18"/>
  <c r="D144" i="18"/>
  <c r="E143" i="18"/>
  <c r="E142" i="18"/>
  <c r="E141" i="18"/>
  <c r="E140" i="18"/>
  <c r="D139" i="18"/>
  <c r="C139" i="18"/>
  <c r="E138" i="18"/>
  <c r="E137" i="18"/>
  <c r="D75" i="18"/>
  <c r="E75" i="18" s="1"/>
  <c r="C75" i="18"/>
  <c r="D74" i="18"/>
  <c r="E74" i="18" s="1"/>
  <c r="C74" i="18"/>
  <c r="D73" i="18"/>
  <c r="E73" i="18"/>
  <c r="C73" i="18"/>
  <c r="D72" i="18"/>
  <c r="C72" i="18"/>
  <c r="E72" i="18"/>
  <c r="D71" i="18"/>
  <c r="D70" i="18"/>
  <c r="C70" i="18"/>
  <c r="D69" i="18"/>
  <c r="E69" i="18" s="1"/>
  <c r="C69" i="18"/>
  <c r="D65" i="18"/>
  <c r="E65" i="18" s="1"/>
  <c r="E64" i="18"/>
  <c r="E63" i="18"/>
  <c r="E62" i="18"/>
  <c r="E61" i="18"/>
  <c r="D60" i="18"/>
  <c r="D289" i="18" s="1"/>
  <c r="C60" i="18"/>
  <c r="E59" i="18"/>
  <c r="E58" i="18"/>
  <c r="D54" i="18"/>
  <c r="C54" i="18"/>
  <c r="E53" i="18"/>
  <c r="E52" i="18"/>
  <c r="E51" i="18"/>
  <c r="E50" i="18"/>
  <c r="E49" i="18"/>
  <c r="E48" i="18"/>
  <c r="E47" i="18"/>
  <c r="D42" i="18"/>
  <c r="E42" i="18" s="1"/>
  <c r="C42" i="18"/>
  <c r="D41" i="18"/>
  <c r="E41" i="18" s="1"/>
  <c r="C41" i="18"/>
  <c r="D40" i="18"/>
  <c r="E40" i="18" s="1"/>
  <c r="C40" i="18"/>
  <c r="D39" i="18"/>
  <c r="C39" i="18"/>
  <c r="E39" i="18" s="1"/>
  <c r="D38" i="18"/>
  <c r="E38" i="18" s="1"/>
  <c r="C38" i="18"/>
  <c r="D37" i="18"/>
  <c r="D43" i="18" s="1"/>
  <c r="C37" i="18"/>
  <c r="C43" i="18"/>
  <c r="D36" i="18"/>
  <c r="C36" i="18"/>
  <c r="C44" i="18"/>
  <c r="D33" i="18"/>
  <c r="D32" i="18"/>
  <c r="C32" i="18"/>
  <c r="C33" i="18"/>
  <c r="E31" i="18"/>
  <c r="E30" i="18"/>
  <c r="E29" i="18"/>
  <c r="E28" i="18"/>
  <c r="E27" i="18"/>
  <c r="E26" i="18"/>
  <c r="E25" i="18"/>
  <c r="D21" i="18"/>
  <c r="C21" i="18"/>
  <c r="C22" i="18" s="1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E331" i="17"/>
  <c r="F331" i="17" s="1"/>
  <c r="F330" i="17"/>
  <c r="E330" i="17"/>
  <c r="E329" i="17"/>
  <c r="F329" i="17" s="1"/>
  <c r="F316" i="17"/>
  <c r="E316" i="17"/>
  <c r="F311" i="17"/>
  <c r="D311" i="17"/>
  <c r="E311" i="17"/>
  <c r="C311" i="17"/>
  <c r="E308" i="17"/>
  <c r="F308" i="17"/>
  <c r="D307" i="17"/>
  <c r="E307" i="17" s="1"/>
  <c r="F307" i="17"/>
  <c r="C307" i="17"/>
  <c r="D299" i="17"/>
  <c r="C299" i="17"/>
  <c r="D298" i="17"/>
  <c r="C298" i="17"/>
  <c r="E298" i="17" s="1"/>
  <c r="D297" i="17"/>
  <c r="C297" i="17"/>
  <c r="D296" i="17"/>
  <c r="E296" i="17" s="1"/>
  <c r="F296" i="17" s="1"/>
  <c r="C296" i="17"/>
  <c r="D295" i="17"/>
  <c r="C295" i="17"/>
  <c r="D294" i="17"/>
  <c r="C294" i="17"/>
  <c r="D250" i="17"/>
  <c r="D306" i="17" s="1"/>
  <c r="C250" i="17"/>
  <c r="C306" i="17" s="1"/>
  <c r="E306" i="17" s="1"/>
  <c r="E249" i="17"/>
  <c r="F249" i="17" s="1"/>
  <c r="F248" i="17"/>
  <c r="E248" i="17"/>
  <c r="F245" i="17"/>
  <c r="E245" i="17"/>
  <c r="E244" i="17"/>
  <c r="F244" i="17" s="1"/>
  <c r="E243" i="17"/>
  <c r="F243" i="17" s="1"/>
  <c r="D238" i="17"/>
  <c r="E238" i="17"/>
  <c r="C238" i="17"/>
  <c r="D237" i="17"/>
  <c r="D239" i="17"/>
  <c r="C237" i="17"/>
  <c r="F234" i="17"/>
  <c r="E234" i="17"/>
  <c r="E233" i="17"/>
  <c r="F233" i="17" s="1"/>
  <c r="D230" i="17"/>
  <c r="E230" i="17" s="1"/>
  <c r="C230" i="17"/>
  <c r="D229" i="17"/>
  <c r="E229" i="17"/>
  <c r="C229" i="17"/>
  <c r="E228" i="17"/>
  <c r="F228" i="17"/>
  <c r="D226" i="17"/>
  <c r="D227" i="17"/>
  <c r="C226" i="17"/>
  <c r="C227" i="17" s="1"/>
  <c r="E225" i="17"/>
  <c r="F225" i="17"/>
  <c r="E224" i="17"/>
  <c r="F224" i="17"/>
  <c r="D223" i="17"/>
  <c r="C223" i="17"/>
  <c r="E222" i="17"/>
  <c r="F222" i="17"/>
  <c r="E221" i="17"/>
  <c r="F221" i="17" s="1"/>
  <c r="D204" i="17"/>
  <c r="C204" i="17"/>
  <c r="D203" i="17"/>
  <c r="E203" i="17"/>
  <c r="F203" i="17" s="1"/>
  <c r="C203" i="17"/>
  <c r="C283" i="17"/>
  <c r="D198" i="17"/>
  <c r="E198" i="17"/>
  <c r="C198" i="17"/>
  <c r="C290" i="17"/>
  <c r="D191" i="17"/>
  <c r="D280" i="17" s="1"/>
  <c r="C191" i="17"/>
  <c r="C280" i="17"/>
  <c r="D189" i="17"/>
  <c r="D278" i="17" s="1"/>
  <c r="C189" i="17"/>
  <c r="C278" i="17"/>
  <c r="D188" i="17"/>
  <c r="C188" i="17"/>
  <c r="C277" i="17"/>
  <c r="D180" i="17"/>
  <c r="C180" i="17"/>
  <c r="E180" i="17" s="1"/>
  <c r="D179" i="17"/>
  <c r="C179" i="17"/>
  <c r="D171" i="17"/>
  <c r="C171" i="17"/>
  <c r="D170" i="17"/>
  <c r="C170" i="17"/>
  <c r="F169" i="17"/>
  <c r="E169" i="17"/>
  <c r="F168" i="17"/>
  <c r="E168" i="17"/>
  <c r="D165" i="17"/>
  <c r="E165" i="17"/>
  <c r="C165" i="17"/>
  <c r="F165" i="17" s="1"/>
  <c r="F164" i="17"/>
  <c r="D164" i="17"/>
  <c r="C164" i="17"/>
  <c r="E164" i="17" s="1"/>
  <c r="F163" i="17"/>
  <c r="E163" i="17"/>
  <c r="F158" i="17"/>
  <c r="D158" i="17"/>
  <c r="E158" i="17" s="1"/>
  <c r="C158" i="17"/>
  <c r="C159" i="17"/>
  <c r="F159" i="17"/>
  <c r="F157" i="17"/>
  <c r="E157" i="17"/>
  <c r="F156" i="17"/>
  <c r="E156" i="17"/>
  <c r="F155" i="17"/>
  <c r="D155" i="17"/>
  <c r="C155" i="17"/>
  <c r="E155" i="17" s="1"/>
  <c r="F154" i="17"/>
  <c r="E154" i="17"/>
  <c r="F153" i="17"/>
  <c r="E153" i="17"/>
  <c r="D145" i="17"/>
  <c r="E145" i="17" s="1"/>
  <c r="C145" i="17"/>
  <c r="D144" i="17"/>
  <c r="C144" i="17"/>
  <c r="D136" i="17"/>
  <c r="D137" i="17"/>
  <c r="D138" i="17" s="1"/>
  <c r="E138" i="17" s="1"/>
  <c r="C136" i="17"/>
  <c r="C137" i="17" s="1"/>
  <c r="D135" i="17"/>
  <c r="E135" i="17"/>
  <c r="F135" i="17" s="1"/>
  <c r="C135" i="17"/>
  <c r="E134" i="17"/>
  <c r="F134" i="17" s="1"/>
  <c r="F133" i="17"/>
  <c r="E133" i="17"/>
  <c r="D130" i="17"/>
  <c r="E130" i="17" s="1"/>
  <c r="F130" i="17" s="1"/>
  <c r="C130" i="17"/>
  <c r="D129" i="17"/>
  <c r="E129" i="17"/>
  <c r="F129" i="17" s="1"/>
  <c r="C129" i="17"/>
  <c r="E128" i="17"/>
  <c r="F128" i="17" s="1"/>
  <c r="D123" i="17"/>
  <c r="C123" i="17"/>
  <c r="E122" i="17"/>
  <c r="F122" i="17" s="1"/>
  <c r="E121" i="17"/>
  <c r="F121" i="17" s="1"/>
  <c r="D120" i="17"/>
  <c r="E120" i="17" s="1"/>
  <c r="C120" i="17"/>
  <c r="F119" i="17"/>
  <c r="E119" i="17"/>
  <c r="E118" i="17"/>
  <c r="F118" i="17" s="1"/>
  <c r="D110" i="17"/>
  <c r="E110" i="17" s="1"/>
  <c r="C110" i="17"/>
  <c r="D109" i="17"/>
  <c r="C109" i="17"/>
  <c r="C111" i="17" s="1"/>
  <c r="D101" i="17"/>
  <c r="D102" i="17" s="1"/>
  <c r="C101" i="17"/>
  <c r="C102" i="17"/>
  <c r="D100" i="17"/>
  <c r="C100" i="17"/>
  <c r="F99" i="17"/>
  <c r="E99" i="17"/>
  <c r="E98" i="17"/>
  <c r="F98" i="17" s="1"/>
  <c r="D95" i="17"/>
  <c r="E95" i="17" s="1"/>
  <c r="C95" i="17"/>
  <c r="D94" i="17"/>
  <c r="E94" i="17" s="1"/>
  <c r="C94" i="17"/>
  <c r="F93" i="17"/>
  <c r="E93" i="17"/>
  <c r="D88" i="17"/>
  <c r="D89" i="17"/>
  <c r="E89" i="17" s="1"/>
  <c r="C88" i="17"/>
  <c r="C89" i="17"/>
  <c r="F87" i="17"/>
  <c r="E87" i="17"/>
  <c r="E86" i="17"/>
  <c r="F86" i="17" s="1"/>
  <c r="D85" i="17"/>
  <c r="E85" i="17"/>
  <c r="C85" i="17"/>
  <c r="F84" i="17"/>
  <c r="E84" i="17"/>
  <c r="E83" i="17"/>
  <c r="F83" i="17" s="1"/>
  <c r="D76" i="17"/>
  <c r="D77" i="17" s="1"/>
  <c r="C76" i="17"/>
  <c r="C77" i="17"/>
  <c r="E74" i="17"/>
  <c r="F74" i="17" s="1"/>
  <c r="E73" i="17"/>
  <c r="F73" i="17" s="1"/>
  <c r="D67" i="17"/>
  <c r="D68" i="17" s="1"/>
  <c r="C67" i="17"/>
  <c r="D66" i="17"/>
  <c r="C66" i="17"/>
  <c r="C68" i="17"/>
  <c r="E68" i="17" s="1"/>
  <c r="D59" i="17"/>
  <c r="D60" i="17" s="1"/>
  <c r="C59" i="17"/>
  <c r="C60" i="17"/>
  <c r="D58" i="17"/>
  <c r="C58" i="17"/>
  <c r="E57" i="17"/>
  <c r="F57" i="17"/>
  <c r="E56" i="17"/>
  <c r="F56" i="17" s="1"/>
  <c r="D53" i="17"/>
  <c r="C53" i="17"/>
  <c r="D52" i="17"/>
  <c r="C52" i="17"/>
  <c r="E51" i="17"/>
  <c r="F51" i="17"/>
  <c r="D47" i="17"/>
  <c r="C47" i="17"/>
  <c r="C48" i="17"/>
  <c r="E46" i="17"/>
  <c r="F46" i="17"/>
  <c r="E45" i="17"/>
  <c r="F45" i="17"/>
  <c r="D44" i="17"/>
  <c r="E44" i="17" s="1"/>
  <c r="C44" i="17"/>
  <c r="E43" i="17"/>
  <c r="F43" i="17"/>
  <c r="E42" i="17"/>
  <c r="F42" i="17" s="1"/>
  <c r="D36" i="17"/>
  <c r="D37" i="17" s="1"/>
  <c r="C36" i="17"/>
  <c r="E36" i="17"/>
  <c r="D35" i="17"/>
  <c r="C35" i="17"/>
  <c r="D30" i="17"/>
  <c r="D31" i="17" s="1"/>
  <c r="C30" i="17"/>
  <c r="C31" i="17"/>
  <c r="D29" i="17"/>
  <c r="E29" i="17" s="1"/>
  <c r="F29" i="17" s="1"/>
  <c r="C29" i="17"/>
  <c r="E28" i="17"/>
  <c r="F28" i="17"/>
  <c r="E27" i="17"/>
  <c r="F27" i="17"/>
  <c r="D24" i="17"/>
  <c r="C24" i="17"/>
  <c r="D23" i="17"/>
  <c r="C23" i="17"/>
  <c r="E23" i="17"/>
  <c r="F23" i="17" s="1"/>
  <c r="E22" i="17"/>
  <c r="F22" i="17"/>
  <c r="D20" i="17"/>
  <c r="C20" i="17"/>
  <c r="E19" i="17"/>
  <c r="F19" i="17"/>
  <c r="E18" i="17"/>
  <c r="F18" i="17"/>
  <c r="D17" i="17"/>
  <c r="C17" i="17"/>
  <c r="E16" i="17"/>
  <c r="F16" i="17" s="1"/>
  <c r="E15" i="17"/>
  <c r="F15" i="17"/>
  <c r="D25" i="16"/>
  <c r="C25" i="16"/>
  <c r="F24" i="16"/>
  <c r="E24" i="16"/>
  <c r="E23" i="16"/>
  <c r="F23" i="16" s="1"/>
  <c r="E22" i="16"/>
  <c r="F22" i="16" s="1"/>
  <c r="D19" i="16"/>
  <c r="C19" i="16"/>
  <c r="E18" i="16"/>
  <c r="F18" i="16" s="1"/>
  <c r="F17" i="16"/>
  <c r="E17" i="16"/>
  <c r="D14" i="16"/>
  <c r="C14" i="16"/>
  <c r="E13" i="16"/>
  <c r="F13" i="16" s="1"/>
  <c r="F12" i="16"/>
  <c r="E12" i="16"/>
  <c r="D107" i="15"/>
  <c r="C107" i="15"/>
  <c r="E106" i="15"/>
  <c r="F106" i="15" s="1"/>
  <c r="E105" i="15"/>
  <c r="F105" i="15" s="1"/>
  <c r="E104" i="15"/>
  <c r="F104" i="15" s="1"/>
  <c r="D100" i="15"/>
  <c r="E100" i="15"/>
  <c r="C100" i="15"/>
  <c r="F99" i="15"/>
  <c r="E99" i="15"/>
  <c r="F98" i="15"/>
  <c r="E98" i="15"/>
  <c r="E97" i="15"/>
  <c r="F97" i="15" s="1"/>
  <c r="E96" i="15"/>
  <c r="F96" i="15" s="1"/>
  <c r="E95" i="15"/>
  <c r="F95" i="15" s="1"/>
  <c r="D92" i="15"/>
  <c r="E92" i="15"/>
  <c r="F92" i="15" s="1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E85" i="15"/>
  <c r="F85" i="15" s="1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D70" i="15"/>
  <c r="C70" i="15"/>
  <c r="E69" i="15"/>
  <c r="F69" i="15" s="1"/>
  <c r="E68" i="15"/>
  <c r="F68" i="15" s="1"/>
  <c r="D65" i="15"/>
  <c r="C65" i="15"/>
  <c r="F64" i="15"/>
  <c r="E64" i="15"/>
  <c r="E63" i="15"/>
  <c r="F63" i="15" s="1"/>
  <c r="F60" i="15"/>
  <c r="D60" i="15"/>
  <c r="C60" i="15"/>
  <c r="F59" i="15"/>
  <c r="E59" i="15"/>
  <c r="E60" i="15" s="1"/>
  <c r="F58" i="15"/>
  <c r="E58" i="15"/>
  <c r="D55" i="15"/>
  <c r="C55" i="15"/>
  <c r="F55" i="15" s="1"/>
  <c r="F54" i="15"/>
  <c r="E54" i="15"/>
  <c r="F53" i="15"/>
  <c r="E53" i="15"/>
  <c r="D50" i="15"/>
  <c r="E50" i="15" s="1"/>
  <c r="C50" i="15"/>
  <c r="F49" i="15"/>
  <c r="E49" i="15"/>
  <c r="E48" i="15"/>
  <c r="F48" i="15" s="1"/>
  <c r="D45" i="15"/>
  <c r="E45" i="15" s="1"/>
  <c r="C45" i="15"/>
  <c r="E44" i="15"/>
  <c r="F44" i="15" s="1"/>
  <c r="E43" i="15"/>
  <c r="F43" i="15" s="1"/>
  <c r="D37" i="15"/>
  <c r="C37" i="15"/>
  <c r="F36" i="15"/>
  <c r="E36" i="15"/>
  <c r="F35" i="15"/>
  <c r="E35" i="15"/>
  <c r="F34" i="15"/>
  <c r="E34" i="15"/>
  <c r="E33" i="15"/>
  <c r="F33" i="15" s="1"/>
  <c r="D30" i="15"/>
  <c r="E30" i="15" s="1"/>
  <c r="C30" i="15"/>
  <c r="F29" i="15"/>
  <c r="E29" i="15"/>
  <c r="F28" i="15"/>
  <c r="E28" i="15"/>
  <c r="E27" i="15"/>
  <c r="F27" i="15" s="1"/>
  <c r="F26" i="15"/>
  <c r="E26" i="15"/>
  <c r="D23" i="15"/>
  <c r="C23" i="15"/>
  <c r="F22" i="15"/>
  <c r="E22" i="15"/>
  <c r="E21" i="15"/>
  <c r="F21" i="15" s="1"/>
  <c r="E20" i="15"/>
  <c r="F20" i="15" s="1"/>
  <c r="E19" i="15"/>
  <c r="F19" i="15" s="1"/>
  <c r="D16" i="15"/>
  <c r="E16" i="15"/>
  <c r="C16" i="15"/>
  <c r="F15" i="15"/>
  <c r="E15" i="15"/>
  <c r="E14" i="15"/>
  <c r="F14" i="15" s="1"/>
  <c r="F13" i="15"/>
  <c r="E13" i="15"/>
  <c r="E12" i="15"/>
  <c r="F12" i="15" s="1"/>
  <c r="I37" i="14"/>
  <c r="H37" i="14"/>
  <c r="E31" i="14"/>
  <c r="C31" i="14"/>
  <c r="I31" i="14" s="1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G33" i="14"/>
  <c r="F17" i="14"/>
  <c r="F33" i="14"/>
  <c r="E17" i="14"/>
  <c r="E33" i="14"/>
  <c r="E36" i="14"/>
  <c r="E38" i="14"/>
  <c r="E40" i="14" s="1"/>
  <c r="D17" i="14"/>
  <c r="D33" i="14"/>
  <c r="D36" i="14" s="1"/>
  <c r="D38" i="14" s="1"/>
  <c r="D40" i="14" s="1"/>
  <c r="C17" i="14"/>
  <c r="C33" i="14"/>
  <c r="C36" i="14" s="1"/>
  <c r="C38" i="14" s="1"/>
  <c r="C40" i="14" s="1"/>
  <c r="I16" i="14"/>
  <c r="H16" i="14"/>
  <c r="I15" i="14"/>
  <c r="H15" i="14"/>
  <c r="I13" i="14"/>
  <c r="H13" i="14"/>
  <c r="I11" i="14"/>
  <c r="H11" i="14"/>
  <c r="E79" i="13"/>
  <c r="E80" i="13" s="1"/>
  <c r="E77" i="13" s="1"/>
  <c r="D79" i="13"/>
  <c r="C79" i="13"/>
  <c r="E78" i="13"/>
  <c r="D78" i="13"/>
  <c r="D80" i="13" s="1"/>
  <c r="D77" i="13" s="1"/>
  <c r="C78" i="13"/>
  <c r="C80" i="13"/>
  <c r="C77" i="13"/>
  <c r="E75" i="13"/>
  <c r="E73" i="13"/>
  <c r="D73" i="13"/>
  <c r="D75" i="13" s="1"/>
  <c r="C73" i="13"/>
  <c r="C75" i="13" s="1"/>
  <c r="E71" i="13"/>
  <c r="D71" i="13"/>
  <c r="C71" i="13"/>
  <c r="E66" i="13"/>
  <c r="E65" i="13"/>
  <c r="D66" i="13"/>
  <c r="D65" i="13" s="1"/>
  <c r="C66" i="13"/>
  <c r="C65" i="13" s="1"/>
  <c r="E60" i="13"/>
  <c r="D60" i="13"/>
  <c r="C60" i="13"/>
  <c r="E58" i="13"/>
  <c r="D58" i="13"/>
  <c r="C58" i="13"/>
  <c r="E55" i="13"/>
  <c r="D55" i="13"/>
  <c r="D50" i="13" s="1"/>
  <c r="C55" i="13"/>
  <c r="E54" i="13"/>
  <c r="E50" i="13"/>
  <c r="D54" i="13"/>
  <c r="C54" i="13"/>
  <c r="C50" i="13"/>
  <c r="C48" i="13"/>
  <c r="E46" i="13"/>
  <c r="E48" i="13" s="1"/>
  <c r="E42" i="13" s="1"/>
  <c r="D46" i="13"/>
  <c r="D59" i="13"/>
  <c r="D61" i="13"/>
  <c r="D57" i="13" s="1"/>
  <c r="C46" i="13"/>
  <c r="C59" i="13" s="1"/>
  <c r="C61" i="13" s="1"/>
  <c r="C57" i="13" s="1"/>
  <c r="E45" i="13"/>
  <c r="D45" i="13"/>
  <c r="C45" i="13"/>
  <c r="C42" i="13" s="1"/>
  <c r="E38" i="13"/>
  <c r="D38" i="13"/>
  <c r="C38" i="13"/>
  <c r="E33" i="13"/>
  <c r="E34" i="13" s="1"/>
  <c r="D33" i="13"/>
  <c r="D34" i="13"/>
  <c r="E26" i="13"/>
  <c r="D26" i="13"/>
  <c r="C26" i="13"/>
  <c r="E13" i="13"/>
  <c r="D13" i="13"/>
  <c r="D25" i="13" s="1"/>
  <c r="D27" i="13" s="1"/>
  <c r="C13" i="13"/>
  <c r="D47" i="12"/>
  <c r="C47" i="12"/>
  <c r="F46" i="12"/>
  <c r="E46" i="12"/>
  <c r="F45" i="12"/>
  <c r="E45" i="12"/>
  <c r="D40" i="12"/>
  <c r="E40" i="12" s="1"/>
  <c r="F40" i="12"/>
  <c r="C40" i="12"/>
  <c r="F39" i="12"/>
  <c r="E39" i="12"/>
  <c r="E38" i="12"/>
  <c r="F38" i="12" s="1"/>
  <c r="F37" i="12"/>
  <c r="E37" i="12"/>
  <c r="D32" i="12"/>
  <c r="E32" i="12"/>
  <c r="F32" i="12" s="1"/>
  <c r="C32" i="12"/>
  <c r="E31" i="12"/>
  <c r="F31" i="12" s="1"/>
  <c r="F30" i="12"/>
  <c r="E30" i="12"/>
  <c r="E29" i="12"/>
  <c r="F29" i="12" s="1"/>
  <c r="F28" i="12"/>
  <c r="E28" i="12"/>
  <c r="E27" i="12"/>
  <c r="F27" i="12" s="1"/>
  <c r="F26" i="12"/>
  <c r="E26" i="12"/>
  <c r="F25" i="12"/>
  <c r="E25" i="12"/>
  <c r="F24" i="12"/>
  <c r="E24" i="12"/>
  <c r="E23" i="12"/>
  <c r="F23" i="12" s="1"/>
  <c r="F19" i="12"/>
  <c r="E19" i="12"/>
  <c r="F18" i="12"/>
  <c r="E18" i="12"/>
  <c r="F16" i="12"/>
  <c r="E16" i="12"/>
  <c r="D15" i="12"/>
  <c r="D17" i="12"/>
  <c r="C15" i="12"/>
  <c r="C17" i="12" s="1"/>
  <c r="F14" i="12"/>
  <c r="E14" i="12"/>
  <c r="F13" i="12"/>
  <c r="E13" i="12"/>
  <c r="E12" i="12"/>
  <c r="F12" i="12" s="1"/>
  <c r="F11" i="12"/>
  <c r="E11" i="12"/>
  <c r="D73" i="11"/>
  <c r="E73" i="11"/>
  <c r="F73" i="11" s="1"/>
  <c r="C73" i="11"/>
  <c r="E72" i="11"/>
  <c r="F72" i="11" s="1"/>
  <c r="F71" i="11"/>
  <c r="E71" i="11"/>
  <c r="E70" i="11"/>
  <c r="F70" i="11" s="1"/>
  <c r="F67" i="11"/>
  <c r="E67" i="11"/>
  <c r="E64" i="11"/>
  <c r="F64" i="11" s="1"/>
  <c r="F63" i="11"/>
  <c r="E63" i="11"/>
  <c r="D61" i="11"/>
  <c r="D65" i="11" s="1"/>
  <c r="E65" i="11" s="1"/>
  <c r="F65" i="11" s="1"/>
  <c r="C61" i="11"/>
  <c r="C65" i="11"/>
  <c r="F60" i="11"/>
  <c r="E60" i="11"/>
  <c r="E59" i="11"/>
  <c r="F59" i="11" s="1"/>
  <c r="D56" i="11"/>
  <c r="C56" i="11"/>
  <c r="C75" i="11"/>
  <c r="F55" i="11"/>
  <c r="E55" i="11"/>
  <c r="E54" i="11"/>
  <c r="F54" i="11"/>
  <c r="F53" i="11"/>
  <c r="E53" i="11"/>
  <c r="F52" i="11"/>
  <c r="E52" i="11"/>
  <c r="F51" i="11"/>
  <c r="E51" i="11"/>
  <c r="A51" i="11"/>
  <c r="A52" i="11"/>
  <c r="A53" i="11"/>
  <c r="A54" i="11" s="1"/>
  <c r="A55" i="11" s="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E36" i="11"/>
  <c r="F36" i="11" s="1"/>
  <c r="F33" i="11"/>
  <c r="E33" i="11"/>
  <c r="E32" i="11"/>
  <c r="F32" i="11" s="1"/>
  <c r="F31" i="11"/>
  <c r="E31" i="11"/>
  <c r="D29" i="11"/>
  <c r="C29" i="11"/>
  <c r="E29" i="11" s="1"/>
  <c r="E28" i="11"/>
  <c r="F28" i="11" s="1"/>
  <c r="F27" i="11"/>
  <c r="E27" i="11"/>
  <c r="E26" i="11"/>
  <c r="F26" i="11" s="1"/>
  <c r="E25" i="11"/>
  <c r="F25" i="11" s="1"/>
  <c r="D22" i="11"/>
  <c r="D43" i="11"/>
  <c r="C22" i="11"/>
  <c r="E21" i="11"/>
  <c r="F21" i="11" s="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E13" i="11"/>
  <c r="F13" i="11" s="1"/>
  <c r="D120" i="10"/>
  <c r="C120" i="10"/>
  <c r="D119" i="10"/>
  <c r="C119" i="10"/>
  <c r="D118" i="10"/>
  <c r="E118" i="10"/>
  <c r="C118" i="10"/>
  <c r="F118" i="10" s="1"/>
  <c r="F117" i="10"/>
  <c r="D117" i="10"/>
  <c r="C117" i="10"/>
  <c r="E117" i="10" s="1"/>
  <c r="F116" i="10"/>
  <c r="D116" i="10"/>
  <c r="E116" i="10"/>
  <c r="C116" i="10"/>
  <c r="F115" i="10"/>
  <c r="D115" i="10"/>
  <c r="C115" i="10"/>
  <c r="E115" i="10" s="1"/>
  <c r="D114" i="10"/>
  <c r="C114" i="10"/>
  <c r="F113" i="10"/>
  <c r="D113" i="10"/>
  <c r="D122" i="10"/>
  <c r="C113" i="10"/>
  <c r="C122" i="10" s="1"/>
  <c r="E122" i="10" s="1"/>
  <c r="F122" i="10"/>
  <c r="F112" i="10"/>
  <c r="D112" i="10"/>
  <c r="D121" i="10" s="1"/>
  <c r="C112" i="10"/>
  <c r="C121" i="10"/>
  <c r="F121" i="10"/>
  <c r="D108" i="10"/>
  <c r="C108" i="10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D95" i="10"/>
  <c r="E95" i="10" s="1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D59" i="10"/>
  <c r="E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C205" i="9"/>
  <c r="D204" i="9"/>
  <c r="C204" i="9"/>
  <c r="D203" i="9"/>
  <c r="F203" i="9"/>
  <c r="C203" i="9"/>
  <c r="E203" i="9" s="1"/>
  <c r="D202" i="9"/>
  <c r="E202" i="9"/>
  <c r="C202" i="9"/>
  <c r="F202" i="9" s="1"/>
  <c r="D201" i="9"/>
  <c r="C201" i="9"/>
  <c r="D200" i="9"/>
  <c r="E200" i="9"/>
  <c r="F200" i="9" s="1"/>
  <c r="C200" i="9"/>
  <c r="D199" i="9"/>
  <c r="C199" i="9"/>
  <c r="D198" i="9"/>
  <c r="E198" i="9" s="1"/>
  <c r="F198" i="9"/>
  <c r="C198" i="9"/>
  <c r="C207" i="9"/>
  <c r="F193" i="9"/>
  <c r="D193" i="9"/>
  <c r="E193" i="9" s="1"/>
  <c r="C193" i="9"/>
  <c r="D192" i="9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E180" i="9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 s="1"/>
  <c r="C141" i="9"/>
  <c r="D140" i="9"/>
  <c r="C140" i="9"/>
  <c r="F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C128" i="9"/>
  <c r="F128" i="9" s="1"/>
  <c r="D127" i="9"/>
  <c r="E127" i="9" s="1"/>
  <c r="C127" i="9"/>
  <c r="F127" i="9" s="1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 s="1"/>
  <c r="C115" i="9"/>
  <c r="D114" i="9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C102" i="9"/>
  <c r="F102" i="9" s="1"/>
  <c r="D101" i="9"/>
  <c r="C101" i="9"/>
  <c r="F101" i="9" s="1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 s="1"/>
  <c r="C89" i="9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F75" i="9"/>
  <c r="C75" i="9"/>
  <c r="E74" i="9"/>
  <c r="F74" i="9" s="1"/>
  <c r="E73" i="9"/>
  <c r="F73" i="9" s="1"/>
  <c r="E72" i="9"/>
  <c r="F72" i="9" s="1"/>
  <c r="F71" i="9"/>
  <c r="E71" i="9"/>
  <c r="E70" i="9"/>
  <c r="F70" i="9" s="1"/>
  <c r="E69" i="9"/>
  <c r="F69" i="9" s="1"/>
  <c r="E68" i="9"/>
  <c r="F68" i="9" s="1"/>
  <c r="F67" i="9"/>
  <c r="E67" i="9"/>
  <c r="E66" i="9"/>
  <c r="F66" i="9" s="1"/>
  <c r="D63" i="9"/>
  <c r="E63" i="9"/>
  <c r="C63" i="9"/>
  <c r="F63" i="9" s="1"/>
  <c r="F62" i="9"/>
  <c r="D62" i="9"/>
  <c r="E62" i="9" s="1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 s="1"/>
  <c r="C50" i="9"/>
  <c r="D49" i="9"/>
  <c r="E49" i="9"/>
  <c r="C49" i="9"/>
  <c r="F48" i="9"/>
  <c r="E48" i="9"/>
  <c r="F47" i="9"/>
  <c r="E47" i="9"/>
  <c r="E46" i="9"/>
  <c r="F46" i="9" s="1"/>
  <c r="E45" i="9"/>
  <c r="F45" i="9" s="1"/>
  <c r="F44" i="9"/>
  <c r="E44" i="9"/>
  <c r="F43" i="9"/>
  <c r="E43" i="9"/>
  <c r="E42" i="9"/>
  <c r="F42" i="9" s="1"/>
  <c r="E41" i="9"/>
  <c r="F41" i="9" s="1"/>
  <c r="F40" i="9"/>
  <c r="E40" i="9"/>
  <c r="F37" i="9"/>
  <c r="D37" i="9"/>
  <c r="E37" i="9" s="1"/>
  <c r="C37" i="9"/>
  <c r="D36" i="9"/>
  <c r="E36" i="9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C24" i="9"/>
  <c r="D23" i="9"/>
  <c r="E23" i="9"/>
  <c r="F23" i="9" s="1"/>
  <c r="C23" i="9"/>
  <c r="E22" i="9"/>
  <c r="F22" i="9" s="1"/>
  <c r="E21" i="9"/>
  <c r="F21" i="9" s="1"/>
  <c r="F20" i="9"/>
  <c r="E20" i="9"/>
  <c r="F19" i="9"/>
  <c r="E19" i="9"/>
  <c r="E18" i="9"/>
  <c r="F18" i="9" s="1"/>
  <c r="E17" i="9"/>
  <c r="F17" i="9" s="1"/>
  <c r="F16" i="9"/>
  <c r="E16" i="9"/>
  <c r="F15" i="9"/>
  <c r="E15" i="9"/>
  <c r="E14" i="9"/>
  <c r="F14" i="9" s="1"/>
  <c r="E191" i="8"/>
  <c r="D191" i="8"/>
  <c r="C191" i="8"/>
  <c r="E176" i="8"/>
  <c r="D176" i="8"/>
  <c r="C176" i="8"/>
  <c r="E164" i="8"/>
  <c r="D164" i="8"/>
  <c r="D160" i="8" s="1"/>
  <c r="C164" i="8"/>
  <c r="E162" i="8"/>
  <c r="D162" i="8"/>
  <c r="D166" i="8" s="1"/>
  <c r="C162" i="8"/>
  <c r="E161" i="8"/>
  <c r="D161" i="8"/>
  <c r="C161" i="8"/>
  <c r="E160" i="8"/>
  <c r="C160" i="8"/>
  <c r="C166" i="8"/>
  <c r="E147" i="8"/>
  <c r="E143" i="8" s="1"/>
  <c r="E149" i="8" s="1"/>
  <c r="D147" i="8"/>
  <c r="D143" i="8"/>
  <c r="D149" i="8" s="1"/>
  <c r="C147" i="8"/>
  <c r="E145" i="8"/>
  <c r="D145" i="8"/>
  <c r="C145" i="8"/>
  <c r="E144" i="8"/>
  <c r="D144" i="8"/>
  <c r="C144" i="8"/>
  <c r="C149" i="8" s="1"/>
  <c r="C143" i="8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D109" i="8"/>
  <c r="D106" i="8" s="1"/>
  <c r="C107" i="8"/>
  <c r="C109" i="8"/>
  <c r="C106" i="8" s="1"/>
  <c r="E104" i="8"/>
  <c r="C104" i="8"/>
  <c r="E102" i="8"/>
  <c r="D102" i="8"/>
  <c r="D104" i="8"/>
  <c r="D98" i="8" s="1"/>
  <c r="C102" i="8"/>
  <c r="E100" i="8"/>
  <c r="D100" i="8"/>
  <c r="C100" i="8"/>
  <c r="E95" i="8"/>
  <c r="E94" i="8" s="1"/>
  <c r="D95" i="8"/>
  <c r="D94" i="8" s="1"/>
  <c r="C95" i="8"/>
  <c r="C94" i="8"/>
  <c r="E89" i="8"/>
  <c r="D89" i="8"/>
  <c r="C89" i="8"/>
  <c r="C88" i="8"/>
  <c r="C90" i="8" s="1"/>
  <c r="C86" i="8" s="1"/>
  <c r="E87" i="8"/>
  <c r="D87" i="8"/>
  <c r="C87" i="8"/>
  <c r="E84" i="8"/>
  <c r="D84" i="8"/>
  <c r="D79" i="8" s="1"/>
  <c r="C84" i="8"/>
  <c r="C79" i="8" s="1"/>
  <c r="E83" i="8"/>
  <c r="D83" i="8"/>
  <c r="C83" i="8"/>
  <c r="E77" i="8"/>
  <c r="E71" i="8" s="1"/>
  <c r="C77" i="8"/>
  <c r="C71" i="8" s="1"/>
  <c r="E75" i="8"/>
  <c r="E88" i="8" s="1"/>
  <c r="E90" i="8" s="1"/>
  <c r="E86" i="8" s="1"/>
  <c r="D75" i="8"/>
  <c r="D88" i="8" s="1"/>
  <c r="D90" i="8" s="1"/>
  <c r="D86" i="8" s="1"/>
  <c r="C75" i="8"/>
  <c r="E74" i="8"/>
  <c r="D74" i="8"/>
  <c r="C74" i="8"/>
  <c r="E67" i="8"/>
  <c r="D67" i="8"/>
  <c r="C67" i="8"/>
  <c r="D53" i="8"/>
  <c r="E38" i="8"/>
  <c r="D38" i="8"/>
  <c r="D57" i="8" s="1"/>
  <c r="D62" i="8"/>
  <c r="C38" i="8"/>
  <c r="C53" i="8" s="1"/>
  <c r="C57" i="8"/>
  <c r="C62" i="8" s="1"/>
  <c r="E33" i="8"/>
  <c r="E34" i="8" s="1"/>
  <c r="D33" i="8"/>
  <c r="D34" i="8" s="1"/>
  <c r="E26" i="8"/>
  <c r="D26" i="8"/>
  <c r="C26" i="8"/>
  <c r="C27" i="8" s="1"/>
  <c r="C22" i="8" s="1"/>
  <c r="E25" i="8"/>
  <c r="C25" i="8"/>
  <c r="E24" i="8"/>
  <c r="C15" i="8"/>
  <c r="C24" i="8"/>
  <c r="C20" i="8" s="1"/>
  <c r="E13" i="8"/>
  <c r="E15" i="8" s="1"/>
  <c r="D13" i="8"/>
  <c r="D25" i="8" s="1"/>
  <c r="D27" i="8" s="1"/>
  <c r="C13" i="8"/>
  <c r="F186" i="7"/>
  <c r="E186" i="7"/>
  <c r="D183" i="7"/>
  <c r="C183" i="7"/>
  <c r="C188" i="7"/>
  <c r="E182" i="7"/>
  <c r="F182" i="7" s="1"/>
  <c r="F181" i="7"/>
  <c r="E181" i="7"/>
  <c r="F180" i="7"/>
  <c r="E180" i="7"/>
  <c r="E179" i="7"/>
  <c r="F179" i="7" s="1"/>
  <c r="F178" i="7"/>
  <c r="E178" i="7"/>
  <c r="F177" i="7"/>
  <c r="E177" i="7"/>
  <c r="F176" i="7"/>
  <c r="E176" i="7"/>
  <c r="E175" i="7"/>
  <c r="F175" i="7" s="1"/>
  <c r="F174" i="7"/>
  <c r="E174" i="7"/>
  <c r="F173" i="7"/>
  <c r="E173" i="7"/>
  <c r="F172" i="7"/>
  <c r="E172" i="7"/>
  <c r="E171" i="7"/>
  <c r="F171" i="7" s="1"/>
  <c r="E170" i="7"/>
  <c r="F170" i="7" s="1"/>
  <c r="D167" i="7"/>
  <c r="E167" i="7" s="1"/>
  <c r="F167" i="7" s="1"/>
  <c r="C167" i="7"/>
  <c r="E166" i="7"/>
  <c r="F166" i="7" s="1"/>
  <c r="F165" i="7"/>
  <c r="E165" i="7"/>
  <c r="E164" i="7"/>
  <c r="F164" i="7" s="1"/>
  <c r="F163" i="7"/>
  <c r="E163" i="7"/>
  <c r="F162" i="7"/>
  <c r="E162" i="7"/>
  <c r="E161" i="7"/>
  <c r="F161" i="7" s="1"/>
  <c r="F160" i="7"/>
  <c r="E160" i="7"/>
  <c r="F159" i="7"/>
  <c r="E159" i="7"/>
  <c r="E158" i="7"/>
  <c r="F158" i="7" s="1"/>
  <c r="E157" i="7"/>
  <c r="F157" i="7" s="1"/>
  <c r="F156" i="7"/>
  <c r="E156" i="7"/>
  <c r="F155" i="7"/>
  <c r="E155" i="7"/>
  <c r="E154" i="7"/>
  <c r="F154" i="7" s="1"/>
  <c r="F153" i="7"/>
  <c r="E153" i="7"/>
  <c r="E152" i="7"/>
  <c r="F152" i="7" s="1"/>
  <c r="F151" i="7"/>
  <c r="E151" i="7"/>
  <c r="E150" i="7"/>
  <c r="F150" i="7" s="1"/>
  <c r="F149" i="7"/>
  <c r="E149" i="7"/>
  <c r="F148" i="7"/>
  <c r="E148" i="7"/>
  <c r="F147" i="7"/>
  <c r="E147" i="7"/>
  <c r="E146" i="7"/>
  <c r="F146" i="7" s="1"/>
  <c r="F145" i="7"/>
  <c r="E145" i="7"/>
  <c r="E144" i="7"/>
  <c r="F144" i="7" s="1"/>
  <c r="F143" i="7"/>
  <c r="E143" i="7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F136" i="7"/>
  <c r="E136" i="7"/>
  <c r="F135" i="7"/>
  <c r="E135" i="7"/>
  <c r="E134" i="7"/>
  <c r="F134" i="7" s="1"/>
  <c r="E133" i="7"/>
  <c r="F133" i="7" s="1"/>
  <c r="D130" i="7"/>
  <c r="E130" i="7"/>
  <c r="F130" i="7" s="1"/>
  <c r="C130" i="7"/>
  <c r="E129" i="7"/>
  <c r="F129" i="7" s="1"/>
  <c r="E128" i="7"/>
  <c r="F128" i="7" s="1"/>
  <c r="E127" i="7"/>
  <c r="F127" i="7" s="1"/>
  <c r="F126" i="7"/>
  <c r="E126" i="7"/>
  <c r="E125" i="7"/>
  <c r="F125" i="7" s="1"/>
  <c r="E124" i="7"/>
  <c r="F124" i="7" s="1"/>
  <c r="D121" i="7"/>
  <c r="E121" i="7"/>
  <c r="F121" i="7" s="1"/>
  <c r="C121" i="7"/>
  <c r="E120" i="7"/>
  <c r="F120" i="7" s="1"/>
  <c r="E119" i="7"/>
  <c r="F119" i="7" s="1"/>
  <c r="F118" i="7"/>
  <c r="E118" i="7"/>
  <c r="F117" i="7"/>
  <c r="E117" i="7"/>
  <c r="E116" i="7"/>
  <c r="F116" i="7" s="1"/>
  <c r="E115" i="7"/>
  <c r="F115" i="7" s="1"/>
  <c r="F114" i="7"/>
  <c r="E114" i="7"/>
  <c r="F113" i="7"/>
  <c r="E113" i="7"/>
  <c r="E112" i="7"/>
  <c r="F112" i="7" s="1"/>
  <c r="E111" i="7"/>
  <c r="F111" i="7" s="1"/>
  <c r="E110" i="7"/>
  <c r="F110" i="7" s="1"/>
  <c r="F109" i="7"/>
  <c r="E109" i="7"/>
  <c r="E108" i="7"/>
  <c r="F108" i="7" s="1"/>
  <c r="E107" i="7"/>
  <c r="F107" i="7" s="1"/>
  <c r="E106" i="7"/>
  <c r="F106" i="7" s="1"/>
  <c r="F105" i="7"/>
  <c r="E105" i="7"/>
  <c r="E104" i="7"/>
  <c r="F104" i="7" s="1"/>
  <c r="E103" i="7"/>
  <c r="F103" i="7" s="1"/>
  <c r="F93" i="7"/>
  <c r="E93" i="7"/>
  <c r="D90" i="7"/>
  <c r="C90" i="7"/>
  <c r="E89" i="7"/>
  <c r="F89" i="7" s="1"/>
  <c r="E88" i="7"/>
  <c r="F88" i="7" s="1"/>
  <c r="F87" i="7"/>
  <c r="E87" i="7"/>
  <c r="F86" i="7"/>
  <c r="E86" i="7"/>
  <c r="F85" i="7"/>
  <c r="E85" i="7"/>
  <c r="E84" i="7"/>
  <c r="F84" i="7" s="1"/>
  <c r="F83" i="7"/>
  <c r="E83" i="7"/>
  <c r="F82" i="7"/>
  <c r="E82" i="7"/>
  <c r="E81" i="7"/>
  <c r="F81" i="7" s="1"/>
  <c r="E80" i="7"/>
  <c r="F80" i="7" s="1"/>
  <c r="F79" i="7"/>
  <c r="E79" i="7"/>
  <c r="F78" i="7"/>
  <c r="E78" i="7"/>
  <c r="F77" i="7"/>
  <c r="E77" i="7"/>
  <c r="E76" i="7"/>
  <c r="F76" i="7" s="1"/>
  <c r="F75" i="7"/>
  <c r="E75" i="7"/>
  <c r="F74" i="7"/>
  <c r="E74" i="7"/>
  <c r="E73" i="7"/>
  <c r="F73" i="7" s="1"/>
  <c r="F72" i="7"/>
  <c r="E72" i="7"/>
  <c r="F71" i="7"/>
  <c r="E71" i="7"/>
  <c r="F70" i="7"/>
  <c r="E70" i="7"/>
  <c r="E69" i="7"/>
  <c r="F69" i="7" s="1"/>
  <c r="E68" i="7"/>
  <c r="F68" i="7" s="1"/>
  <c r="F67" i="7"/>
  <c r="E67" i="7"/>
  <c r="F66" i="7"/>
  <c r="E66" i="7"/>
  <c r="E65" i="7"/>
  <c r="F65" i="7" s="1"/>
  <c r="F64" i="7"/>
  <c r="E64" i="7"/>
  <c r="F63" i="7"/>
  <c r="E63" i="7"/>
  <c r="F62" i="7"/>
  <c r="E62" i="7"/>
  <c r="D59" i="7"/>
  <c r="E59" i="7"/>
  <c r="F59" i="7" s="1"/>
  <c r="C59" i="7"/>
  <c r="F58" i="7"/>
  <c r="E58" i="7"/>
  <c r="F57" i="7"/>
  <c r="E57" i="7"/>
  <c r="E56" i="7"/>
  <c r="F56" i="7" s="1"/>
  <c r="F55" i="7"/>
  <c r="E55" i="7"/>
  <c r="F54" i="7"/>
  <c r="E54" i="7"/>
  <c r="F53" i="7"/>
  <c r="E53" i="7"/>
  <c r="E50" i="7"/>
  <c r="F50" i="7" s="1"/>
  <c r="E47" i="7"/>
  <c r="F47" i="7" s="1"/>
  <c r="F44" i="7"/>
  <c r="E44" i="7"/>
  <c r="D41" i="7"/>
  <c r="C41" i="7"/>
  <c r="E40" i="7"/>
  <c r="F40" i="7" s="1"/>
  <c r="F39" i="7"/>
  <c r="E39" i="7"/>
  <c r="F38" i="7"/>
  <c r="E38" i="7"/>
  <c r="D35" i="7"/>
  <c r="C35" i="7"/>
  <c r="F34" i="7"/>
  <c r="E34" i="7"/>
  <c r="F33" i="7"/>
  <c r="E33" i="7"/>
  <c r="D30" i="7"/>
  <c r="C30" i="7"/>
  <c r="F29" i="7"/>
  <c r="E29" i="7"/>
  <c r="F28" i="7"/>
  <c r="E28" i="7"/>
  <c r="F27" i="7"/>
  <c r="E27" i="7"/>
  <c r="D24" i="7"/>
  <c r="E24" i="7"/>
  <c r="F24" i="7" s="1"/>
  <c r="C24" i="7"/>
  <c r="F23" i="7"/>
  <c r="E23" i="7"/>
  <c r="F22" i="7"/>
  <c r="E22" i="7"/>
  <c r="E21" i="7"/>
  <c r="F21" i="7" s="1"/>
  <c r="D18" i="7"/>
  <c r="E18" i="7" s="1"/>
  <c r="F18" i="7" s="1"/>
  <c r="C18" i="7"/>
  <c r="E17" i="7"/>
  <c r="F17" i="7" s="1"/>
  <c r="E16" i="7"/>
  <c r="F16" i="7" s="1"/>
  <c r="F15" i="7"/>
  <c r="E15" i="7"/>
  <c r="D179" i="6"/>
  <c r="E179" i="6" s="1"/>
  <c r="F179" i="6" s="1"/>
  <c r="C179" i="6"/>
  <c r="F178" i="6"/>
  <c r="E178" i="6"/>
  <c r="F177" i="6"/>
  <c r="E177" i="6"/>
  <c r="E176" i="6"/>
  <c r="F176" i="6" s="1"/>
  <c r="E175" i="6"/>
  <c r="F175" i="6" s="1"/>
  <c r="F174" i="6"/>
  <c r="E174" i="6"/>
  <c r="E173" i="6"/>
  <c r="F173" i="6" s="1"/>
  <c r="E172" i="6"/>
  <c r="F172" i="6" s="1"/>
  <c r="F171" i="6"/>
  <c r="E171" i="6"/>
  <c r="F170" i="6"/>
  <c r="E170" i="6"/>
  <c r="F169" i="6"/>
  <c r="E169" i="6"/>
  <c r="E168" i="6"/>
  <c r="F168" i="6" s="1"/>
  <c r="D166" i="6"/>
  <c r="C166" i="6"/>
  <c r="F165" i="6"/>
  <c r="E165" i="6"/>
  <c r="F164" i="6"/>
  <c r="E164" i="6"/>
  <c r="E163" i="6"/>
  <c r="F163" i="6" s="1"/>
  <c r="F162" i="6"/>
  <c r="E162" i="6"/>
  <c r="F161" i="6"/>
  <c r="E161" i="6"/>
  <c r="E160" i="6"/>
  <c r="F160" i="6" s="1"/>
  <c r="E159" i="6"/>
  <c r="F159" i="6" s="1"/>
  <c r="F158" i="6"/>
  <c r="E158" i="6"/>
  <c r="F157" i="6"/>
  <c r="E157" i="6"/>
  <c r="E156" i="6"/>
  <c r="F156" i="6" s="1"/>
  <c r="E155" i="6"/>
  <c r="F155" i="6" s="1"/>
  <c r="D153" i="6"/>
  <c r="E153" i="6" s="1"/>
  <c r="F153" i="6"/>
  <c r="C153" i="6"/>
  <c r="F152" i="6"/>
  <c r="E152" i="6"/>
  <c r="F151" i="6"/>
  <c r="E151" i="6"/>
  <c r="F150" i="6"/>
  <c r="E150" i="6"/>
  <c r="F149" i="6"/>
  <c r="E149" i="6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F142" i="6"/>
  <c r="E142" i="6"/>
  <c r="D137" i="6"/>
  <c r="C137" i="6"/>
  <c r="F136" i="6"/>
  <c r="E136" i="6"/>
  <c r="F135" i="6"/>
  <c r="E135" i="6"/>
  <c r="F134" i="6"/>
  <c r="E134" i="6"/>
  <c r="E133" i="6"/>
  <c r="F133" i="6" s="1"/>
  <c r="E132" i="6"/>
  <c r="F132" i="6" s="1"/>
  <c r="E131" i="6"/>
  <c r="F131" i="6" s="1"/>
  <c r="F130" i="6"/>
  <c r="E130" i="6"/>
  <c r="F129" i="6"/>
  <c r="E129" i="6"/>
  <c r="E128" i="6"/>
  <c r="F128" i="6" s="1"/>
  <c r="F127" i="6"/>
  <c r="E127" i="6"/>
  <c r="F126" i="6"/>
  <c r="E126" i="6"/>
  <c r="D124" i="6"/>
  <c r="E124" i="6"/>
  <c r="C124" i="6"/>
  <c r="F123" i="6"/>
  <c r="E123" i="6"/>
  <c r="F122" i="6"/>
  <c r="E122" i="6"/>
  <c r="E121" i="6"/>
  <c r="F121" i="6" s="1"/>
  <c r="E120" i="6"/>
  <c r="F120" i="6" s="1"/>
  <c r="F119" i="6"/>
  <c r="E119" i="6"/>
  <c r="F118" i="6"/>
  <c r="E118" i="6"/>
  <c r="E117" i="6"/>
  <c r="F117" i="6" s="1"/>
  <c r="F116" i="6"/>
  <c r="E116" i="6"/>
  <c r="E115" i="6"/>
  <c r="F115" i="6" s="1"/>
  <c r="F114" i="6"/>
  <c r="E114" i="6"/>
  <c r="E113" i="6"/>
  <c r="F113" i="6" s="1"/>
  <c r="D111" i="6"/>
  <c r="C111" i="6"/>
  <c r="E111" i="6" s="1"/>
  <c r="F110" i="6"/>
  <c r="E110" i="6"/>
  <c r="F109" i="6"/>
  <c r="E109" i="6"/>
  <c r="E108" i="6"/>
  <c r="F108" i="6" s="1"/>
  <c r="F107" i="6"/>
  <c r="E107" i="6"/>
  <c r="F106" i="6"/>
  <c r="E106" i="6"/>
  <c r="E105" i="6"/>
  <c r="F105" i="6" s="1"/>
  <c r="E104" i="6"/>
  <c r="F104" i="6" s="1"/>
  <c r="F103" i="6"/>
  <c r="E103" i="6"/>
  <c r="F102" i="6"/>
  <c r="E102" i="6"/>
  <c r="E101" i="6"/>
  <c r="F101" i="6" s="1"/>
  <c r="E100" i="6"/>
  <c r="F100" i="6" s="1"/>
  <c r="F94" i="6"/>
  <c r="D94" i="6"/>
  <c r="E94" i="6"/>
  <c r="C94" i="6"/>
  <c r="D93" i="6"/>
  <c r="E93" i="6" s="1"/>
  <c r="C93" i="6"/>
  <c r="F93" i="6" s="1"/>
  <c r="D92" i="6"/>
  <c r="E92" i="6"/>
  <c r="F92" i="6" s="1"/>
  <c r="C92" i="6"/>
  <c r="D91" i="6"/>
  <c r="C91" i="6"/>
  <c r="D90" i="6"/>
  <c r="E90" i="6"/>
  <c r="F90" i="6" s="1"/>
  <c r="C90" i="6"/>
  <c r="D89" i="6"/>
  <c r="E89" i="6"/>
  <c r="C89" i="6"/>
  <c r="D88" i="6"/>
  <c r="E88" i="6" s="1"/>
  <c r="F88" i="6" s="1"/>
  <c r="C88" i="6"/>
  <c r="D87" i="6"/>
  <c r="E87" i="6" s="1"/>
  <c r="C87" i="6"/>
  <c r="F87" i="6" s="1"/>
  <c r="D86" i="6"/>
  <c r="E86" i="6" s="1"/>
  <c r="F86" i="6"/>
  <c r="C86" i="6"/>
  <c r="D85" i="6"/>
  <c r="E85" i="6"/>
  <c r="C85" i="6"/>
  <c r="D84" i="6"/>
  <c r="D95" i="6"/>
  <c r="C84" i="6"/>
  <c r="C95" i="6"/>
  <c r="D81" i="6"/>
  <c r="C81" i="6"/>
  <c r="F80" i="6"/>
  <c r="E80" i="6"/>
  <c r="F79" i="6"/>
  <c r="E79" i="6"/>
  <c r="E78" i="6"/>
  <c r="F78" i="6" s="1"/>
  <c r="E77" i="6"/>
  <c r="F77" i="6" s="1"/>
  <c r="E76" i="6"/>
  <c r="F76" i="6" s="1"/>
  <c r="F75" i="6"/>
  <c r="E75" i="6"/>
  <c r="E74" i="6"/>
  <c r="F74" i="6" s="1"/>
  <c r="F73" i="6"/>
  <c r="E73" i="6"/>
  <c r="F72" i="6"/>
  <c r="E72" i="6"/>
  <c r="F71" i="6"/>
  <c r="E71" i="6"/>
  <c r="E70" i="6"/>
  <c r="F70" i="6" s="1"/>
  <c r="D68" i="6"/>
  <c r="F68" i="6"/>
  <c r="C68" i="6"/>
  <c r="E68" i="6" s="1"/>
  <c r="F67" i="6"/>
  <c r="E67" i="6"/>
  <c r="F66" i="6"/>
  <c r="E66" i="6"/>
  <c r="E65" i="6"/>
  <c r="F65" i="6" s="1"/>
  <c r="E64" i="6"/>
  <c r="F64" i="6" s="1"/>
  <c r="F63" i="6"/>
  <c r="E63" i="6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F51" i="6"/>
  <c r="D51" i="6"/>
  <c r="E51" i="6" s="1"/>
  <c r="C51" i="6"/>
  <c r="D50" i="6"/>
  <c r="C50" i="6"/>
  <c r="F50" i="6" s="1"/>
  <c r="D49" i="6"/>
  <c r="E49" i="6"/>
  <c r="F49" i="6"/>
  <c r="C49" i="6"/>
  <c r="D48" i="6"/>
  <c r="E48" i="6"/>
  <c r="C48" i="6"/>
  <c r="D47" i="6"/>
  <c r="C47" i="6"/>
  <c r="E47" i="6" s="1"/>
  <c r="D46" i="6"/>
  <c r="C46" i="6"/>
  <c r="D45" i="6"/>
  <c r="C45" i="6"/>
  <c r="E45" i="6" s="1"/>
  <c r="D44" i="6"/>
  <c r="E44" i="6" s="1"/>
  <c r="C44" i="6"/>
  <c r="F44" i="6" s="1"/>
  <c r="D43" i="6"/>
  <c r="E43" i="6"/>
  <c r="C43" i="6"/>
  <c r="D42" i="6"/>
  <c r="C42" i="6"/>
  <c r="D41" i="6"/>
  <c r="D52" i="6" s="1"/>
  <c r="C41" i="6"/>
  <c r="D38" i="6"/>
  <c r="C38" i="6"/>
  <c r="F37" i="6"/>
  <c r="E37" i="6"/>
  <c r="F36" i="6"/>
  <c r="E36" i="6"/>
  <c r="F35" i="6"/>
  <c r="E35" i="6"/>
  <c r="E34" i="6"/>
  <c r="F34" i="6" s="1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 s="1"/>
  <c r="C25" i="6"/>
  <c r="F24" i="6"/>
  <c r="E24" i="6"/>
  <c r="F23" i="6"/>
  <c r="E23" i="6"/>
  <c r="E22" i="6"/>
  <c r="F22" i="6" s="1"/>
  <c r="F21" i="6"/>
  <c r="E21" i="6"/>
  <c r="F20" i="6"/>
  <c r="E20" i="6"/>
  <c r="F19" i="6"/>
  <c r="E19" i="6"/>
  <c r="E18" i="6"/>
  <c r="F18" i="6" s="1"/>
  <c r="F17" i="6"/>
  <c r="E17" i="6"/>
  <c r="F16" i="6"/>
  <c r="E16" i="6"/>
  <c r="F15" i="6"/>
  <c r="E15" i="6"/>
  <c r="E14" i="6"/>
  <c r="F14" i="6" s="1"/>
  <c r="F51" i="5"/>
  <c r="E51" i="5"/>
  <c r="F48" i="5"/>
  <c r="D48" i="5"/>
  <c r="E48" i="5"/>
  <c r="C48" i="5"/>
  <c r="F47" i="5"/>
  <c r="E47" i="5"/>
  <c r="F46" i="5"/>
  <c r="E46" i="5"/>
  <c r="D41" i="5"/>
  <c r="E41" i="5" s="1"/>
  <c r="F41" i="5"/>
  <c r="C41" i="5"/>
  <c r="F40" i="5"/>
  <c r="E40" i="5"/>
  <c r="F39" i="5"/>
  <c r="E39" i="5"/>
  <c r="F38" i="5"/>
  <c r="E38" i="5"/>
  <c r="D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E25" i="5"/>
  <c r="F25" i="5" s="1"/>
  <c r="F24" i="5"/>
  <c r="E24" i="5"/>
  <c r="F20" i="5"/>
  <c r="E20" i="5"/>
  <c r="F19" i="5"/>
  <c r="E19" i="5"/>
  <c r="E17" i="5"/>
  <c r="F17" i="5" s="1"/>
  <c r="D16" i="5"/>
  <c r="E16" i="5" s="1"/>
  <c r="D18" i="5"/>
  <c r="C16" i="5"/>
  <c r="F15" i="5"/>
  <c r="E15" i="5"/>
  <c r="F14" i="5"/>
  <c r="E14" i="5"/>
  <c r="E13" i="5"/>
  <c r="F13" i="5" s="1"/>
  <c r="F12" i="5"/>
  <c r="E12" i="5"/>
  <c r="D73" i="4"/>
  <c r="C73" i="4"/>
  <c r="E72" i="4"/>
  <c r="F72" i="4" s="1"/>
  <c r="F71" i="4"/>
  <c r="E71" i="4"/>
  <c r="F70" i="4"/>
  <c r="E70" i="4"/>
  <c r="F67" i="4"/>
  <c r="E67" i="4"/>
  <c r="E64" i="4"/>
  <c r="F64" i="4" s="1"/>
  <c r="F63" i="4"/>
  <c r="E63" i="4"/>
  <c r="D61" i="4"/>
  <c r="C61" i="4"/>
  <c r="C65" i="4"/>
  <c r="C75" i="4" s="1"/>
  <c r="E60" i="4"/>
  <c r="F60" i="4" s="1"/>
  <c r="E59" i="4"/>
  <c r="F59" i="4" s="1"/>
  <c r="D56" i="4"/>
  <c r="C56" i="4"/>
  <c r="F55" i="4"/>
  <c r="E55" i="4"/>
  <c r="E54" i="4"/>
  <c r="F54" i="4" s="1"/>
  <c r="E53" i="4"/>
  <c r="F53" i="4" s="1"/>
  <c r="F52" i="4"/>
  <c r="E52" i="4"/>
  <c r="F51" i="4"/>
  <c r="E51" i="4"/>
  <c r="A51" i="4"/>
  <c r="A52" i="4" s="1"/>
  <c r="A53" i="4" s="1"/>
  <c r="A54" i="4" s="1"/>
  <c r="A55" i="4" s="1"/>
  <c r="E50" i="4"/>
  <c r="F50" i="4" s="1"/>
  <c r="A50" i="4"/>
  <c r="F49" i="4"/>
  <c r="E49" i="4"/>
  <c r="F40" i="4"/>
  <c r="E40" i="4"/>
  <c r="D38" i="4"/>
  <c r="E38" i="4" s="1"/>
  <c r="F38" i="4" s="1"/>
  <c r="C38" i="4"/>
  <c r="C41" i="4"/>
  <c r="E37" i="4"/>
  <c r="F37" i="4" s="1"/>
  <c r="F36" i="4"/>
  <c r="E36" i="4"/>
  <c r="F33" i="4"/>
  <c r="E33" i="4"/>
  <c r="E32" i="4"/>
  <c r="F32" i="4" s="1"/>
  <c r="F31" i="4"/>
  <c r="E31" i="4"/>
  <c r="D29" i="4"/>
  <c r="D43" i="4" s="1"/>
  <c r="E29" i="4"/>
  <c r="F29" i="4" s="1"/>
  <c r="C29" i="4"/>
  <c r="C43" i="4" s="1"/>
  <c r="E28" i="4"/>
  <c r="F28" i="4" s="1"/>
  <c r="F27" i="4"/>
  <c r="E27" i="4"/>
  <c r="E26" i="4"/>
  <c r="F26" i="4" s="1"/>
  <c r="E25" i="4"/>
  <c r="F25" i="4" s="1"/>
  <c r="D22" i="4"/>
  <c r="E22" i="4"/>
  <c r="C22" i="4"/>
  <c r="E21" i="4"/>
  <c r="F21" i="4" s="1"/>
  <c r="F20" i="4"/>
  <c r="E20" i="4"/>
  <c r="F19" i="4"/>
  <c r="E19" i="4"/>
  <c r="E18" i="4"/>
  <c r="F18" i="4" s="1"/>
  <c r="F17" i="4"/>
  <c r="E17" i="4"/>
  <c r="F16" i="4"/>
  <c r="E16" i="4"/>
  <c r="F15" i="4"/>
  <c r="E15" i="4"/>
  <c r="E14" i="4"/>
  <c r="F14" i="4" s="1"/>
  <c r="E13" i="4"/>
  <c r="F13" i="4" s="1"/>
  <c r="C109" i="22"/>
  <c r="C108" i="22"/>
  <c r="C103" i="22"/>
  <c r="D22" i="22"/>
  <c r="C23" i="22"/>
  <c r="E23" i="22"/>
  <c r="D33" i="22"/>
  <c r="C34" i="22"/>
  <c r="E34" i="22"/>
  <c r="C102" i="22"/>
  <c r="C22" i="22"/>
  <c r="E22" i="22"/>
  <c r="D23" i="22"/>
  <c r="E19" i="20"/>
  <c r="F19" i="20" s="1"/>
  <c r="E43" i="20"/>
  <c r="C129" i="19"/>
  <c r="C133" i="19" s="1"/>
  <c r="E295" i="17"/>
  <c r="F295" i="17" s="1"/>
  <c r="E297" i="17"/>
  <c r="F297" i="17" s="1"/>
  <c r="E299" i="17"/>
  <c r="C22" i="19"/>
  <c r="C100" i="18"/>
  <c r="C98" i="18"/>
  <c r="C96" i="18"/>
  <c r="C102" i="18" s="1"/>
  <c r="C89" i="18"/>
  <c r="C87" i="18"/>
  <c r="C85" i="18"/>
  <c r="C101" i="18"/>
  <c r="C97" i="18"/>
  <c r="C95" i="18"/>
  <c r="C88" i="18"/>
  <c r="C86" i="18"/>
  <c r="C84" i="18"/>
  <c r="C83" i="18"/>
  <c r="E43" i="18"/>
  <c r="E17" i="17"/>
  <c r="F17" i="17" s="1"/>
  <c r="E52" i="17"/>
  <c r="E53" i="17"/>
  <c r="E67" i="17"/>
  <c r="F67" i="17" s="1"/>
  <c r="C283" i="18"/>
  <c r="E21" i="18"/>
  <c r="D22" i="18"/>
  <c r="E37" i="18"/>
  <c r="C55" i="18"/>
  <c r="D66" i="18"/>
  <c r="E66" i="18" s="1"/>
  <c r="E32" i="18"/>
  <c r="E36" i="18"/>
  <c r="C289" i="18"/>
  <c r="E289" i="18" s="1"/>
  <c r="C71" i="18"/>
  <c r="C76" i="18" s="1"/>
  <c r="C259" i="18" s="1"/>
  <c r="C65" i="18"/>
  <c r="C66" i="18"/>
  <c r="C295" i="18"/>
  <c r="E60" i="18"/>
  <c r="E70" i="18"/>
  <c r="C144" i="18"/>
  <c r="E144" i="18"/>
  <c r="D145" i="18"/>
  <c r="D163" i="18"/>
  <c r="C175" i="18"/>
  <c r="C261" i="18"/>
  <c r="C189" i="18"/>
  <c r="E188" i="18"/>
  <c r="D260" i="18"/>
  <c r="E195" i="18"/>
  <c r="D241" i="18"/>
  <c r="E243" i="18"/>
  <c r="E244" i="18"/>
  <c r="E245" i="18"/>
  <c r="E302" i="18"/>
  <c r="C303" i="18"/>
  <c r="C306" i="18"/>
  <c r="C310" i="18" s="1"/>
  <c r="E139" i="18"/>
  <c r="C229" i="18"/>
  <c r="C210" i="18"/>
  <c r="C240" i="18"/>
  <c r="C222" i="18"/>
  <c r="C246" i="18"/>
  <c r="C253" i="18"/>
  <c r="E303" i="18"/>
  <c r="D306" i="18"/>
  <c r="D320" i="18"/>
  <c r="E320" i="18" s="1"/>
  <c r="E316" i="18"/>
  <c r="C217" i="18"/>
  <c r="C241" i="18" s="1"/>
  <c r="E241" i="18" s="1"/>
  <c r="E217" i="18"/>
  <c r="E219" i="18"/>
  <c r="E221" i="18"/>
  <c r="D222" i="18"/>
  <c r="C252" i="18"/>
  <c r="E265" i="18"/>
  <c r="E314" i="18"/>
  <c r="E218" i="18"/>
  <c r="E220" i="18"/>
  <c r="E301" i="18"/>
  <c r="E324" i="18"/>
  <c r="E31" i="17"/>
  <c r="F31" i="17" s="1"/>
  <c r="D32" i="17"/>
  <c r="C61" i="17"/>
  <c r="F89" i="17"/>
  <c r="C103" i="17"/>
  <c r="C138" i="17"/>
  <c r="C139" i="17" s="1"/>
  <c r="C32" i="17"/>
  <c r="C160" i="17"/>
  <c r="C125" i="17"/>
  <c r="C90" i="17"/>
  <c r="E60" i="17"/>
  <c r="F60" i="17" s="1"/>
  <c r="D61" i="17"/>
  <c r="D103" i="17"/>
  <c r="E102" i="17"/>
  <c r="F102" i="17"/>
  <c r="D21" i="17"/>
  <c r="F36" i="17"/>
  <c r="F44" i="17"/>
  <c r="F52" i="17"/>
  <c r="F53" i="17"/>
  <c r="E88" i="17"/>
  <c r="F88" i="17"/>
  <c r="E101" i="17"/>
  <c r="F101" i="17"/>
  <c r="C193" i="17"/>
  <c r="C192" i="17"/>
  <c r="E123" i="17"/>
  <c r="F123" i="17" s="1"/>
  <c r="C124" i="17"/>
  <c r="E136" i="17"/>
  <c r="F136" i="17" s="1"/>
  <c r="E144" i="17"/>
  <c r="D159" i="17"/>
  <c r="E159" i="17"/>
  <c r="D181" i="17"/>
  <c r="C287" i="17"/>
  <c r="C284" i="17"/>
  <c r="E20" i="17"/>
  <c r="F20" i="17" s="1"/>
  <c r="C21" i="17"/>
  <c r="E30" i="17"/>
  <c r="F30" i="17" s="1"/>
  <c r="E35" i="17"/>
  <c r="F35" i="17"/>
  <c r="C37" i="17"/>
  <c r="E37" i="17"/>
  <c r="F37" i="17" s="1"/>
  <c r="E47" i="17"/>
  <c r="F47" i="17" s="1"/>
  <c r="E59" i="17"/>
  <c r="F59" i="17"/>
  <c r="E66" i="17"/>
  <c r="F66" i="17"/>
  <c r="E76" i="17"/>
  <c r="F76" i="17"/>
  <c r="D124" i="17"/>
  <c r="E124" i="17" s="1"/>
  <c r="F124" i="17" s="1"/>
  <c r="D277" i="17"/>
  <c r="D261" i="17"/>
  <c r="E261" i="17" s="1"/>
  <c r="F261" i="17" s="1"/>
  <c r="D214" i="17"/>
  <c r="D206" i="17"/>
  <c r="D190" i="17"/>
  <c r="E190" i="17" s="1"/>
  <c r="E188" i="17"/>
  <c r="F188" i="17"/>
  <c r="E189" i="17"/>
  <c r="F189" i="17" s="1"/>
  <c r="C190" i="17"/>
  <c r="E191" i="17"/>
  <c r="F191" i="17" s="1"/>
  <c r="C199" i="17"/>
  <c r="C200" i="17"/>
  <c r="C205" i="17"/>
  <c r="C206" i="17"/>
  <c r="C214" i="17"/>
  <c r="C304" i="17" s="1"/>
  <c r="C215" i="17"/>
  <c r="E226" i="17"/>
  <c r="F226" i="17"/>
  <c r="E237" i="17"/>
  <c r="F237" i="17"/>
  <c r="E250" i="17"/>
  <c r="C254" i="17"/>
  <c r="C255" i="17"/>
  <c r="C261" i="17"/>
  <c r="C262" i="17"/>
  <c r="C264" i="17"/>
  <c r="C267" i="17"/>
  <c r="C269" i="17"/>
  <c r="C272" i="17" s="1"/>
  <c r="C274" i="17"/>
  <c r="C300" i="17" s="1"/>
  <c r="E278" i="17"/>
  <c r="E280" i="17"/>
  <c r="F280" i="17"/>
  <c r="D290" i="17"/>
  <c r="E290" i="17"/>
  <c r="F290" i="17"/>
  <c r="D274" i="17"/>
  <c r="E274" i="17" s="1"/>
  <c r="D199" i="17"/>
  <c r="D200" i="17"/>
  <c r="E200" i="17" s="1"/>
  <c r="F200" i="17" s="1"/>
  <c r="D283" i="17"/>
  <c r="D267" i="17"/>
  <c r="D270" i="17" s="1"/>
  <c r="D285" i="17"/>
  <c r="D288" i="17" s="1"/>
  <c r="D269" i="17"/>
  <c r="D205" i="17"/>
  <c r="D215" i="17"/>
  <c r="E215" i="17" s="1"/>
  <c r="F215" i="17" s="1"/>
  <c r="D262" i="17"/>
  <c r="D264" i="17"/>
  <c r="F298" i="17"/>
  <c r="F299" i="17"/>
  <c r="I17" i="14"/>
  <c r="D31" i="14"/>
  <c r="F31" i="14"/>
  <c r="H17" i="14"/>
  <c r="D21" i="13"/>
  <c r="D15" i="13"/>
  <c r="D48" i="13"/>
  <c r="D42" i="13" s="1"/>
  <c r="D20" i="12"/>
  <c r="E17" i="12"/>
  <c r="F17" i="12" s="1"/>
  <c r="C20" i="12"/>
  <c r="E20" i="12" s="1"/>
  <c r="E15" i="12"/>
  <c r="F15" i="12" s="1"/>
  <c r="E22" i="11"/>
  <c r="F22" i="11"/>
  <c r="E38" i="11"/>
  <c r="F38" i="11" s="1"/>
  <c r="E56" i="11"/>
  <c r="F56" i="11" s="1"/>
  <c r="E61" i="11"/>
  <c r="F61" i="11" s="1"/>
  <c r="E121" i="10"/>
  <c r="E112" i="10"/>
  <c r="E113" i="10"/>
  <c r="D207" i="9"/>
  <c r="E207" i="9"/>
  <c r="F207" i="9" s="1"/>
  <c r="D208" i="9"/>
  <c r="D139" i="8"/>
  <c r="D137" i="8"/>
  <c r="D135" i="8"/>
  <c r="D140" i="8"/>
  <c r="D138" i="8"/>
  <c r="D136" i="8"/>
  <c r="D21" i="8"/>
  <c r="C21" i="8"/>
  <c r="C136" i="8"/>
  <c r="C137" i="8"/>
  <c r="C135" i="8"/>
  <c r="E140" i="8"/>
  <c r="E138" i="8"/>
  <c r="E137" i="8"/>
  <c r="D15" i="8"/>
  <c r="C17" i="8"/>
  <c r="E17" i="8"/>
  <c r="C43" i="8"/>
  <c r="D49" i="8"/>
  <c r="D77" i="8"/>
  <c r="D71" i="8" s="1"/>
  <c r="C49" i="8"/>
  <c r="E183" i="7"/>
  <c r="F183" i="7" s="1"/>
  <c r="E41" i="6"/>
  <c r="F41" i="6" s="1"/>
  <c r="E84" i="6"/>
  <c r="F84" i="6" s="1"/>
  <c r="D21" i="5"/>
  <c r="D41" i="4"/>
  <c r="E41" i="4"/>
  <c r="F41" i="4"/>
  <c r="E56" i="4"/>
  <c r="F56" i="4" s="1"/>
  <c r="C35" i="22"/>
  <c r="C29" i="22"/>
  <c r="E39" i="22"/>
  <c r="E110" i="22"/>
  <c r="E54" i="22"/>
  <c r="E46" i="22"/>
  <c r="E40" i="22"/>
  <c r="E36" i="22"/>
  <c r="E30" i="22"/>
  <c r="D53" i="22"/>
  <c r="D45" i="22"/>
  <c r="D39" i="22"/>
  <c r="D35" i="22"/>
  <c r="D29" i="22"/>
  <c r="D112" i="22" s="1"/>
  <c r="C263" i="18"/>
  <c r="C77" i="18"/>
  <c r="C234" i="18"/>
  <c r="C211" i="18"/>
  <c r="C180" i="18"/>
  <c r="C294" i="18"/>
  <c r="C90" i="18"/>
  <c r="C91" i="18" s="1"/>
  <c r="D255" i="17"/>
  <c r="E255" i="17"/>
  <c r="F255" i="17" s="1"/>
  <c r="D286" i="17"/>
  <c r="C216" i="17"/>
  <c r="F190" i="17"/>
  <c r="D271" i="17"/>
  <c r="D304" i="17" s="1"/>
  <c r="D268" i="17"/>
  <c r="D263" i="17"/>
  <c r="D126" i="17"/>
  <c r="D91" i="17"/>
  <c r="D92" i="17" s="1"/>
  <c r="D161" i="17"/>
  <c r="C62" i="17"/>
  <c r="D272" i="17"/>
  <c r="D273" i="17" s="1"/>
  <c r="E277" i="17"/>
  <c r="F277" i="17" s="1"/>
  <c r="D287" i="17"/>
  <c r="D279" i="17"/>
  <c r="C161" i="17"/>
  <c r="C49" i="17"/>
  <c r="E61" i="17"/>
  <c r="F61" i="17" s="1"/>
  <c r="D105" i="17"/>
  <c r="D106" i="17" s="1"/>
  <c r="E32" i="17"/>
  <c r="F32" i="17"/>
  <c r="D34" i="12"/>
  <c r="D24" i="8"/>
  <c r="D17" i="8"/>
  <c r="C112" i="8"/>
  <c r="C111" i="8" s="1"/>
  <c r="C28" i="8"/>
  <c r="E43" i="4"/>
  <c r="D55" i="22"/>
  <c r="E56" i="22"/>
  <c r="E48" i="22"/>
  <c r="E38" i="22"/>
  <c r="C123" i="18"/>
  <c r="C121" i="18"/>
  <c r="C162" i="17"/>
  <c r="C63" i="17"/>
  <c r="D127" i="17"/>
  <c r="D42" i="12"/>
  <c r="C99" i="8"/>
  <c r="C101" i="8" s="1"/>
  <c r="C98" i="8" s="1"/>
  <c r="D28" i="8"/>
  <c r="D99" i="8" s="1"/>
  <c r="D101" i="8" s="1"/>
  <c r="D112" i="8"/>
  <c r="D111" i="8"/>
  <c r="E304" i="17"/>
  <c r="F162" i="17"/>
  <c r="F272" i="17" l="1"/>
  <c r="E272" i="17"/>
  <c r="F300" i="17"/>
  <c r="E205" i="17"/>
  <c r="F205" i="17" s="1"/>
  <c r="E222" i="18"/>
  <c r="D246" i="18"/>
  <c r="E246" i="18" s="1"/>
  <c r="D223" i="18"/>
  <c r="E57" i="8"/>
  <c r="E62" i="8" s="1"/>
  <c r="E53" i="8"/>
  <c r="E43" i="8"/>
  <c r="E49" i="8"/>
  <c r="D111" i="17"/>
  <c r="E111" i="17" s="1"/>
  <c r="F111" i="17" s="1"/>
  <c r="E109" i="17"/>
  <c r="F109" i="17" s="1"/>
  <c r="C268" i="17"/>
  <c r="E267" i="17"/>
  <c r="F267" i="17" s="1"/>
  <c r="C270" i="17"/>
  <c r="C271" i="17"/>
  <c r="E22" i="18"/>
  <c r="D102" i="22"/>
  <c r="D101" i="22"/>
  <c r="D103" i="22" s="1"/>
  <c r="C282" i="17"/>
  <c r="C194" i="17"/>
  <c r="C196" i="17" s="1"/>
  <c r="C266" i="17"/>
  <c r="C54" i="22"/>
  <c r="C46" i="22"/>
  <c r="C36" i="22"/>
  <c r="C111" i="22"/>
  <c r="C30" i="22"/>
  <c r="C40" i="22"/>
  <c r="D65" i="4"/>
  <c r="E61" i="4"/>
  <c r="F61" i="4" s="1"/>
  <c r="D188" i="7"/>
  <c r="E188" i="7" s="1"/>
  <c r="F188" i="7" s="1"/>
  <c r="E75" i="15"/>
  <c r="F73" i="15"/>
  <c r="D48" i="17"/>
  <c r="D109" i="22"/>
  <c r="D110" i="22"/>
  <c r="D108" i="22"/>
  <c r="E101" i="22"/>
  <c r="E102" i="22"/>
  <c r="H31" i="14"/>
  <c r="E35" i="22"/>
  <c r="E29" i="22"/>
  <c r="E45" i="22"/>
  <c r="E53" i="22"/>
  <c r="C50" i="17"/>
  <c r="C37" i="22"/>
  <c r="C112" i="22"/>
  <c r="C55" i="22"/>
  <c r="C284" i="18"/>
  <c r="C235" i="18"/>
  <c r="D22" i="8"/>
  <c r="D20" i="8"/>
  <c r="C154" i="8"/>
  <c r="C152" i="8"/>
  <c r="C157" i="8"/>
  <c r="C153" i="8"/>
  <c r="C155" i="8"/>
  <c r="C156" i="8"/>
  <c r="D295" i="18"/>
  <c r="E295" i="18" s="1"/>
  <c r="E33" i="18"/>
  <c r="D324" i="17"/>
  <c r="D113" i="17"/>
  <c r="C111" i="18"/>
  <c r="C114" i="18"/>
  <c r="C109" i="18"/>
  <c r="C112" i="18"/>
  <c r="C113" i="18"/>
  <c r="C127" i="18"/>
  <c r="C110" i="18"/>
  <c r="C124" i="18"/>
  <c r="C125" i="18"/>
  <c r="C126" i="18"/>
  <c r="E269" i="17"/>
  <c r="F269" i="17" s="1"/>
  <c r="D35" i="5"/>
  <c r="E33" i="5"/>
  <c r="F33" i="5" s="1"/>
  <c r="F47" i="6"/>
  <c r="E37" i="15"/>
  <c r="F37" i="15" s="1"/>
  <c r="E103" i="17"/>
  <c r="F103" i="17"/>
  <c r="C104" i="17"/>
  <c r="C105" i="17"/>
  <c r="D111" i="22"/>
  <c r="D54" i="22"/>
  <c r="D46" i="22"/>
  <c r="D40" i="22"/>
  <c r="D36" i="22"/>
  <c r="D30" i="22"/>
  <c r="C115" i="18"/>
  <c r="E260" i="18"/>
  <c r="C53" i="22"/>
  <c r="C39" i="22"/>
  <c r="C45" i="22"/>
  <c r="F36" i="14"/>
  <c r="F38" i="14" s="1"/>
  <c r="F40" i="14" s="1"/>
  <c r="H33" i="14"/>
  <c r="H36" i="14" s="1"/>
  <c r="H38" i="14" s="1"/>
  <c r="H40" i="14" s="1"/>
  <c r="C163" i="18"/>
  <c r="E163" i="18" s="1"/>
  <c r="C156" i="18"/>
  <c r="C157" i="18" s="1"/>
  <c r="E151" i="18"/>
  <c r="C239" i="18"/>
  <c r="C223" i="18"/>
  <c r="C247" i="18" s="1"/>
  <c r="F40" i="20"/>
  <c r="C122" i="18"/>
  <c r="F304" i="17"/>
  <c r="C126" i="17"/>
  <c r="C91" i="17"/>
  <c r="E21" i="17"/>
  <c r="F21" i="17"/>
  <c r="E137" i="17"/>
  <c r="F137" i="17" s="1"/>
  <c r="F43" i="4"/>
  <c r="E30" i="7"/>
  <c r="F30" i="7" s="1"/>
  <c r="E59" i="13"/>
  <c r="E61" i="13" s="1"/>
  <c r="E57" i="13" s="1"/>
  <c r="D44" i="18"/>
  <c r="F161" i="17"/>
  <c r="C47" i="22"/>
  <c r="E112" i="8"/>
  <c r="E111" i="8" s="1"/>
  <c r="E28" i="8"/>
  <c r="E99" i="8" s="1"/>
  <c r="E101" i="8" s="1"/>
  <c r="E98" i="8" s="1"/>
  <c r="F68" i="17"/>
  <c r="F41" i="11"/>
  <c r="C110" i="22"/>
  <c r="D140" i="17"/>
  <c r="E306" i="18"/>
  <c r="D310" i="18"/>
  <c r="E310" i="18" s="1"/>
  <c r="E95" i="6"/>
  <c r="F95" i="6" s="1"/>
  <c r="E136" i="8"/>
  <c r="E139" i="8"/>
  <c r="E135" i="8"/>
  <c r="E141" i="8" s="1"/>
  <c r="D152" i="8"/>
  <c r="D157" i="8"/>
  <c r="D153" i="8"/>
  <c r="D156" i="8"/>
  <c r="D154" i="8"/>
  <c r="D155" i="8"/>
  <c r="E76" i="9"/>
  <c r="F76" i="9" s="1"/>
  <c r="F84" i="10"/>
  <c r="E84" i="10"/>
  <c r="E119" i="10"/>
  <c r="F119" i="10"/>
  <c r="E41" i="11"/>
  <c r="E179" i="17"/>
  <c r="F179" i="17"/>
  <c r="C181" i="17"/>
  <c r="F181" i="17" s="1"/>
  <c r="E227" i="17"/>
  <c r="F227" i="17"/>
  <c r="E44" i="20"/>
  <c r="E46" i="20" s="1"/>
  <c r="D46" i="20"/>
  <c r="E109" i="22"/>
  <c r="E108" i="22"/>
  <c r="E111" i="22"/>
  <c r="C103" i="18"/>
  <c r="C105" i="18" s="1"/>
  <c r="F43" i="20"/>
  <c r="E166" i="8"/>
  <c r="F114" i="10"/>
  <c r="E114" i="10"/>
  <c r="I33" i="14"/>
  <c r="I36" i="14" s="1"/>
  <c r="I38" i="14" s="1"/>
  <c r="I40" i="14" s="1"/>
  <c r="E100" i="17"/>
  <c r="F100" i="17" s="1"/>
  <c r="C146" i="17"/>
  <c r="F144" i="17"/>
  <c r="F170" i="17"/>
  <c r="E170" i="17"/>
  <c r="E223" i="17"/>
  <c r="F223" i="17"/>
  <c r="D76" i="18"/>
  <c r="E71" i="18"/>
  <c r="D168" i="18"/>
  <c r="D157" i="18"/>
  <c r="E215" i="18"/>
  <c r="D330" i="18"/>
  <c r="E330" i="18" s="1"/>
  <c r="E326" i="18"/>
  <c r="C64" i="19"/>
  <c r="C65" i="19" s="1"/>
  <c r="C114" i="19" s="1"/>
  <c r="C116" i="19" s="1"/>
  <c r="C119" i="19" s="1"/>
  <c r="C123" i="19" s="1"/>
  <c r="C49" i="19"/>
  <c r="E20" i="20"/>
  <c r="F20" i="20" s="1"/>
  <c r="E39" i="20"/>
  <c r="E41" i="20" s="1"/>
  <c r="C41" i="20"/>
  <c r="E113" i="22"/>
  <c r="E161" i="17"/>
  <c r="D162" i="17"/>
  <c r="E263" i="17"/>
  <c r="E206" i="17"/>
  <c r="F206" i="17" s="1"/>
  <c r="D239" i="18"/>
  <c r="E239" i="18" s="1"/>
  <c r="E42" i="6"/>
  <c r="F42" i="6" s="1"/>
  <c r="F45" i="6"/>
  <c r="F111" i="6"/>
  <c r="C95" i="7"/>
  <c r="E90" i="7"/>
  <c r="F90" i="7"/>
  <c r="E47" i="10"/>
  <c r="F120" i="10"/>
  <c r="E120" i="10"/>
  <c r="F107" i="15"/>
  <c r="E107" i="15"/>
  <c r="E58" i="17"/>
  <c r="F58" i="17" s="1"/>
  <c r="D49" i="12"/>
  <c r="D141" i="8"/>
  <c r="F20" i="12"/>
  <c r="C34" i="12"/>
  <c r="D300" i="17"/>
  <c r="E300" i="17" s="1"/>
  <c r="E264" i="17"/>
  <c r="F264" i="17" s="1"/>
  <c r="F262" i="17"/>
  <c r="E34" i="12"/>
  <c r="E287" i="17"/>
  <c r="F287" i="17" s="1"/>
  <c r="D291" i="17"/>
  <c r="C263" i="17"/>
  <c r="D284" i="17"/>
  <c r="E284" i="17" s="1"/>
  <c r="F284" i="17" s="1"/>
  <c r="E283" i="17"/>
  <c r="F283" i="17" s="1"/>
  <c r="D254" i="17"/>
  <c r="D216" i="17"/>
  <c r="E216" i="17" s="1"/>
  <c r="F216" i="17" s="1"/>
  <c r="E214" i="17"/>
  <c r="F214" i="17" s="1"/>
  <c r="D139" i="17"/>
  <c r="E139" i="17" s="1"/>
  <c r="D104" i="17"/>
  <c r="E104" i="17" s="1"/>
  <c r="D62" i="17"/>
  <c r="F81" i="6"/>
  <c r="E166" i="6"/>
  <c r="F166" i="6" s="1"/>
  <c r="F35" i="10"/>
  <c r="E35" i="10"/>
  <c r="E25" i="16"/>
  <c r="F25" i="16" s="1"/>
  <c r="E294" i="17"/>
  <c r="F294" i="17" s="1"/>
  <c r="D210" i="18"/>
  <c r="D175" i="18"/>
  <c r="E175" i="18" s="1"/>
  <c r="D229" i="18"/>
  <c r="E229" i="18" s="1"/>
  <c r="E205" i="18"/>
  <c r="D240" i="18"/>
  <c r="E216" i="18"/>
  <c r="E231" i="18"/>
  <c r="D252" i="18"/>
  <c r="E40" i="20"/>
  <c r="D41" i="20"/>
  <c r="D289" i="17"/>
  <c r="F138" i="17"/>
  <c r="C140" i="17"/>
  <c r="E199" i="17"/>
  <c r="F199" i="17" s="1"/>
  <c r="C145" i="18"/>
  <c r="F43" i="6"/>
  <c r="E81" i="6"/>
  <c r="E27" i="8"/>
  <c r="E101" i="9"/>
  <c r="E205" i="9"/>
  <c r="F205" i="9" s="1"/>
  <c r="F30" i="15"/>
  <c r="E171" i="17"/>
  <c r="D172" i="17"/>
  <c r="E268" i="17"/>
  <c r="D24" i="13"/>
  <c r="D20" i="13" s="1"/>
  <c r="D17" i="13"/>
  <c r="D28" i="13" s="1"/>
  <c r="F139" i="17"/>
  <c r="E262" i="17"/>
  <c r="D47" i="22"/>
  <c r="D37" i="22"/>
  <c r="G36" i="14"/>
  <c r="G38" i="14" s="1"/>
  <c r="G40" i="14" s="1"/>
  <c r="F274" i="17"/>
  <c r="F250" i="17"/>
  <c r="C18" i="5"/>
  <c r="E18" i="5" s="1"/>
  <c r="F16" i="5"/>
  <c r="E38" i="6"/>
  <c r="F38" i="6" s="1"/>
  <c r="E46" i="6"/>
  <c r="F46" i="6" s="1"/>
  <c r="E91" i="6"/>
  <c r="F91" i="6" s="1"/>
  <c r="C140" i="8"/>
  <c r="C138" i="8"/>
  <c r="C141" i="8" s="1"/>
  <c r="C139" i="8"/>
  <c r="E19" i="16"/>
  <c r="F19" i="16" s="1"/>
  <c r="C279" i="17"/>
  <c r="F278" i="17"/>
  <c r="C52" i="6"/>
  <c r="F48" i="6"/>
  <c r="E50" i="6"/>
  <c r="F89" i="6"/>
  <c r="E35" i="7"/>
  <c r="F35" i="7" s="1"/>
  <c r="E179" i="9"/>
  <c r="F60" i="10"/>
  <c r="E60" i="10"/>
  <c r="F107" i="10"/>
  <c r="E107" i="10"/>
  <c r="F47" i="12"/>
  <c r="E47" i="12"/>
  <c r="E70" i="15"/>
  <c r="F70" i="15" s="1"/>
  <c r="D294" i="18"/>
  <c r="E294" i="18" s="1"/>
  <c r="F22" i="4"/>
  <c r="E137" i="6"/>
  <c r="F137" i="6" s="1"/>
  <c r="E153" i="9"/>
  <c r="F45" i="15"/>
  <c r="E14" i="16"/>
  <c r="F14" i="16"/>
  <c r="F120" i="17"/>
  <c r="D146" i="17"/>
  <c r="C258" i="18"/>
  <c r="C99" i="18"/>
  <c r="E73" i="4"/>
  <c r="F73" i="4" s="1"/>
  <c r="F85" i="6"/>
  <c r="F124" i="6"/>
  <c r="F49" i="9"/>
  <c r="F83" i="10"/>
  <c r="E83" i="10"/>
  <c r="E65" i="15"/>
  <c r="F65" i="15" s="1"/>
  <c r="E79" i="8"/>
  <c r="F36" i="10"/>
  <c r="E36" i="10"/>
  <c r="E25" i="13"/>
  <c r="E27" i="13" s="1"/>
  <c r="E15" i="13"/>
  <c r="E77" i="17"/>
  <c r="F94" i="17"/>
  <c r="F110" i="17"/>
  <c r="F145" i="17"/>
  <c r="F229" i="17"/>
  <c r="E167" i="18"/>
  <c r="E41" i="7"/>
  <c r="F41" i="7" s="1"/>
  <c r="D95" i="7"/>
  <c r="D43" i="8"/>
  <c r="E88" i="9"/>
  <c r="E114" i="9"/>
  <c r="E140" i="9"/>
  <c r="E166" i="9"/>
  <c r="E192" i="9"/>
  <c r="F108" i="10"/>
  <c r="E108" i="10"/>
  <c r="D75" i="11"/>
  <c r="E75" i="11" s="1"/>
  <c r="F75" i="11" s="1"/>
  <c r="F95" i="17"/>
  <c r="F180" i="17"/>
  <c r="D189" i="18"/>
  <c r="E189" i="18" s="1"/>
  <c r="D261" i="18"/>
  <c r="E261" i="18" s="1"/>
  <c r="D242" i="18"/>
  <c r="E242" i="18" s="1"/>
  <c r="F24" i="9"/>
  <c r="E201" i="9"/>
  <c r="F201" i="9" s="1"/>
  <c r="E204" i="9"/>
  <c r="F204" i="9"/>
  <c r="E23" i="15"/>
  <c r="F23" i="15" s="1"/>
  <c r="D192" i="17"/>
  <c r="F230" i="17"/>
  <c r="D55" i="18"/>
  <c r="E55" i="18" s="1"/>
  <c r="E54" i="18"/>
  <c r="E199" i="9"/>
  <c r="F199" i="9" s="1"/>
  <c r="C208" i="9"/>
  <c r="C43" i="11"/>
  <c r="F16" i="15"/>
  <c r="F100" i="15"/>
  <c r="F85" i="17"/>
  <c r="F198" i="17"/>
  <c r="E204" i="17"/>
  <c r="F204" i="17" s="1"/>
  <c r="C285" i="17"/>
  <c r="C239" i="17"/>
  <c r="F238" i="17"/>
  <c r="F16" i="20"/>
  <c r="F19" i="21"/>
  <c r="D88" i="22"/>
  <c r="E24" i="10"/>
  <c r="E72" i="10"/>
  <c r="F50" i="15"/>
  <c r="E55" i="15"/>
  <c r="F75" i="15"/>
  <c r="C172" i="17"/>
  <c r="F171" i="17"/>
  <c r="D283" i="18"/>
  <c r="E283" i="18" s="1"/>
  <c r="E178" i="18"/>
  <c r="E251" i="18"/>
  <c r="E292" i="18"/>
  <c r="F45" i="20"/>
  <c r="F29" i="11"/>
  <c r="C25" i="13"/>
  <c r="C27" i="13" s="1"/>
  <c r="C15" i="13"/>
  <c r="E24" i="17"/>
  <c r="F24" i="17" s="1"/>
  <c r="C46" i="20"/>
  <c r="F21" i="21"/>
  <c r="C173" i="17" l="1"/>
  <c r="C207" i="17"/>
  <c r="F172" i="17"/>
  <c r="C127" i="17"/>
  <c r="E126" i="17"/>
  <c r="F126" i="17" s="1"/>
  <c r="E48" i="17"/>
  <c r="F48" i="17" s="1"/>
  <c r="D160" i="17"/>
  <c r="E160" i="17" s="1"/>
  <c r="F160" i="17" s="1"/>
  <c r="D125" i="17"/>
  <c r="E125" i="17" s="1"/>
  <c r="F125" i="17" s="1"/>
  <c r="D90" i="17"/>
  <c r="E90" i="17" s="1"/>
  <c r="F90" i="17" s="1"/>
  <c r="D49" i="17"/>
  <c r="C141" i="17"/>
  <c r="F140" i="17"/>
  <c r="F268" i="17"/>
  <c r="E172" i="17"/>
  <c r="D173" i="17"/>
  <c r="E62" i="17"/>
  <c r="F62" i="17" s="1"/>
  <c r="D63" i="17"/>
  <c r="E63" i="17" s="1"/>
  <c r="F63" i="17" s="1"/>
  <c r="D158" i="8"/>
  <c r="E240" i="18"/>
  <c r="D253" i="18"/>
  <c r="E253" i="18" s="1"/>
  <c r="D207" i="17"/>
  <c r="C106" i="17"/>
  <c r="E105" i="17"/>
  <c r="F105" i="17" s="1"/>
  <c r="E47" i="22"/>
  <c r="E55" i="22"/>
  <c r="E37" i="22"/>
  <c r="E112" i="22"/>
  <c r="C128" i="18"/>
  <c r="C129" i="18" s="1"/>
  <c r="F104" i="17"/>
  <c r="C116" i="18"/>
  <c r="C158" i="8"/>
  <c r="C265" i="17"/>
  <c r="D284" i="18"/>
  <c r="E284" i="18" s="1"/>
  <c r="C21" i="13"/>
  <c r="E252" i="18"/>
  <c r="F146" i="17"/>
  <c r="C117" i="18"/>
  <c r="C131" i="18" s="1"/>
  <c r="E22" i="8"/>
  <c r="E21" i="8"/>
  <c r="E20" i="8"/>
  <c r="E239" i="17"/>
  <c r="F239" i="17" s="1"/>
  <c r="E208" i="9"/>
  <c r="F208" i="9" s="1"/>
  <c r="C264" i="18"/>
  <c r="C266" i="18" s="1"/>
  <c r="C267" i="18"/>
  <c r="E254" i="17"/>
  <c r="F254" i="17" s="1"/>
  <c r="D77" i="18"/>
  <c r="E76" i="18"/>
  <c r="C168" i="18"/>
  <c r="E168" i="18" s="1"/>
  <c r="D141" i="17"/>
  <c r="E140" i="17"/>
  <c r="C288" i="17"/>
  <c r="E285" i="17"/>
  <c r="F285" i="17" s="1"/>
  <c r="C286" i="17"/>
  <c r="E146" i="17"/>
  <c r="F279" i="17"/>
  <c r="F95" i="7"/>
  <c r="F46" i="20"/>
  <c r="E95" i="7"/>
  <c r="F263" i="17"/>
  <c r="E279" i="17"/>
  <c r="E155" i="8"/>
  <c r="E153" i="8"/>
  <c r="E154" i="8"/>
  <c r="E157" i="8"/>
  <c r="E152" i="8"/>
  <c r="E156" i="8"/>
  <c r="D48" i="22"/>
  <c r="D113" i="22"/>
  <c r="D38" i="22"/>
  <c r="D56" i="22"/>
  <c r="C70" i="17"/>
  <c r="E65" i="4"/>
  <c r="F65" i="4" s="1"/>
  <c r="D75" i="4"/>
  <c r="E75" i="4" s="1"/>
  <c r="F75" i="4" s="1"/>
  <c r="C195" i="17"/>
  <c r="D247" i="18"/>
  <c r="E247" i="18" s="1"/>
  <c r="E223" i="18"/>
  <c r="E21" i="13"/>
  <c r="E22" i="13"/>
  <c r="F39" i="20"/>
  <c r="D305" i="17"/>
  <c r="E181" i="17"/>
  <c r="D258" i="18"/>
  <c r="D89" i="18"/>
  <c r="E89" i="18" s="1"/>
  <c r="D101" i="18"/>
  <c r="E101" i="18" s="1"/>
  <c r="D84" i="18"/>
  <c r="D100" i="18"/>
  <c r="E100" i="18" s="1"/>
  <c r="D85" i="18"/>
  <c r="E85" i="18" s="1"/>
  <c r="D97" i="18"/>
  <c r="E97" i="18" s="1"/>
  <c r="D98" i="18"/>
  <c r="E98" i="18" s="1"/>
  <c r="D83" i="18"/>
  <c r="D96" i="18"/>
  <c r="D99" i="18"/>
  <c r="E99" i="18" s="1"/>
  <c r="D87" i="18"/>
  <c r="E87" i="18" s="1"/>
  <c r="D95" i="18"/>
  <c r="D88" i="18"/>
  <c r="E88" i="18" s="1"/>
  <c r="E44" i="18"/>
  <c r="D86" i="18"/>
  <c r="E86" i="18" s="1"/>
  <c r="D43" i="5"/>
  <c r="F44" i="20"/>
  <c r="F271" i="17"/>
  <c r="E271" i="17"/>
  <c r="C273" i="17"/>
  <c r="E52" i="6"/>
  <c r="F52" i="6" s="1"/>
  <c r="E43" i="11"/>
  <c r="F43" i="11"/>
  <c r="E103" i="22"/>
  <c r="E162" i="17"/>
  <c r="E24" i="13"/>
  <c r="E20" i="13" s="1"/>
  <c r="E17" i="13"/>
  <c r="E28" i="13" s="1"/>
  <c r="E70" i="13" s="1"/>
  <c r="E72" i="13" s="1"/>
  <c r="E69" i="13" s="1"/>
  <c r="C42" i="12"/>
  <c r="F34" i="12"/>
  <c r="C17" i="13"/>
  <c r="C28" i="13" s="1"/>
  <c r="C70" i="13" s="1"/>
  <c r="C72" i="13" s="1"/>
  <c r="C69" i="13" s="1"/>
  <c r="C24" i="13"/>
  <c r="C20" i="13" s="1"/>
  <c r="D193" i="17"/>
  <c r="E192" i="17"/>
  <c r="F192" i="17" s="1"/>
  <c r="F18" i="5"/>
  <c r="C21" i="5"/>
  <c r="D22" i="13"/>
  <c r="D70" i="13"/>
  <c r="D72" i="13" s="1"/>
  <c r="D69" i="13" s="1"/>
  <c r="E145" i="18"/>
  <c r="C181" i="18"/>
  <c r="C169" i="18"/>
  <c r="D234" i="18"/>
  <c r="E234" i="18" s="1"/>
  <c r="E210" i="18"/>
  <c r="D211" i="18"/>
  <c r="D180" i="18"/>
  <c r="E180" i="18" s="1"/>
  <c r="E156" i="18"/>
  <c r="F41" i="20"/>
  <c r="E157" i="18"/>
  <c r="D169" i="18"/>
  <c r="E169" i="18" s="1"/>
  <c r="D259" i="18"/>
  <c r="E91" i="17"/>
  <c r="C92" i="17"/>
  <c r="F91" i="17"/>
  <c r="C48" i="22"/>
  <c r="C38" i="22"/>
  <c r="C56" i="22"/>
  <c r="C113" i="22"/>
  <c r="C281" i="17"/>
  <c r="E270" i="17"/>
  <c r="F270" i="17" s="1"/>
  <c r="C324" i="17" l="1"/>
  <c r="C113" i="17"/>
  <c r="E92" i="17"/>
  <c r="F92" i="17" s="1"/>
  <c r="D91" i="18"/>
  <c r="E83" i="18"/>
  <c r="F141" i="17"/>
  <c r="C322" i="17"/>
  <c r="E286" i="17"/>
  <c r="F286" i="17" s="1"/>
  <c r="E259" i="18"/>
  <c r="D263" i="18"/>
  <c r="E263" i="18" s="1"/>
  <c r="C22" i="13"/>
  <c r="E49" i="17"/>
  <c r="F49" i="17" s="1"/>
  <c r="D50" i="17"/>
  <c r="E141" i="17"/>
  <c r="D322" i="17"/>
  <c r="D148" i="17"/>
  <c r="E148" i="17" s="1"/>
  <c r="E96" i="18"/>
  <c r="D102" i="18"/>
  <c r="E102" i="18" s="1"/>
  <c r="D235" i="18"/>
  <c r="E235" i="18" s="1"/>
  <c r="E211" i="18"/>
  <c r="D181" i="18"/>
  <c r="E181" i="18" s="1"/>
  <c r="D50" i="5"/>
  <c r="E258" i="18"/>
  <c r="D264" i="18"/>
  <c r="C197" i="17"/>
  <c r="C148" i="17"/>
  <c r="E127" i="17"/>
  <c r="F127" i="17" s="1"/>
  <c r="C49" i="12"/>
  <c r="E42" i="12"/>
  <c r="F42" i="12" s="1"/>
  <c r="D115" i="18"/>
  <c r="E115" i="18" s="1"/>
  <c r="D114" i="18"/>
  <c r="E114" i="18" s="1"/>
  <c r="D124" i="18"/>
  <c r="E124" i="18" s="1"/>
  <c r="D121" i="18"/>
  <c r="D122" i="18"/>
  <c r="D112" i="18"/>
  <c r="E112" i="18" s="1"/>
  <c r="D111" i="18"/>
  <c r="E111" i="18" s="1"/>
  <c r="D123" i="18"/>
  <c r="E123" i="18" s="1"/>
  <c r="D110" i="18"/>
  <c r="D126" i="18"/>
  <c r="E126" i="18" s="1"/>
  <c r="E77" i="18"/>
  <c r="D113" i="18"/>
  <c r="E113" i="18" s="1"/>
  <c r="D109" i="18"/>
  <c r="D127" i="18"/>
  <c r="E127" i="18" s="1"/>
  <c r="D125" i="18"/>
  <c r="E125" i="18" s="1"/>
  <c r="D254" i="18"/>
  <c r="E254" i="18" s="1"/>
  <c r="D194" i="17"/>
  <c r="E193" i="17"/>
  <c r="F193" i="17" s="1"/>
  <c r="D282" i="17"/>
  <c r="D266" i="17"/>
  <c r="E273" i="17"/>
  <c r="F273" i="17" s="1"/>
  <c r="D309" i="17"/>
  <c r="C291" i="17"/>
  <c r="F288" i="17"/>
  <c r="C289" i="17"/>
  <c r="E288" i="17"/>
  <c r="E106" i="17"/>
  <c r="F106" i="17" s="1"/>
  <c r="E173" i="17"/>
  <c r="D174" i="17"/>
  <c r="E174" i="17" s="1"/>
  <c r="D175" i="17"/>
  <c r="D103" i="18"/>
  <c r="E103" i="18" s="1"/>
  <c r="E95" i="18"/>
  <c r="C269" i="18"/>
  <c r="C268" i="18"/>
  <c r="C271" i="18" s="1"/>
  <c r="C208" i="17"/>
  <c r="F21" i="5"/>
  <c r="C35" i="5"/>
  <c r="E21" i="5"/>
  <c r="E84" i="18"/>
  <c r="D90" i="18"/>
  <c r="E90" i="18" s="1"/>
  <c r="E158" i="8"/>
  <c r="D208" i="17"/>
  <c r="E207" i="17"/>
  <c r="F207" i="17" s="1"/>
  <c r="F173" i="17"/>
  <c r="C175" i="17"/>
  <c r="C174" i="17"/>
  <c r="E324" i="17" l="1"/>
  <c r="F324" i="17" s="1"/>
  <c r="C305" i="17"/>
  <c r="E291" i="17"/>
  <c r="F291" i="17" s="1"/>
  <c r="E49" i="12"/>
  <c r="F49" i="12" s="1"/>
  <c r="C43" i="5"/>
  <c r="E35" i="5"/>
  <c r="F35" i="5" s="1"/>
  <c r="D196" i="17"/>
  <c r="E194" i="17"/>
  <c r="F194" i="17" s="1"/>
  <c r="D195" i="17"/>
  <c r="E195" i="17" s="1"/>
  <c r="F195" i="17" s="1"/>
  <c r="D116" i="18"/>
  <c r="E116" i="18" s="1"/>
  <c r="E110" i="18"/>
  <c r="E264" i="18"/>
  <c r="D266" i="18"/>
  <c r="F208" i="17"/>
  <c r="C209" i="17"/>
  <c r="C210" i="17"/>
  <c r="E322" i="17"/>
  <c r="F322" i="17" s="1"/>
  <c r="D105" i="18"/>
  <c r="E105" i="18" s="1"/>
  <c r="E91" i="18"/>
  <c r="D128" i="18"/>
  <c r="E128" i="18" s="1"/>
  <c r="E122" i="18"/>
  <c r="E266" i="17"/>
  <c r="F266" i="17" s="1"/>
  <c r="D265" i="17"/>
  <c r="E265" i="17" s="1"/>
  <c r="F265" i="17" s="1"/>
  <c r="E121" i="18"/>
  <c r="C176" i="17"/>
  <c r="F175" i="17"/>
  <c r="E175" i="17"/>
  <c r="D176" i="17"/>
  <c r="D310" i="17"/>
  <c r="E208" i="17"/>
  <c r="D210" i="17"/>
  <c r="D209" i="17"/>
  <c r="E109" i="18"/>
  <c r="D117" i="18"/>
  <c r="F174" i="17"/>
  <c r="E289" i="17"/>
  <c r="F289" i="17" s="1"/>
  <c r="E282" i="17"/>
  <c r="F282" i="17" s="1"/>
  <c r="D281" i="17"/>
  <c r="E281" i="17" s="1"/>
  <c r="F281" i="17" s="1"/>
  <c r="F148" i="17"/>
  <c r="D70" i="17"/>
  <c r="E70" i="17" s="1"/>
  <c r="F70" i="17" s="1"/>
  <c r="E50" i="17"/>
  <c r="F50" i="17" s="1"/>
  <c r="E113" i="17"/>
  <c r="F113" i="17" s="1"/>
  <c r="E176" i="17" l="1"/>
  <c r="D183" i="17"/>
  <c r="D323" i="17"/>
  <c r="F209" i="17"/>
  <c r="D197" i="17"/>
  <c r="E197" i="17" s="1"/>
  <c r="F197" i="17" s="1"/>
  <c r="E196" i="17"/>
  <c r="F196" i="17" s="1"/>
  <c r="D131" i="18"/>
  <c r="E131" i="18" s="1"/>
  <c r="E117" i="18"/>
  <c r="C309" i="17"/>
  <c r="E305" i="17"/>
  <c r="F305" i="17" s="1"/>
  <c r="F210" i="17"/>
  <c r="F176" i="17"/>
  <c r="C323" i="17"/>
  <c r="C183" i="17"/>
  <c r="F183" i="17" s="1"/>
  <c r="C211" i="17"/>
  <c r="D211" i="17"/>
  <c r="E210" i="17"/>
  <c r="C50" i="5"/>
  <c r="E43" i="5"/>
  <c r="F43" i="5" s="1"/>
  <c r="D312" i="17"/>
  <c r="E266" i="18"/>
  <c r="D267" i="18"/>
  <c r="E209" i="17"/>
  <c r="D129" i="18"/>
  <c r="E129" i="18" s="1"/>
  <c r="F323" i="17" l="1"/>
  <c r="C325" i="17"/>
  <c r="F309" i="17"/>
  <c r="C310" i="17"/>
  <c r="E309" i="17"/>
  <c r="E183" i="17"/>
  <c r="D313" i="17"/>
  <c r="E50" i="5"/>
  <c r="F50" i="5" s="1"/>
  <c r="E323" i="17"/>
  <c r="D325" i="17"/>
  <c r="E325" i="17" s="1"/>
  <c r="D269" i="18"/>
  <c r="E269" i="18" s="1"/>
  <c r="E267" i="18"/>
  <c r="D268" i="18"/>
  <c r="E211" i="17"/>
  <c r="F211" i="17" s="1"/>
  <c r="D251" i="17" l="1"/>
  <c r="D315" i="17"/>
  <c r="D314" i="17"/>
  <c r="D256" i="17"/>
  <c r="C312" i="17"/>
  <c r="E310" i="17"/>
  <c r="F310" i="17" s="1"/>
  <c r="D271" i="18"/>
  <c r="E271" i="18" s="1"/>
  <c r="E268" i="18"/>
  <c r="F325" i="17"/>
  <c r="F312" i="17" l="1"/>
  <c r="C313" i="17"/>
  <c r="E312" i="17"/>
  <c r="D257" i="17"/>
  <c r="D318" i="17"/>
  <c r="C314" i="17" l="1"/>
  <c r="C251" i="17"/>
  <c r="C256" i="17"/>
  <c r="C315" i="17"/>
  <c r="E313" i="17"/>
  <c r="F313" i="17" s="1"/>
  <c r="E315" i="17" l="1"/>
  <c r="F315" i="17" s="1"/>
  <c r="C318" i="17"/>
  <c r="E314" i="17"/>
  <c r="F314" i="17" s="1"/>
  <c r="C257" i="17"/>
  <c r="F256" i="17"/>
  <c r="E256" i="17"/>
  <c r="E251" i="17"/>
  <c r="F251" i="17" s="1"/>
  <c r="F257" i="17" l="1"/>
  <c r="E257" i="17"/>
  <c r="E318" i="17"/>
  <c r="F318" i="17" s="1"/>
</calcChain>
</file>

<file path=xl/sharedStrings.xml><?xml version="1.0" encoding="utf-8"?>
<sst xmlns="http://schemas.openxmlformats.org/spreadsheetml/2006/main" count="2337" uniqueCount="1013">
  <si>
    <t>MIDDLESEX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</si>
  <si>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</si>
  <si>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</si>
  <si>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</si>
  <si>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</si>
  <si>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</si>
  <si>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</si>
  <si>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</si>
  <si>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</si>
  <si>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</si>
  <si>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</si>
  <si>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</si>
  <si>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</si>
  <si>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</si>
  <si>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</si>
  <si>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</si>
  <si>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</si>
  <si>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</si>
  <si>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</si>
  <si>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</si>
  <si>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</si>
  <si>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</si>
  <si>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</si>
  <si>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</si>
  <si>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</si>
  <si>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</si>
  <si>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</si>
  <si>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</si>
  <si>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</si>
  <si>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</si>
  <si>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</si>
  <si>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</si>
  <si>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</si>
  <si>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</si>
  <si>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</si>
  <si>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</si>
  <si>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</si>
  <si>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</si>
  <si>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</si>
  <si>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</si>
  <si>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</si>
  <si>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</si>
  <si>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</si>
  <si>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</si>
  <si>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</si>
  <si>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</si>
  <si>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</si>
  <si>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</si>
  <si>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</si>
  <si>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</si>
  <si>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</si>
  <si>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</si>
  <si>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</si>
  <si>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</si>
  <si>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</si>
  <si>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</si>
  <si>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</si>
  <si>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</si>
  <si>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</si>
  <si>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</si>
  <si>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</si>
  <si>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</si>
  <si>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</si>
  <si>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</si>
  <si>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</si>
  <si>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</si>
  <si>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</si>
  <si>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</si>
  <si>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</si>
  <si>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</si>
  <si>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</si>
  <si>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</si>
  <si>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</si>
  <si>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</si>
  <si>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</si>
  <si>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</si>
  <si>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</si>
  <si>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</si>
  <si>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</si>
  <si>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</si>
  <si>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</si>
  <si>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</si>
  <si>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</si>
  <si>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</si>
  <si>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</si>
  <si>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</si>
  <si>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</si>
  <si>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</si>
  <si>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</si>
  <si>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</si>
  <si>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</si>
  <si>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</si>
  <si>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</si>
  <si>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</si>
  <si>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</si>
  <si>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</si>
  <si>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</si>
  <si>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</si>
  <si>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</si>
  <si>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</si>
  <si>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</si>
  <si>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</si>
  <si>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</si>
  <si>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</si>
  <si>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</si>
  <si>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</si>
  <si>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</si>
  <si>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</si>
  <si>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</si>
  <si>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</si>
  <si>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</si>
  <si>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</si>
  <si>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</si>
  <si>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</si>
  <si>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</si>
  <si>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</si>
  <si>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</si>
  <si>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</si>
  <si>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</si>
  <si>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</si>
  <si>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</si>
  <si>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</si>
  <si>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</si>
  <si>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</si>
  <si>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</si>
  <si>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</si>
  <si>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</si>
  <si>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</si>
  <si>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</si>
  <si>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</si>
  <si>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</si>
  <si>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</si>
  <si>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</si>
  <si>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</si>
  <si>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</si>
  <si>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</si>
  <si>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</si>
  <si>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</si>
  <si>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</si>
  <si>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</si>
  <si>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</si>
  <si>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</si>
  <si>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</si>
  <si>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</si>
  <si>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</si>
  <si>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</si>
  <si>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</si>
  <si>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</si>
  <si>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</si>
  <si>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</si>
  <si>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</si>
  <si>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</si>
  <si>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</si>
  <si>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</si>
  <si>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</si>
  <si>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</si>
  <si>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</si>
  <si>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</si>
  <si>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</si>
  <si>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</si>
  <si>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</si>
  <si>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</si>
  <si>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</si>
  <si>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</si>
  <si>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</si>
  <si>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</si>
  <si>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</si>
  <si>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</si>
  <si>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</si>
  <si>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</si>
  <si>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</si>
  <si>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</si>
  <si>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</si>
  <si>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</si>
  <si>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</si>
  <si>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</si>
  <si>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</si>
  <si>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</si>
  <si>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</si>
  <si>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</si>
  <si>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</si>
  <si>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</si>
  <si>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</si>
  <si>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</si>
  <si>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</si>
  <si>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</si>
  <si>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</si>
  <si>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</si>
  <si>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</si>
  <si>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</si>
  <si>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</si>
  <si>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</si>
  <si>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</si>
  <si>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</si>
  <si>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</si>
  <si>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</si>
  <si>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</si>
  <si>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</si>
  <si>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</si>
  <si>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</si>
  <si>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</si>
  <si>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</si>
  <si>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</si>
  <si>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</si>
  <si>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</si>
  <si>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</si>
  <si>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</si>
  <si>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</si>
  <si>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</si>
  <si>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</si>
  <si>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</si>
  <si>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</si>
  <si>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</si>
  <si>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</si>
  <si>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</si>
  <si>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</si>
  <si>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</si>
  <si>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</si>
  <si>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</si>
  <si>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</si>
  <si>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</si>
  <si>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</si>
  <si>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</si>
  <si>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</si>
  <si>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</si>
  <si>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</si>
  <si>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</si>
  <si>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</si>
  <si>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</si>
  <si>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</si>
  <si>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</si>
  <si>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</si>
  <si>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</si>
  <si>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</si>
  <si>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</si>
  <si>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</si>
  <si>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</si>
  <si>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</si>
  <si>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</si>
  <si>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</si>
  <si>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</si>
  <si>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</si>
  <si>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</si>
  <si>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</si>
  <si>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</si>
  <si>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</si>
  <si>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</si>
  <si>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</si>
  <si>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</si>
  <si>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</si>
  <si>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</si>
  <si>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</si>
  <si>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</si>
  <si>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</si>
  <si>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</si>
  <si>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</si>
  <si>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</si>
  <si>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</si>
  <si>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</si>
  <si>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</si>
  <si>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</si>
  <si>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</si>
  <si>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</si>
  <si>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</si>
  <si>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</si>
  <si>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</si>
  <si>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</si>
  <si>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</si>
  <si>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</si>
  <si>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</si>
  <si>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</si>
  <si>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</si>
  <si>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</si>
  <si>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</si>
  <si>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</si>
  <si>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</si>
  <si>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</si>
  <si>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</si>
  <si>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</si>
  <si>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</si>
  <si>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</si>
  <si>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</si>
  <si>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</si>
  <si>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</si>
  <si>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</si>
  <si>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</si>
  <si>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</si>
  <si>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</si>
  <si>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</si>
  <si>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</si>
  <si>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</si>
  <si>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</si>
  <si>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</si>
  <si>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</si>
  <si>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</si>
  <si>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</si>
  <si>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</si>
  <si>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</si>
  <si>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</si>
  <si>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</si>
  <si>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</si>
  <si>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</si>
  <si>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</si>
  <si>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</si>
  <si>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</si>
  <si>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</si>
  <si>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</si>
  <si>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</si>
  <si>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</si>
  <si>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</si>
  <si>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</si>
  <si>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</si>
  <si>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</si>
  <si>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</si>
  <si>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</si>
  <si>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</si>
  <si>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</si>
  <si>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</si>
  <si>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</si>
  <si>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</si>
  <si>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</si>
  <si>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</si>
  <si>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</si>
  <si>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</si>
  <si>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</si>
  <si>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</si>
  <si>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</si>
  <si>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</si>
  <si>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</si>
  <si>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</si>
  <si>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</si>
  <si>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</si>
  <si>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</si>
  <si>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</si>
  <si>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</si>
  <si>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</si>
  <si>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</si>
  <si>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</si>
  <si>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</si>
  <si>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</si>
  <si>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</si>
  <si>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</si>
  <si>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</si>
  <si>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</si>
  <si>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</si>
  <si>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</si>
  <si>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</si>
  <si>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</si>
  <si>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</si>
  <si>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</si>
  <si>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</si>
  <si>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</si>
  <si>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</si>
  <si>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</si>
  <si>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</si>
  <si>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</si>
  <si>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</si>
  <si>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</si>
  <si>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</si>
  <si>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</si>
  <si>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</si>
  <si>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</si>
  <si>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</si>
  <si>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</si>
  <si>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</si>
  <si>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</si>
  <si>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</si>
  <si>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</si>
  <si>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</si>
  <si>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</si>
  <si>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</si>
  <si>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</si>
  <si>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</si>
  <si>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</si>
  <si>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</si>
  <si>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</si>
  <si>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</si>
  <si>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</si>
  <si>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</si>
  <si>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</si>
  <si>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</si>
  <si>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</si>
  <si>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</si>
  <si>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</si>
  <si>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</si>
  <si>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</si>
  <si>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</si>
  <si>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</si>
  <si>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</si>
  <si>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</si>
  <si>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</si>
  <si>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</si>
  <si>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</si>
  <si>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</si>
  <si>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</si>
  <si>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</si>
  <si>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</si>
  <si>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</si>
  <si>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</si>
  <si>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</si>
  <si>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</si>
  <si>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</si>
  <si>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</si>
  <si>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</si>
  <si>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</si>
  <si>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</si>
  <si>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</si>
  <si>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</si>
  <si>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</si>
  <si>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</si>
  <si>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</si>
  <si>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</si>
  <si>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</si>
  <si>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</si>
  <si>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</si>
  <si>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</si>
  <si>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</si>
  <si>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</si>
  <si>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</si>
  <si>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</si>
  <si>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</si>
  <si>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</si>
  <si>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</si>
  <si>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</si>
  <si>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</si>
  <si>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</si>
  <si>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</si>
  <si>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</si>
  <si>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</si>
  <si>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</si>
  <si>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</si>
  <si>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</si>
  <si>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</si>
  <si>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</si>
  <si>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</si>
  <si>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</si>
  <si>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</si>
  <si>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</si>
  <si>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</si>
  <si>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</si>
  <si>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</si>
  <si>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</si>
  <si>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</si>
  <si>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</si>
  <si>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</si>
  <si>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</si>
  <si>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</si>
  <si>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</si>
  <si>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</si>
  <si>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</si>
  <si>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</si>
  <si>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</si>
  <si>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</si>
  <si>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</si>
  <si>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</si>
  <si>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</si>
  <si>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</si>
  <si>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</si>
  <si>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</si>
  <si>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</si>
  <si>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</si>
  <si>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</si>
  <si>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</si>
  <si>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</si>
  <si>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</si>
  <si>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</si>
  <si>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</si>
  <si>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</si>
  <si>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</si>
  <si>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</si>
  <si>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</si>
  <si>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</si>
  <si>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</si>
  <si>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</si>
  <si>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</si>
  <si>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</si>
  <si>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</si>
  <si>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</si>
  <si>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</si>
  <si>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</si>
  <si>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</si>
  <si>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</si>
  <si>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</si>
  <si>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</si>
  <si>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</si>
  <si>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</si>
  <si>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</si>
  <si>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</si>
  <si>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</si>
  <si>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</si>
  <si>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</si>
  <si>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</si>
  <si>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</si>
  <si>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</si>
  <si>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</si>
  <si>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</si>
  <si>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</si>
  <si>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</si>
  <si>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</si>
  <si>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</si>
  <si>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MIDDLESEX HEALTH SYSTEM,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</si>
  <si>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</si>
  <si>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</si>
  <si>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</si>
  <si>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</si>
  <si>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</si>
  <si>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</si>
  <si>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</si>
  <si>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</si>
  <si>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</si>
  <si>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</si>
  <si>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</si>
  <si>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</si>
  <si>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</si>
  <si>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</si>
  <si>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</si>
  <si>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</si>
  <si>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</si>
  <si>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</si>
  <si>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</si>
  <si>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</si>
  <si>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</si>
  <si>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</si>
  <si>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</si>
  <si>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</si>
  <si>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</si>
  <si>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</si>
  <si>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</si>
  <si>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</si>
  <si>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</si>
  <si>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</si>
  <si>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</si>
  <si>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</si>
  <si>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</si>
  <si>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</si>
  <si>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</si>
  <si>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</si>
  <si>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</si>
  <si>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</si>
  <si>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</si>
  <si>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</si>
  <si>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</si>
  <si>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</si>
  <si>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</si>
  <si>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</si>
  <si>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</si>
  <si>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</si>
  <si>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</si>
  <si>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</si>
  <si>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</si>
  <si>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</si>
  <si>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</si>
  <si>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</si>
  <si>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</si>
  <si>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</si>
  <si>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</si>
  <si>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</si>
  <si>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</si>
  <si>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</si>
  <si>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</si>
  <si>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</si>
  <si>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</si>
  <si>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</si>
  <si>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</si>
  <si>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</si>
  <si>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</si>
  <si>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</si>
  <si>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</si>
  <si>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</si>
  <si>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</si>
  <si>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</si>
  <si>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</si>
  <si>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</si>
  <si>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</si>
  <si>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</si>
  <si>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</si>
  <si>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</si>
  <si>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</si>
  <si>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</si>
  <si>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</si>
  <si>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</si>
  <si>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</si>
  <si>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</si>
  <si>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</si>
  <si>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</si>
  <si>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</si>
  <si>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</si>
  <si>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</si>
  <si>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</si>
  <si>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</si>
  <si>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</si>
  <si>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</si>
  <si>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</si>
  <si>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</si>
  <si>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</si>
  <si>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</si>
  <si>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</si>
  <si>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</si>
  <si>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</si>
  <si>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</si>
  <si>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</si>
  <si>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</si>
  <si>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</si>
  <si>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</si>
  <si>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</si>
  <si>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</si>
  <si>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</si>
  <si>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</si>
  <si>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</si>
  <si>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</si>
  <si>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</si>
  <si>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</si>
  <si>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</si>
  <si>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</si>
  <si>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</si>
  <si>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</si>
  <si>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</si>
  <si>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</si>
  <si>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</si>
  <si>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</si>
  <si>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</si>
  <si>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MH OP Center Saybrook Road</t>
  </si>
  <si>
    <t>Middlesex Hospital</t>
  </si>
  <si>
    <t>Total Outpatient Surgical Procedures(A)</t>
  </si>
  <si>
    <t>MH Shoreline Oscopy Room</t>
  </si>
  <si>
    <t>Total Outpatient Endoscopy Procedures(B)</t>
  </si>
  <si>
    <t>Outpatient Hospital Emergency Room Visits</t>
  </si>
  <si>
    <t>MH Marlborough ED</t>
  </si>
  <si>
    <t>MH Shoreline ED</t>
  </si>
  <si>
    <t>Middlesex Hospital ED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</si>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</sst>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36581000</v>
      </c>
      <c r="D13" s="22">
        <v>47854470</v>
      </c>
      <c r="E13" s="22">
        <f t="shared" ref="E13:E22" si="0">D13-C13</f>
        <v>11273470</v>
      </c>
      <c r="F13" s="23">
        <f t="shared" ref="F13:F22" si="1">IF(C13=0,0,E13/C13)</f>
        <v>0.30817828927585361</v>
      </c>
    </row>
    <row r="14" spans="1:8" ht="24" customHeight="1" x14ac:dyDescent="0.2">
      <c r="A14" s="20">
        <v>2</v>
      </c>
      <c r="B14" s="21" t="s">
        <v>17</v>
      </c>
      <c r="C14" s="22">
        <v>21491000</v>
      </c>
      <c r="D14" s="22">
        <v>10160000</v>
      </c>
      <c r="E14" s="22">
        <f t="shared" si="0"/>
        <v>-11331000</v>
      </c>
      <c r="F14" s="23">
        <f t="shared" si="1"/>
        <v>-0.52724396258899076</v>
      </c>
    </row>
    <row r="15" spans="1:8" ht="24" customHeight="1" x14ac:dyDescent="0.2">
      <c r="A15" s="20">
        <v>3</v>
      </c>
      <c r="B15" s="21" t="s">
        <v>18</v>
      </c>
      <c r="C15" s="22">
        <v>43502000</v>
      </c>
      <c r="D15" s="22">
        <v>42766700</v>
      </c>
      <c r="E15" s="22">
        <f t="shared" si="0"/>
        <v>-735300</v>
      </c>
      <c r="F15" s="23">
        <f t="shared" si="1"/>
        <v>-1.6902671141556708E-2</v>
      </c>
    </row>
    <row r="16" spans="1:8" ht="24" customHeight="1" x14ac:dyDescent="0.2">
      <c r="A16" s="20">
        <v>4</v>
      </c>
      <c r="B16" s="21" t="s">
        <v>19</v>
      </c>
      <c r="C16" s="22">
        <v>4281000</v>
      </c>
      <c r="D16" s="22">
        <v>2773844</v>
      </c>
      <c r="E16" s="22">
        <f t="shared" si="0"/>
        <v>-1507156</v>
      </c>
      <c r="F16" s="23">
        <f t="shared" si="1"/>
        <v>-0.35205699602896517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808000</v>
      </c>
      <c r="D18" s="22">
        <v>0</v>
      </c>
      <c r="E18" s="22">
        <f t="shared" si="0"/>
        <v>-808000</v>
      </c>
      <c r="F18" s="23">
        <f t="shared" si="1"/>
        <v>-1</v>
      </c>
    </row>
    <row r="19" spans="1:11" ht="24" customHeight="1" x14ac:dyDescent="0.2">
      <c r="A19" s="20">
        <v>7</v>
      </c>
      <c r="B19" s="21" t="s">
        <v>22</v>
      </c>
      <c r="C19" s="22">
        <v>1161000</v>
      </c>
      <c r="D19" s="22">
        <v>1190149</v>
      </c>
      <c r="E19" s="22">
        <f t="shared" si="0"/>
        <v>29149</v>
      </c>
      <c r="F19" s="23">
        <f t="shared" si="1"/>
        <v>2.5106804478897501E-2</v>
      </c>
    </row>
    <row r="20" spans="1:11" ht="24" customHeight="1" x14ac:dyDescent="0.2">
      <c r="A20" s="20">
        <v>8</v>
      </c>
      <c r="B20" s="21" t="s">
        <v>23</v>
      </c>
      <c r="C20" s="22">
        <v>2329000</v>
      </c>
      <c r="D20" s="22">
        <v>2799860</v>
      </c>
      <c r="E20" s="22">
        <f t="shared" si="0"/>
        <v>470860</v>
      </c>
      <c r="F20" s="23">
        <f t="shared" si="1"/>
        <v>0.20217260626878489</v>
      </c>
    </row>
    <row r="21" spans="1:11" ht="24" customHeight="1" x14ac:dyDescent="0.2">
      <c r="A21" s="20">
        <v>9</v>
      </c>
      <c r="B21" s="21" t="s">
        <v>24</v>
      </c>
      <c r="C21" s="22">
        <v>3214000</v>
      </c>
      <c r="D21" s="22">
        <v>2948541</v>
      </c>
      <c r="E21" s="22">
        <f t="shared" si="0"/>
        <v>-265459</v>
      </c>
      <c r="F21" s="23">
        <f t="shared" si="1"/>
        <v>-8.2594586185438704E-2</v>
      </c>
    </row>
    <row r="22" spans="1:11" ht="24" customHeight="1" x14ac:dyDescent="0.25">
      <c r="A22" s="24"/>
      <c r="B22" s="25" t="s">
        <v>25</v>
      </c>
      <c r="C22" s="26">
        <f>SUM(C13:C21)</f>
        <v>113367000</v>
      </c>
      <c r="D22" s="26">
        <f>SUM(D13:D21)</f>
        <v>110493564</v>
      </c>
      <c r="E22" s="26">
        <f t="shared" si="0"/>
        <v>-2873436</v>
      </c>
      <c r="F22" s="27">
        <f t="shared" si="1"/>
        <v>-2.5346317711503346E-2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10442000</v>
      </c>
      <c r="D25" s="22">
        <v>10936569</v>
      </c>
      <c r="E25" s="22">
        <f>D25-C25</f>
        <v>494569</v>
      </c>
      <c r="F25" s="23">
        <f>IF(C25=0,0,E25/C25)</f>
        <v>4.7363436123348014E-2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119802000</v>
      </c>
      <c r="D26" s="22">
        <v>118316405</v>
      </c>
      <c r="E26" s="22">
        <f>D26-C26</f>
        <v>-1485595</v>
      </c>
      <c r="F26" s="23">
        <f>IF(C26=0,0,E26/C26)</f>
        <v>-1.2400419024724128E-2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15947000</v>
      </c>
      <c r="D28" s="22">
        <v>19086251</v>
      </c>
      <c r="E28" s="22">
        <f>D28-C28</f>
        <v>3139251</v>
      </c>
      <c r="F28" s="23">
        <f>IF(C28=0,0,E28/C28)</f>
        <v>0.19685527058380886</v>
      </c>
    </row>
    <row r="29" spans="1:11" ht="24" customHeight="1" x14ac:dyDescent="0.25">
      <c r="A29" s="24"/>
      <c r="B29" s="25" t="s">
        <v>32</v>
      </c>
      <c r="C29" s="26">
        <f>SUM(C25:C28)</f>
        <v>146191000</v>
      </c>
      <c r="D29" s="26">
        <f>SUM(D25:D28)</f>
        <v>148339225</v>
      </c>
      <c r="E29" s="26">
        <f>D29-C29</f>
        <v>2148225</v>
      </c>
      <c r="F29" s="27">
        <f>IF(C29=0,0,E29/C29)</f>
        <v>1.4694646045242184E-2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23461000</v>
      </c>
      <c r="D32" s="22">
        <v>11001880</v>
      </c>
      <c r="E32" s="22">
        <f>D32-C32</f>
        <v>-12459120</v>
      </c>
      <c r="F32" s="23">
        <f>IF(C32=0,0,E32/C32)</f>
        <v>-0.53105664720173906</v>
      </c>
    </row>
    <row r="33" spans="1:8" ht="24" customHeight="1" x14ac:dyDescent="0.2">
      <c r="A33" s="20">
        <v>7</v>
      </c>
      <c r="B33" s="21" t="s">
        <v>35</v>
      </c>
      <c r="C33" s="22">
        <v>8380000</v>
      </c>
      <c r="D33" s="22">
        <v>11981815</v>
      </c>
      <c r="E33" s="22">
        <f>D33-C33</f>
        <v>3601815</v>
      </c>
      <c r="F33" s="23">
        <f>IF(C33=0,0,E33/C33)</f>
        <v>0.42981085918854417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436930000</v>
      </c>
      <c r="D36" s="22">
        <v>453616450</v>
      </c>
      <c r="E36" s="22">
        <f>D36-C36</f>
        <v>16686450</v>
      </c>
      <c r="F36" s="23">
        <f>IF(C36=0,0,E36/C36)</f>
        <v>3.8190213535348912E-2</v>
      </c>
    </row>
    <row r="37" spans="1:8" ht="24" customHeight="1" x14ac:dyDescent="0.2">
      <c r="A37" s="20">
        <v>2</v>
      </c>
      <c r="B37" s="21" t="s">
        <v>39</v>
      </c>
      <c r="C37" s="22">
        <v>252473000</v>
      </c>
      <c r="D37" s="22">
        <v>275553635</v>
      </c>
      <c r="E37" s="22">
        <f>D37-C37</f>
        <v>23080635</v>
      </c>
      <c r="F37" s="23">
        <f>IF(C37=0,0,E37/C37)</f>
        <v>9.1418230860329616E-2</v>
      </c>
    </row>
    <row r="38" spans="1:8" ht="24" customHeight="1" x14ac:dyDescent="0.25">
      <c r="A38" s="24"/>
      <c r="B38" s="25" t="s">
        <v>40</v>
      </c>
      <c r="C38" s="26">
        <f>C36-C37</f>
        <v>184457000</v>
      </c>
      <c r="D38" s="26">
        <f>D36-D37</f>
        <v>178062815</v>
      </c>
      <c r="E38" s="26">
        <f>D38-C38</f>
        <v>-6394185</v>
      </c>
      <c r="F38" s="27">
        <f>IF(C38=0,0,E38/C38)</f>
        <v>-3.4664908352624188E-2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7955000</v>
      </c>
      <c r="D40" s="22">
        <v>10138450</v>
      </c>
      <c r="E40" s="22">
        <f>D40-C40</f>
        <v>2183450</v>
      </c>
      <c r="F40" s="23">
        <f>IF(C40=0,0,E40/C40)</f>
        <v>0.27447517284726586</v>
      </c>
    </row>
    <row r="41" spans="1:8" ht="24" customHeight="1" x14ac:dyDescent="0.25">
      <c r="A41" s="24"/>
      <c r="B41" s="25" t="s">
        <v>42</v>
      </c>
      <c r="C41" s="26">
        <f>+C38+C40</f>
        <v>192412000</v>
      </c>
      <c r="D41" s="26">
        <f>+D38+D40</f>
        <v>188201265</v>
      </c>
      <c r="E41" s="26">
        <f>D41-C41</f>
        <v>-4210735</v>
      </c>
      <c r="F41" s="27">
        <f>IF(C41=0,0,E41/C41)</f>
        <v>-2.18839521443569E-2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483811000</v>
      </c>
      <c r="D43" s="26">
        <f>D22+D29+D31+D32+D33+D41</f>
        <v>470017749</v>
      </c>
      <c r="E43" s="26">
        <f>D43-C43</f>
        <v>-13793251</v>
      </c>
      <c r="F43" s="27">
        <f>IF(C43=0,0,E43/C43)</f>
        <v>-2.8509585354611615E-2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21523000</v>
      </c>
      <c r="D49" s="22">
        <v>18972638</v>
      </c>
      <c r="E49" s="22">
        <f t="shared" ref="E49:E56" si="2">D49-C49</f>
        <v>-2550362</v>
      </c>
      <c r="F49" s="23">
        <f t="shared" ref="F49:F56" si="3">IF(C49=0,0,E49/C49)</f>
        <v>-0.11849472657157459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32945000</v>
      </c>
      <c r="D50" s="22">
        <v>28400357</v>
      </c>
      <c r="E50" s="22">
        <f t="shared" si="2"/>
        <v>-4544643</v>
      </c>
      <c r="F50" s="23">
        <f t="shared" si="3"/>
        <v>-0.13794636515404463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965643</v>
      </c>
      <c r="E51" s="22">
        <f t="shared" si="2"/>
        <v>965643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3255000</v>
      </c>
      <c r="D53" s="22">
        <v>3410000</v>
      </c>
      <c r="E53" s="22">
        <f t="shared" si="2"/>
        <v>155000</v>
      </c>
      <c r="F53" s="23">
        <f t="shared" si="3"/>
        <v>4.7619047619047616E-2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21000</v>
      </c>
      <c r="D54" s="22">
        <v>5244</v>
      </c>
      <c r="E54" s="22">
        <f t="shared" si="2"/>
        <v>-15756</v>
      </c>
      <c r="F54" s="23">
        <f t="shared" si="3"/>
        <v>-0.75028571428571433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6360000</v>
      </c>
      <c r="D55" s="22">
        <v>4833162</v>
      </c>
      <c r="E55" s="22">
        <f t="shared" si="2"/>
        <v>-1526838</v>
      </c>
      <c r="F55" s="23">
        <f t="shared" si="3"/>
        <v>-0.24006886792452831</v>
      </c>
    </row>
    <row r="56" spans="1:6" ht="24" customHeight="1" x14ac:dyDescent="0.25">
      <c r="A56" s="24"/>
      <c r="B56" s="25" t="s">
        <v>54</v>
      </c>
      <c r="C56" s="26">
        <f>SUM(C49:C55)</f>
        <v>64104000</v>
      </c>
      <c r="D56" s="26">
        <f>SUM(D49:D55)</f>
        <v>56587044</v>
      </c>
      <c r="E56" s="26">
        <f t="shared" si="2"/>
        <v>-7516956</v>
      </c>
      <c r="F56" s="27">
        <f t="shared" si="3"/>
        <v>-0.11726188693373268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56684000</v>
      </c>
      <c r="D59" s="22">
        <v>52587952</v>
      </c>
      <c r="E59" s="22">
        <f>D59-C59</f>
        <v>-4096048</v>
      </c>
      <c r="F59" s="23">
        <f>IF(C59=0,0,E59/C59)</f>
        <v>-7.2261096605744118E-2</v>
      </c>
    </row>
    <row r="60" spans="1:6" ht="24" customHeight="1" x14ac:dyDescent="0.2">
      <c r="A60" s="20">
        <v>2</v>
      </c>
      <c r="B60" s="21" t="s">
        <v>57</v>
      </c>
      <c r="C60" s="22">
        <v>5000</v>
      </c>
      <c r="D60" s="22">
        <v>0</v>
      </c>
      <c r="E60" s="22">
        <f>D60-C60</f>
        <v>-5000</v>
      </c>
      <c r="F60" s="23">
        <f>IF(C60=0,0,E60/C60)</f>
        <v>-1</v>
      </c>
    </row>
    <row r="61" spans="1:6" ht="24" customHeight="1" x14ac:dyDescent="0.25">
      <c r="A61" s="24"/>
      <c r="B61" s="25" t="s">
        <v>58</v>
      </c>
      <c r="C61" s="26">
        <f>SUM(C59:C60)</f>
        <v>56689000</v>
      </c>
      <c r="D61" s="26">
        <f>SUM(D59:D60)</f>
        <v>52587952</v>
      </c>
      <c r="E61" s="26">
        <f>D61-C61</f>
        <v>-4101048</v>
      </c>
      <c r="F61" s="27">
        <f>IF(C61=0,0,E61/C61)</f>
        <v>-7.2342923671258968E-2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45992000</v>
      </c>
      <c r="D63" s="22">
        <v>64263947</v>
      </c>
      <c r="E63" s="22">
        <f>D63-C63</f>
        <v>18271947</v>
      </c>
      <c r="F63" s="23">
        <f>IF(C63=0,0,E63/C63)</f>
        <v>0.39728533223169249</v>
      </c>
    </row>
    <row r="64" spans="1:6" ht="24" customHeight="1" x14ac:dyDescent="0.2">
      <c r="A64" s="20">
        <v>4</v>
      </c>
      <c r="B64" s="21" t="s">
        <v>60</v>
      </c>
      <c r="C64" s="22">
        <v>29326000</v>
      </c>
      <c r="D64" s="22">
        <v>34622749</v>
      </c>
      <c r="E64" s="22">
        <f>D64-C64</f>
        <v>5296749</v>
      </c>
      <c r="F64" s="23">
        <f>IF(C64=0,0,E64/C64)</f>
        <v>0.18061614267203163</v>
      </c>
    </row>
    <row r="65" spans="1:6" ht="24" customHeight="1" x14ac:dyDescent="0.25">
      <c r="A65" s="24"/>
      <c r="B65" s="25" t="s">
        <v>61</v>
      </c>
      <c r="C65" s="26">
        <f>SUM(C61:C64)</f>
        <v>132007000</v>
      </c>
      <c r="D65" s="26">
        <f>SUM(D61:D64)</f>
        <v>151474648</v>
      </c>
      <c r="E65" s="26">
        <f>D65-C65</f>
        <v>19467648</v>
      </c>
      <c r="F65" s="27">
        <f>IF(C65=0,0,E65/C65)</f>
        <v>0.14747436120811774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270689000</v>
      </c>
      <c r="D70" s="22">
        <v>245189354</v>
      </c>
      <c r="E70" s="22">
        <f>D70-C70</f>
        <v>-25499646</v>
      </c>
      <c r="F70" s="23">
        <f>IF(C70=0,0,E70/C70)</f>
        <v>-9.4202741891986741E-2</v>
      </c>
    </row>
    <row r="71" spans="1:6" ht="24" customHeight="1" x14ac:dyDescent="0.2">
      <c r="A71" s="20">
        <v>2</v>
      </c>
      <c r="B71" s="21" t="s">
        <v>65</v>
      </c>
      <c r="C71" s="22">
        <v>10034000</v>
      </c>
      <c r="D71" s="22">
        <v>9788808</v>
      </c>
      <c r="E71" s="22">
        <f>D71-C71</f>
        <v>-245192</v>
      </c>
      <c r="F71" s="23">
        <f>IF(C71=0,0,E71/C71)</f>
        <v>-2.443611720151485E-2</v>
      </c>
    </row>
    <row r="72" spans="1:6" ht="24" customHeight="1" x14ac:dyDescent="0.2">
      <c r="A72" s="20">
        <v>3</v>
      </c>
      <c r="B72" s="21" t="s">
        <v>66</v>
      </c>
      <c r="C72" s="22">
        <v>6977000</v>
      </c>
      <c r="D72" s="22">
        <v>6977895</v>
      </c>
      <c r="E72" s="22">
        <f>D72-C72</f>
        <v>895</v>
      </c>
      <c r="F72" s="23">
        <f>IF(C72=0,0,E72/C72)</f>
        <v>1.2827862978357461E-4</v>
      </c>
    </row>
    <row r="73" spans="1:6" ht="24" customHeight="1" x14ac:dyDescent="0.25">
      <c r="A73" s="20"/>
      <c r="B73" s="25" t="s">
        <v>67</v>
      </c>
      <c r="C73" s="26">
        <f>SUM(C70:C72)</f>
        <v>287700000</v>
      </c>
      <c r="D73" s="26">
        <f>SUM(D70:D72)</f>
        <v>261956057</v>
      </c>
      <c r="E73" s="26">
        <f>D73-C73</f>
        <v>-25743943</v>
      </c>
      <c r="F73" s="27">
        <f>IF(C73=0,0,E73/C73)</f>
        <v>-8.9481901286061871E-2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483811000</v>
      </c>
      <c r="D75" s="26">
        <f>D56+D65+D67+D73</f>
        <v>470017749</v>
      </c>
      <c r="E75" s="26">
        <f>D75-C75</f>
        <v>-13793251</v>
      </c>
      <c r="F75" s="27">
        <f>IF(C75=0,0,E75/C75)</f>
        <v>-2.8509585354611615E-2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FILING&amp;RMIDDLESEX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3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361760000</v>
      </c>
      <c r="D11" s="76">
        <v>370244000</v>
      </c>
      <c r="E11" s="76">
        <v>377006000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12946000</v>
      </c>
      <c r="D12" s="185">
        <v>13560000</v>
      </c>
      <c r="E12" s="185">
        <v>14648000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374706000</v>
      </c>
      <c r="D13" s="76">
        <f>+D11+D12</f>
        <v>383804000</v>
      </c>
      <c r="E13" s="76">
        <f>+E11+E12</f>
        <v>391654000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360357000</v>
      </c>
      <c r="D14" s="185">
        <v>366898000</v>
      </c>
      <c r="E14" s="185">
        <v>390600000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14349000</v>
      </c>
      <c r="D15" s="76">
        <f>+D13-D14</f>
        <v>16906000</v>
      </c>
      <c r="E15" s="76">
        <f>+E13-E14</f>
        <v>1054000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7155000</v>
      </c>
      <c r="D16" s="185">
        <v>14998000</v>
      </c>
      <c r="E16" s="185">
        <v>7195000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21504000</v>
      </c>
      <c r="D17" s="76">
        <f>D15+D16</f>
        <v>31904000</v>
      </c>
      <c r="E17" s="76">
        <f>E15+E16</f>
        <v>8249000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3.757650034960365E-2</v>
      </c>
      <c r="D20" s="189">
        <f>IF(+D27=0,0,+D24/+D27)</f>
        <v>4.2391963931976272E-2</v>
      </c>
      <c r="E20" s="189">
        <f>IF(+E27=0,0,+E24/+E27)</f>
        <v>2.6426040932784087E-3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1.8737184472884111E-2</v>
      </c>
      <c r="D21" s="189">
        <f>IF(+D27=0,0,+D26/+D27)</f>
        <v>3.760763486642494E-2</v>
      </c>
      <c r="E21" s="189">
        <f>IF(+E27=0,0,+E26/+E27)</f>
        <v>1.803940839766428E-2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5.6313684822487761E-2</v>
      </c>
      <c r="D22" s="189">
        <f>IF(+D27=0,0,+D28/+D27)</f>
        <v>7.9999598798401211E-2</v>
      </c>
      <c r="E22" s="189">
        <f>IF(+E27=0,0,+E28/+E27)</f>
        <v>2.0682012490942689E-2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14349000</v>
      </c>
      <c r="D24" s="76">
        <f>+D15</f>
        <v>16906000</v>
      </c>
      <c r="E24" s="76">
        <f>+E15</f>
        <v>1054000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374706000</v>
      </c>
      <c r="D25" s="76">
        <f>+D13</f>
        <v>383804000</v>
      </c>
      <c r="E25" s="76">
        <f>+E13</f>
        <v>391654000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7155000</v>
      </c>
      <c r="D26" s="76">
        <f>+D16</f>
        <v>14998000</v>
      </c>
      <c r="E26" s="76">
        <f>+E16</f>
        <v>7195000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381861000</v>
      </c>
      <c r="D27" s="76">
        <f>SUM(D25:D26)</f>
        <v>398802000</v>
      </c>
      <c r="E27" s="76">
        <f>SUM(E25:E26)</f>
        <v>398849000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21504000</v>
      </c>
      <c r="D28" s="76">
        <f>+D17</f>
        <v>31904000</v>
      </c>
      <c r="E28" s="76">
        <f>+E17</f>
        <v>8249000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253975000</v>
      </c>
      <c r="D31" s="76">
        <v>276492000</v>
      </c>
      <c r="E31" s="76">
        <v>252186000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270319000</v>
      </c>
      <c r="D32" s="76">
        <v>293600000</v>
      </c>
      <c r="E32" s="76">
        <v>269019000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103509000</v>
      </c>
      <c r="D33" s="76">
        <f>+D32-C32</f>
        <v>23281000</v>
      </c>
      <c r="E33" s="76">
        <f>+E32-D32</f>
        <v>-24581000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1.6205000000000001</v>
      </c>
      <c r="D34" s="193">
        <f>IF(C32=0,0,+D33/C32)</f>
        <v>8.6124171811822331E-2</v>
      </c>
      <c r="E34" s="193">
        <f>IF(D32=0,0,+E33/D32)</f>
        <v>-8.3722752043596735E-2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2.063987175847847</v>
      </c>
      <c r="D38" s="338">
        <f>IF(+D40=0,0,+D39/+D40)</f>
        <v>1.7735176974524687</v>
      </c>
      <c r="E38" s="338">
        <f>IF(+E40=0,0,+E39/+E40)</f>
        <v>1.9181048164792756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123606000</v>
      </c>
      <c r="D39" s="341">
        <v>118001000</v>
      </c>
      <c r="E39" s="341">
        <v>114812000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59887000</v>
      </c>
      <c r="D40" s="341">
        <v>66535000</v>
      </c>
      <c r="E40" s="341">
        <v>59857000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69.297706373095068</v>
      </c>
      <c r="D42" s="343">
        <f>IF((D48/365)=0,0,+D45/(D48/365))</f>
        <v>65.013014357963186</v>
      </c>
      <c r="E42" s="343">
        <f>IF((E48/365)=0,0,+E45/(E48/365))</f>
        <v>60.338899266979098</v>
      </c>
    </row>
    <row r="43" spans="1:14" ht="24" customHeight="1" x14ac:dyDescent="0.2">
      <c r="A43" s="339">
        <v>5</v>
      </c>
      <c r="B43" s="344" t="s">
        <v>16</v>
      </c>
      <c r="C43" s="345">
        <v>43344000</v>
      </c>
      <c r="D43" s="345">
        <v>39755000</v>
      </c>
      <c r="E43" s="345">
        <v>50370000</v>
      </c>
    </row>
    <row r="44" spans="1:14" ht="24" customHeight="1" x14ac:dyDescent="0.2">
      <c r="A44" s="339">
        <v>6</v>
      </c>
      <c r="B44" s="346" t="s">
        <v>17</v>
      </c>
      <c r="C44" s="345">
        <v>20741000</v>
      </c>
      <c r="D44" s="345">
        <v>21491000</v>
      </c>
      <c r="E44" s="345">
        <v>10160000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64085000</v>
      </c>
      <c r="D45" s="341">
        <f>+D43+D44</f>
        <v>61246000</v>
      </c>
      <c r="E45" s="341">
        <f>+E43+E44</f>
        <v>60530000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360357000</v>
      </c>
      <c r="D46" s="341">
        <f>+D14</f>
        <v>366898000</v>
      </c>
      <c r="E46" s="341">
        <f>+E14</f>
        <v>390600000</v>
      </c>
    </row>
    <row r="47" spans="1:14" ht="24" customHeight="1" x14ac:dyDescent="0.2">
      <c r="A47" s="339">
        <v>9</v>
      </c>
      <c r="B47" s="340" t="s">
        <v>356</v>
      </c>
      <c r="C47" s="341">
        <v>22813000</v>
      </c>
      <c r="D47" s="341">
        <v>23047000</v>
      </c>
      <c r="E47" s="341">
        <v>24444000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337544000</v>
      </c>
      <c r="D48" s="341">
        <f>+D46-D47</f>
        <v>343851000</v>
      </c>
      <c r="E48" s="341">
        <f>+E46-E47</f>
        <v>366156000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48.174632352941181</v>
      </c>
      <c r="D50" s="350">
        <f>IF((D55/365)=0,0,+D54/(D55/365))</f>
        <v>44.681061678244617</v>
      </c>
      <c r="E50" s="350">
        <f>IF((E55/365)=0,0,+E54/(E55/365))</f>
        <v>42.762409616823071</v>
      </c>
    </row>
    <row r="51" spans="1:5" ht="24" customHeight="1" x14ac:dyDescent="0.2">
      <c r="A51" s="339">
        <v>12</v>
      </c>
      <c r="B51" s="344" t="s">
        <v>359</v>
      </c>
      <c r="C51" s="351">
        <v>44833000</v>
      </c>
      <c r="D51" s="351">
        <v>44515000</v>
      </c>
      <c r="E51" s="351">
        <v>44169000</v>
      </c>
    </row>
    <row r="52" spans="1:5" ht="24" customHeight="1" x14ac:dyDescent="0.2">
      <c r="A52" s="339">
        <v>13</v>
      </c>
      <c r="B52" s="344" t="s">
        <v>21</v>
      </c>
      <c r="C52" s="341">
        <v>2914000</v>
      </c>
      <c r="D52" s="341">
        <v>808000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47747000</v>
      </c>
      <c r="D54" s="352">
        <f>+D51+D52-D53</f>
        <v>45323000</v>
      </c>
      <c r="E54" s="352">
        <f>+E51+E52-E53</f>
        <v>44169000</v>
      </c>
    </row>
    <row r="55" spans="1:5" ht="24" customHeight="1" x14ac:dyDescent="0.2">
      <c r="A55" s="339">
        <v>16</v>
      </c>
      <c r="B55" s="340" t="s">
        <v>75</v>
      </c>
      <c r="C55" s="341">
        <f>+C11</f>
        <v>361760000</v>
      </c>
      <c r="D55" s="341">
        <f>+D11</f>
        <v>370244000</v>
      </c>
      <c r="E55" s="341">
        <f>+E11</f>
        <v>377006000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64.758238925888179</v>
      </c>
      <c r="D57" s="355">
        <f>IF((D61/365)=0,0,+D58/(D61/365))</f>
        <v>70.627321136189806</v>
      </c>
      <c r="E57" s="355">
        <f>IF((E61/365)=0,0,+E58/(E61/365))</f>
        <v>59.668024011623459</v>
      </c>
    </row>
    <row r="58" spans="1:5" ht="24" customHeight="1" x14ac:dyDescent="0.2">
      <c r="A58" s="339">
        <v>18</v>
      </c>
      <c r="B58" s="340" t="s">
        <v>54</v>
      </c>
      <c r="C58" s="353">
        <f>+C40</f>
        <v>59887000</v>
      </c>
      <c r="D58" s="353">
        <f>+D40</f>
        <v>66535000</v>
      </c>
      <c r="E58" s="353">
        <f>+E40</f>
        <v>59857000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360357000</v>
      </c>
      <c r="D59" s="353">
        <f t="shared" si="0"/>
        <v>366898000</v>
      </c>
      <c r="E59" s="353">
        <f t="shared" si="0"/>
        <v>390600000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22813000</v>
      </c>
      <c r="D60" s="356">
        <f t="shared" si="0"/>
        <v>23047000</v>
      </c>
      <c r="E60" s="356">
        <f t="shared" si="0"/>
        <v>24444000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337544000</v>
      </c>
      <c r="D61" s="353">
        <f>+D59-D60</f>
        <v>343851000</v>
      </c>
      <c r="E61" s="353">
        <f>+E59-E60</f>
        <v>366156000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56.962628146368701</v>
      </c>
      <c r="D65" s="357">
        <f>IF(D67=0,0,(D66/D67)*100)</f>
        <v>58.995509027156821</v>
      </c>
      <c r="E65" s="357">
        <f>IF(E67=0,0,(E66/E67)*100)</f>
        <v>55.406830417643249</v>
      </c>
    </row>
    <row r="66" spans="1:5" ht="24" customHeight="1" x14ac:dyDescent="0.2">
      <c r="A66" s="339">
        <v>2</v>
      </c>
      <c r="B66" s="340" t="s">
        <v>67</v>
      </c>
      <c r="C66" s="353">
        <f>+C32</f>
        <v>270319000</v>
      </c>
      <c r="D66" s="353">
        <f>+D32</f>
        <v>293600000</v>
      </c>
      <c r="E66" s="353">
        <f>+E32</f>
        <v>269019000</v>
      </c>
    </row>
    <row r="67" spans="1:5" ht="24" customHeight="1" x14ac:dyDescent="0.2">
      <c r="A67" s="339">
        <v>3</v>
      </c>
      <c r="B67" s="340" t="s">
        <v>43</v>
      </c>
      <c r="C67" s="353">
        <v>474555000</v>
      </c>
      <c r="D67" s="353">
        <v>497665000</v>
      </c>
      <c r="E67" s="353">
        <v>485534000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35.275809918013209</v>
      </c>
      <c r="D69" s="357">
        <f>IF(D75=0,0,(D72/D75)*100)</f>
        <v>42.747123664905992</v>
      </c>
      <c r="E69" s="357">
        <f>IF(E75=0,0,(E72/E75)*100)</f>
        <v>27.844920833652726</v>
      </c>
    </row>
    <row r="70" spans="1:5" ht="24" customHeight="1" x14ac:dyDescent="0.2">
      <c r="A70" s="339">
        <v>5</v>
      </c>
      <c r="B70" s="340" t="s">
        <v>366</v>
      </c>
      <c r="C70" s="353">
        <f>+C28</f>
        <v>21504000</v>
      </c>
      <c r="D70" s="353">
        <f>+D28</f>
        <v>31904000</v>
      </c>
      <c r="E70" s="353">
        <f>+E28</f>
        <v>8249000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22813000</v>
      </c>
      <c r="D71" s="356">
        <f>+D47</f>
        <v>23047000</v>
      </c>
      <c r="E71" s="356">
        <f>+E47</f>
        <v>24444000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44317000</v>
      </c>
      <c r="D72" s="353">
        <f>+D70+D71</f>
        <v>54951000</v>
      </c>
      <c r="E72" s="353">
        <f>+E70+E71</f>
        <v>32693000</v>
      </c>
    </row>
    <row r="73" spans="1:5" ht="24" customHeight="1" x14ac:dyDescent="0.2">
      <c r="A73" s="339">
        <v>8</v>
      </c>
      <c r="B73" s="340" t="s">
        <v>54</v>
      </c>
      <c r="C73" s="341">
        <f>+C40</f>
        <v>59887000</v>
      </c>
      <c r="D73" s="341">
        <f>+D40</f>
        <v>66535000</v>
      </c>
      <c r="E73" s="341">
        <f>+E40</f>
        <v>59857000</v>
      </c>
    </row>
    <row r="74" spans="1:5" ht="24" customHeight="1" x14ac:dyDescent="0.2">
      <c r="A74" s="339">
        <v>9</v>
      </c>
      <c r="B74" s="340" t="s">
        <v>58</v>
      </c>
      <c r="C74" s="353">
        <v>65743000</v>
      </c>
      <c r="D74" s="353">
        <v>62014000</v>
      </c>
      <c r="E74" s="353">
        <v>57554000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125630000</v>
      </c>
      <c r="D75" s="341">
        <f>+D73+D74</f>
        <v>128549000</v>
      </c>
      <c r="E75" s="341">
        <f>+E73+E74</f>
        <v>117411000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19.56275925275693</v>
      </c>
      <c r="D77" s="359">
        <f>IF(D80=0,0,(D78/D80)*100)</f>
        <v>17.438571034886142</v>
      </c>
      <c r="E77" s="359">
        <f>IF(E80=0,0,(E78/E80)*100)</f>
        <v>17.623624733214317</v>
      </c>
    </row>
    <row r="78" spans="1:5" ht="24" customHeight="1" x14ac:dyDescent="0.2">
      <c r="A78" s="339">
        <v>12</v>
      </c>
      <c r="B78" s="340" t="s">
        <v>58</v>
      </c>
      <c r="C78" s="341">
        <f>+C74</f>
        <v>65743000</v>
      </c>
      <c r="D78" s="341">
        <f>+D74</f>
        <v>62014000</v>
      </c>
      <c r="E78" s="341">
        <f>+E74</f>
        <v>57554000</v>
      </c>
    </row>
    <row r="79" spans="1:5" ht="24" customHeight="1" x14ac:dyDescent="0.2">
      <c r="A79" s="339">
        <v>13</v>
      </c>
      <c r="B79" s="340" t="s">
        <v>67</v>
      </c>
      <c r="C79" s="341">
        <f>+C32</f>
        <v>270319000</v>
      </c>
      <c r="D79" s="341">
        <f>+D32</f>
        <v>293600000</v>
      </c>
      <c r="E79" s="341">
        <f>+E32</f>
        <v>269019000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336062000</v>
      </c>
      <c r="D80" s="341">
        <f>+D78+D79</f>
        <v>355614000</v>
      </c>
      <c r="E80" s="341">
        <f>+E78+E79</f>
        <v>326573000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FILING&amp;R&amp;8MIDDLESEX HEALTH SYSTEM,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39124</v>
      </c>
      <c r="D11" s="376">
        <v>10581</v>
      </c>
      <c r="E11" s="376">
        <v>10467</v>
      </c>
      <c r="F11" s="377">
        <v>135</v>
      </c>
      <c r="G11" s="377">
        <v>155</v>
      </c>
      <c r="H11" s="378">
        <f>IF(F11=0,0,$C11/(F11*365))</f>
        <v>0.79399289700659559</v>
      </c>
      <c r="I11" s="378">
        <f>IF(G11=0,0,$C11/(G11*365))</f>
        <v>0.6915422006186478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6935</v>
      </c>
      <c r="D13" s="376">
        <v>555</v>
      </c>
      <c r="E13" s="376">
        <v>0</v>
      </c>
      <c r="F13" s="377">
        <v>21</v>
      </c>
      <c r="G13" s="377">
        <v>24</v>
      </c>
      <c r="H13" s="378">
        <f>IF(F13=0,0,$C13/(F13*365))</f>
        <v>0.90476190476190477</v>
      </c>
      <c r="I13" s="378">
        <f>IF(G13=0,0,$C13/(G13*365))</f>
        <v>0.79166666666666663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6120</v>
      </c>
      <c r="D16" s="376">
        <v>835</v>
      </c>
      <c r="E16" s="376">
        <v>834</v>
      </c>
      <c r="F16" s="377">
        <v>17</v>
      </c>
      <c r="G16" s="377">
        <v>20</v>
      </c>
      <c r="H16" s="378">
        <f t="shared" si="0"/>
        <v>0.98630136986301364</v>
      </c>
      <c r="I16" s="378">
        <f t="shared" si="0"/>
        <v>0.83835616438356164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6120</v>
      </c>
      <c r="D17" s="381">
        <f>SUM(D15:D16)</f>
        <v>835</v>
      </c>
      <c r="E17" s="381">
        <f>SUM(E15:E16)</f>
        <v>834</v>
      </c>
      <c r="F17" s="381">
        <f>SUM(F15:F16)</f>
        <v>17</v>
      </c>
      <c r="G17" s="381">
        <f>SUM(G15:G16)</f>
        <v>20</v>
      </c>
      <c r="H17" s="382">
        <f t="shared" si="0"/>
        <v>0.98630136986301364</v>
      </c>
      <c r="I17" s="382">
        <f t="shared" si="0"/>
        <v>0.83835616438356164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2882</v>
      </c>
      <c r="D21" s="376">
        <v>1105</v>
      </c>
      <c r="E21" s="376">
        <v>1169</v>
      </c>
      <c r="F21" s="377">
        <v>9</v>
      </c>
      <c r="G21" s="377">
        <v>23</v>
      </c>
      <c r="H21" s="378">
        <f>IF(F21=0,0,$C21/(F21*365))</f>
        <v>0.87732115677321154</v>
      </c>
      <c r="I21" s="378">
        <f>IF(G21=0,0,$C21/(G21*365))</f>
        <v>0.34329958308516972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3163</v>
      </c>
      <c r="D23" s="376">
        <v>1096</v>
      </c>
      <c r="E23" s="376">
        <v>1113</v>
      </c>
      <c r="F23" s="377">
        <v>10</v>
      </c>
      <c r="G23" s="377">
        <v>23</v>
      </c>
      <c r="H23" s="378">
        <f>IF(F23=0,0,$C23/(F23*365))</f>
        <v>0.86657534246575341</v>
      </c>
      <c r="I23" s="378">
        <f>IF(G23=0,0,$C23/(G23*365))</f>
        <v>0.37677188802858846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55061</v>
      </c>
      <c r="D31" s="384">
        <f>SUM(D10:D29)-D13-D17-D23</f>
        <v>12521</v>
      </c>
      <c r="E31" s="384">
        <f>SUM(E10:E29)-E17-E23</f>
        <v>12470</v>
      </c>
      <c r="F31" s="384">
        <f>SUM(F10:F29)-F17-F23</f>
        <v>182</v>
      </c>
      <c r="G31" s="384">
        <f>SUM(G10:G29)-G17-G23</f>
        <v>222</v>
      </c>
      <c r="H31" s="385">
        <f>IF(F31=0,0,$C31/(F31*365))</f>
        <v>0.82885744392593708</v>
      </c>
      <c r="I31" s="385">
        <f>IF(G31=0,0,$C31/(G31*365))</f>
        <v>0.67951376033567812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58224</v>
      </c>
      <c r="D33" s="384">
        <f>SUM(D10:D29)-D13-D17</f>
        <v>13617</v>
      </c>
      <c r="E33" s="384">
        <f>SUM(E10:E29)-E17</f>
        <v>13583</v>
      </c>
      <c r="F33" s="384">
        <f>SUM(F10:F29)-F17</f>
        <v>192</v>
      </c>
      <c r="G33" s="384">
        <f>SUM(G10:G29)-G17</f>
        <v>245</v>
      </c>
      <c r="H33" s="385">
        <f>IF(F33=0,0,$C33/(F33*365))</f>
        <v>0.83082191780821912</v>
      </c>
      <c r="I33" s="385">
        <f>IF(G33=0,0,$C33/(G33*365))</f>
        <v>0.65109309477215549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58224</v>
      </c>
      <c r="D36" s="384">
        <f t="shared" si="1"/>
        <v>13617</v>
      </c>
      <c r="E36" s="384">
        <f t="shared" si="1"/>
        <v>13583</v>
      </c>
      <c r="F36" s="384">
        <f t="shared" si="1"/>
        <v>192</v>
      </c>
      <c r="G36" s="384">
        <f t="shared" si="1"/>
        <v>245</v>
      </c>
      <c r="H36" s="387">
        <f t="shared" si="1"/>
        <v>0.83082191780821912</v>
      </c>
      <c r="I36" s="387">
        <f t="shared" si="1"/>
        <v>0.65109309477215549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59299</v>
      </c>
      <c r="D37" s="384">
        <v>14296</v>
      </c>
      <c r="E37" s="384">
        <v>14321</v>
      </c>
      <c r="F37" s="386">
        <v>183</v>
      </c>
      <c r="G37" s="386">
        <v>237</v>
      </c>
      <c r="H37" s="385">
        <f>IF(F37=0,0,$C37/(F37*365))</f>
        <v>0.88777603114005543</v>
      </c>
      <c r="I37" s="385">
        <f>IF(G37=0,0,$C37/(G37*365))</f>
        <v>0.68549794809548581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-1075</v>
      </c>
      <c r="D38" s="384">
        <f t="shared" si="2"/>
        <v>-679</v>
      </c>
      <c r="E38" s="384">
        <f t="shared" si="2"/>
        <v>-738</v>
      </c>
      <c r="F38" s="384">
        <f t="shared" si="2"/>
        <v>9</v>
      </c>
      <c r="G38" s="384">
        <f t="shared" si="2"/>
        <v>8</v>
      </c>
      <c r="H38" s="387">
        <f t="shared" si="2"/>
        <v>-5.6954113331836309E-2</v>
      </c>
      <c r="I38" s="387">
        <f t="shared" si="2"/>
        <v>-3.440485332333032E-2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-1.8128467596418153E-2</v>
      </c>
      <c r="D40" s="389">
        <f t="shared" si="3"/>
        <v>-4.7495803021824289E-2</v>
      </c>
      <c r="E40" s="389">
        <f t="shared" si="3"/>
        <v>-5.1532714195936039E-2</v>
      </c>
      <c r="F40" s="389">
        <f t="shared" si="3"/>
        <v>4.9180327868852458E-2</v>
      </c>
      <c r="G40" s="389">
        <f t="shared" si="3"/>
        <v>3.3755274261603373E-2</v>
      </c>
      <c r="H40" s="389">
        <f t="shared" si="3"/>
        <v>-6.4153695677836159E-2</v>
      </c>
      <c r="I40" s="389">
        <f t="shared" si="3"/>
        <v>-5.0189578858575848E-2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297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8" orientation="landscape" horizontalDpi="1200" verticalDpi="1200" r:id="rId1"/>
  <headerFooter>
    <oddHeader>&amp;LOFFICE OF HEALTH CARE ACCESS&amp;CTWELVE MONTHS ACTUAL FILING&amp;RMIDDLESEX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7521</v>
      </c>
      <c r="D12" s="409">
        <v>7134</v>
      </c>
      <c r="E12" s="409">
        <f>+D12-C12</f>
        <v>-387</v>
      </c>
      <c r="F12" s="410">
        <f>IF(C12=0,0,+E12/C12)</f>
        <v>-5.1455923414439567E-2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10466</v>
      </c>
      <c r="D13" s="409">
        <v>10658</v>
      </c>
      <c r="E13" s="409">
        <f>+D13-C13</f>
        <v>192</v>
      </c>
      <c r="F13" s="410">
        <f>IF(C13=0,0,+E13/C13)</f>
        <v>1.8345117523409133E-2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10946</v>
      </c>
      <c r="D14" s="409">
        <v>11719</v>
      </c>
      <c r="E14" s="409">
        <f>+D14-C14</f>
        <v>773</v>
      </c>
      <c r="F14" s="410">
        <f>IF(C14=0,0,+E14/C14)</f>
        <v>7.0619404348620504E-2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28933</v>
      </c>
      <c r="D16" s="401">
        <f>SUM(D12:D15)</f>
        <v>29511</v>
      </c>
      <c r="E16" s="401">
        <f>+D16-C16</f>
        <v>578</v>
      </c>
      <c r="F16" s="402">
        <f>IF(C16=0,0,+E16/C16)</f>
        <v>1.9977188677288909E-2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2074</v>
      </c>
      <c r="D19" s="409">
        <v>1787</v>
      </c>
      <c r="E19" s="409">
        <f>+D19-C19</f>
        <v>-287</v>
      </c>
      <c r="F19" s="410">
        <f>IF(C19=0,0,+E19/C19)</f>
        <v>-0.13837994214079075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9814</v>
      </c>
      <c r="D20" s="409">
        <v>10200</v>
      </c>
      <c r="E20" s="409">
        <f>+D20-C20</f>
        <v>386</v>
      </c>
      <c r="F20" s="410">
        <f>IF(C20=0,0,+E20/C20)</f>
        <v>3.9331567148970861E-2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178</v>
      </c>
      <c r="D21" s="409">
        <v>284</v>
      </c>
      <c r="E21" s="409">
        <f>+D21-C21</f>
        <v>106</v>
      </c>
      <c r="F21" s="410">
        <f>IF(C21=0,0,+E21/C21)</f>
        <v>0.5955056179775281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12066</v>
      </c>
      <c r="D23" s="401">
        <f>SUM(D19:D22)</f>
        <v>12271</v>
      </c>
      <c r="E23" s="401">
        <f>+D23-C23</f>
        <v>205</v>
      </c>
      <c r="F23" s="402">
        <f>IF(C23=0,0,+E23/C23)</f>
        <v>1.6989888944140559E-2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</v>
      </c>
      <c r="D27" s="409">
        <v>0</v>
      </c>
      <c r="E27" s="409">
        <f>+D27-C27</f>
        <v>-1</v>
      </c>
      <c r="F27" s="410">
        <f>IF(C27=0,0,+E27/C27)</f>
        <v>-1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</v>
      </c>
      <c r="D30" s="401">
        <f>SUM(D26:D29)</f>
        <v>0</v>
      </c>
      <c r="E30" s="401">
        <f>+D30-C30</f>
        <v>-1</v>
      </c>
      <c r="F30" s="402">
        <f>IF(C30=0,0,+E30/C30)</f>
        <v>-1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</v>
      </c>
      <c r="D33" s="409">
        <v>2</v>
      </c>
      <c r="E33" s="409">
        <f>+D33-C33</f>
        <v>1</v>
      </c>
      <c r="F33" s="410">
        <f>IF(C33=0,0,+E33/C33)</f>
        <v>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517</v>
      </c>
      <c r="D34" s="409">
        <v>506</v>
      </c>
      <c r="E34" s="409">
        <f>+D34-C34</f>
        <v>-11</v>
      </c>
      <c r="F34" s="410">
        <f>IF(C34=0,0,+E34/C34)</f>
        <v>-2.1276595744680851E-2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518</v>
      </c>
      <c r="D37" s="401">
        <f>SUM(D33:D36)</f>
        <v>508</v>
      </c>
      <c r="E37" s="401">
        <f>+D37-C37</f>
        <v>-10</v>
      </c>
      <c r="F37" s="402">
        <f>IF(C37=0,0,+E37/C37)</f>
        <v>-1.9305019305019305E-2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227</v>
      </c>
      <c r="D43" s="409">
        <v>155</v>
      </c>
      <c r="E43" s="409">
        <f>+D43-C43</f>
        <v>-72</v>
      </c>
      <c r="F43" s="410">
        <f>IF(C43=0,0,+E43/C43)</f>
        <v>-0.31718061674008813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11482</v>
      </c>
      <c r="D44" s="409">
        <v>6417</v>
      </c>
      <c r="E44" s="409">
        <f>+D44-C44</f>
        <v>-5065</v>
      </c>
      <c r="F44" s="410">
        <f>IF(C44=0,0,+E44/C44)</f>
        <v>-0.44112523950531268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11709</v>
      </c>
      <c r="D45" s="401">
        <f>SUM(D43:D44)</f>
        <v>6572</v>
      </c>
      <c r="E45" s="401">
        <f>+D45-C45</f>
        <v>-5137</v>
      </c>
      <c r="F45" s="402">
        <f>IF(C45=0,0,+E45/C45)</f>
        <v>-0.43872235032880691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110</v>
      </c>
      <c r="D48" s="409">
        <v>101</v>
      </c>
      <c r="E48" s="409">
        <f>+D48-C48</f>
        <v>-9</v>
      </c>
      <c r="F48" s="410">
        <f>IF(C48=0,0,+E48/C48)</f>
        <v>-8.1818181818181818E-2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220</v>
      </c>
      <c r="D49" s="409">
        <v>212</v>
      </c>
      <c r="E49" s="409">
        <f>+D49-C49</f>
        <v>-8</v>
      </c>
      <c r="F49" s="410">
        <f>IF(C49=0,0,+E49/C49)</f>
        <v>-3.6363636363636362E-2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330</v>
      </c>
      <c r="D50" s="401">
        <f>SUM(D48:D49)</f>
        <v>313</v>
      </c>
      <c r="E50" s="401">
        <f>+D50-C50</f>
        <v>-17</v>
      </c>
      <c r="F50" s="402">
        <f>IF(C50=0,0,+E50/C50)</f>
        <v>-5.1515151515151514E-2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2713</v>
      </c>
      <c r="D63" s="409">
        <v>2634</v>
      </c>
      <c r="E63" s="409">
        <f>+D63-C63</f>
        <v>-79</v>
      </c>
      <c r="F63" s="410">
        <f>IF(C63=0,0,+E63/C63)</f>
        <v>-2.9119056395134537E-2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4765</v>
      </c>
      <c r="D64" s="409">
        <v>4865</v>
      </c>
      <c r="E64" s="409">
        <f>+D64-C64</f>
        <v>100</v>
      </c>
      <c r="F64" s="410">
        <f>IF(C64=0,0,+E64/C64)</f>
        <v>2.098635886673662E-2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7478</v>
      </c>
      <c r="D65" s="401">
        <f>SUM(D63:D64)</f>
        <v>7499</v>
      </c>
      <c r="E65" s="401">
        <f>+D65-C65</f>
        <v>21</v>
      </c>
      <c r="F65" s="402">
        <f>IF(C65=0,0,+E65/C65)</f>
        <v>2.8082374966568601E-3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986</v>
      </c>
      <c r="D68" s="409">
        <v>951</v>
      </c>
      <c r="E68" s="409">
        <f>+D68-C68</f>
        <v>-35</v>
      </c>
      <c r="F68" s="410">
        <f>IF(C68=0,0,+E68/C68)</f>
        <v>-3.5496957403651115E-2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1909</v>
      </c>
      <c r="D69" s="409">
        <v>2256</v>
      </c>
      <c r="E69" s="409">
        <f>+D69-C69</f>
        <v>347</v>
      </c>
      <c r="F69" s="412">
        <f>IF(C69=0,0,+E69/C69)</f>
        <v>0.1817705605028811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2895</v>
      </c>
      <c r="D70" s="401">
        <f>SUM(D68:D69)</f>
        <v>3207</v>
      </c>
      <c r="E70" s="401">
        <f>+D70-C70</f>
        <v>312</v>
      </c>
      <c r="F70" s="402">
        <f>IF(C70=0,0,+E70/C70)</f>
        <v>0.10777202072538861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9060</v>
      </c>
      <c r="D73" s="376">
        <v>8263</v>
      </c>
      <c r="E73" s="409">
        <f>+D73-C73</f>
        <v>-797</v>
      </c>
      <c r="F73" s="410">
        <f>IF(C73=0,0,+E73/C73)</f>
        <v>-8.7969094922737301E-2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80555</v>
      </c>
      <c r="D74" s="376">
        <v>79563</v>
      </c>
      <c r="E74" s="409">
        <f>+D74-C74</f>
        <v>-992</v>
      </c>
      <c r="F74" s="410">
        <f>IF(C74=0,0,+E74/C74)</f>
        <v>-1.2314567686673701E-2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89615</v>
      </c>
      <c r="D75" s="401">
        <f>SUM(D73:D74)</f>
        <v>87826</v>
      </c>
      <c r="E75" s="401">
        <f>SUM(E73:E74)</f>
        <v>-1789</v>
      </c>
      <c r="F75" s="402">
        <f>IF(C75=0,0,+E75/C75)</f>
        <v>-1.9963175807621494E-2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35531</v>
      </c>
      <c r="D81" s="376">
        <v>35449</v>
      </c>
      <c r="E81" s="409">
        <f t="shared" si="0"/>
        <v>-82</v>
      </c>
      <c r="F81" s="410">
        <f t="shared" si="1"/>
        <v>-2.3078438546621262E-3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32026</v>
      </c>
      <c r="D85" s="376">
        <v>32854</v>
      </c>
      <c r="E85" s="409">
        <f t="shared" si="0"/>
        <v>828</v>
      </c>
      <c r="F85" s="410">
        <f t="shared" si="1"/>
        <v>2.5853993630175483E-2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23713</v>
      </c>
      <c r="D86" s="376">
        <v>26575</v>
      </c>
      <c r="E86" s="409">
        <f t="shared" si="0"/>
        <v>2862</v>
      </c>
      <c r="F86" s="410">
        <f t="shared" si="1"/>
        <v>0.12069329060009278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5368</v>
      </c>
      <c r="D91" s="376">
        <v>6055</v>
      </c>
      <c r="E91" s="409">
        <f t="shared" si="0"/>
        <v>687</v>
      </c>
      <c r="F91" s="410">
        <f t="shared" si="1"/>
        <v>0.1279806259314456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96638</v>
      </c>
      <c r="D92" s="381">
        <f>SUM(D79:D91)</f>
        <v>100933</v>
      </c>
      <c r="E92" s="401">
        <f t="shared" si="0"/>
        <v>4295</v>
      </c>
      <c r="F92" s="402">
        <f t="shared" si="1"/>
        <v>4.4444214491193942E-2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49855</v>
      </c>
      <c r="D95" s="414">
        <v>59350</v>
      </c>
      <c r="E95" s="415">
        <f t="shared" ref="E95:E100" si="2">+D95-C95</f>
        <v>9495</v>
      </c>
      <c r="F95" s="412">
        <f t="shared" ref="F95:F100" si="3">IF(C95=0,0,+E95/C95)</f>
        <v>0.19045231170394142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3866</v>
      </c>
      <c r="D96" s="414">
        <v>4030</v>
      </c>
      <c r="E96" s="409">
        <f t="shared" si="2"/>
        <v>164</v>
      </c>
      <c r="F96" s="410">
        <f t="shared" si="3"/>
        <v>4.2421107087428869E-2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733</v>
      </c>
      <c r="D97" s="414">
        <v>595</v>
      </c>
      <c r="E97" s="409">
        <f t="shared" si="2"/>
        <v>-138</v>
      </c>
      <c r="F97" s="410">
        <f t="shared" si="3"/>
        <v>-0.18826739427012279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403083</v>
      </c>
      <c r="D99" s="414">
        <v>407789</v>
      </c>
      <c r="E99" s="409">
        <f t="shared" si="2"/>
        <v>4706</v>
      </c>
      <c r="F99" s="410">
        <f t="shared" si="3"/>
        <v>1.1675014823249803E-2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457537</v>
      </c>
      <c r="D100" s="381">
        <f>SUM(D95:D99)</f>
        <v>471764</v>
      </c>
      <c r="E100" s="401">
        <f t="shared" si="2"/>
        <v>14227</v>
      </c>
      <c r="F100" s="402">
        <f t="shared" si="3"/>
        <v>3.1094752992654146E-2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520.4</v>
      </c>
      <c r="D104" s="416">
        <v>540.20000000000005</v>
      </c>
      <c r="E104" s="417">
        <f>+D104-C104</f>
        <v>19.800000000000068</v>
      </c>
      <c r="F104" s="410">
        <f>IF(C104=0,0,+E104/C104)</f>
        <v>3.8047655649500516E-2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134.5</v>
      </c>
      <c r="D105" s="416">
        <v>137.30000000000001</v>
      </c>
      <c r="E105" s="417">
        <f>+D105-C105</f>
        <v>2.8000000000000114</v>
      </c>
      <c r="F105" s="410">
        <f>IF(C105=0,0,+E105/C105)</f>
        <v>2.0817843866171089E-2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1426.3</v>
      </c>
      <c r="D106" s="416">
        <v>1429.7</v>
      </c>
      <c r="E106" s="417">
        <f>+D106-C106</f>
        <v>3.4000000000000909</v>
      </c>
      <c r="F106" s="410">
        <f>IF(C106=0,0,+E106/C106)</f>
        <v>2.3837902264601351E-3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2081.1999999999998</v>
      </c>
      <c r="D107" s="418">
        <f>SUM(D104:D106)</f>
        <v>2107.1999999999998</v>
      </c>
      <c r="E107" s="418">
        <f>+D107-C107</f>
        <v>26</v>
      </c>
      <c r="F107" s="402">
        <f>IF(C107=0,0,+E107/C107)</f>
        <v>1.2492792619642515E-2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FILING&amp;RMIDDLESEX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4" zoomScale="75" zoomScaleNormal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1886</v>
      </c>
      <c r="D12" s="409">
        <v>2000</v>
      </c>
      <c r="E12" s="409">
        <f>+D12-C12</f>
        <v>114</v>
      </c>
      <c r="F12" s="410">
        <f>IF(C12=0,0,+E12/C12)</f>
        <v>6.0445387062566275E-2</v>
      </c>
    </row>
    <row r="13" spans="1:6" ht="15.75" customHeight="1" x14ac:dyDescent="0.2">
      <c r="A13" s="374">
        <v>2</v>
      </c>
      <c r="B13" s="408" t="s">
        <v>622</v>
      </c>
      <c r="C13" s="409">
        <v>2879</v>
      </c>
      <c r="D13" s="409">
        <v>2865</v>
      </c>
      <c r="E13" s="409">
        <f>+D13-C13</f>
        <v>-14</v>
      </c>
      <c r="F13" s="410">
        <f>IF(C13=0,0,+E13/C13)</f>
        <v>-4.8627995831886069E-3</v>
      </c>
    </row>
    <row r="14" spans="1:6" ht="15.75" customHeight="1" x14ac:dyDescent="0.25">
      <c r="A14" s="374"/>
      <c r="B14" s="399" t="s">
        <v>623</v>
      </c>
      <c r="C14" s="401">
        <f>SUM(C11:C13)</f>
        <v>4765</v>
      </c>
      <c r="D14" s="401">
        <f>SUM(D11:D13)</f>
        <v>4865</v>
      </c>
      <c r="E14" s="401">
        <f>+D14-C14</f>
        <v>100</v>
      </c>
      <c r="F14" s="402">
        <f>IF(C14=0,0,+E14/C14)</f>
        <v>2.098635886673662E-2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624</v>
      </c>
      <c r="C17" s="409">
        <v>0</v>
      </c>
      <c r="D17" s="409">
        <v>0</v>
      </c>
      <c r="E17" s="409">
        <f>+D17-C17</f>
        <v>0</v>
      </c>
      <c r="F17" s="410">
        <f>IF(C17=0,0,+E17/C17)</f>
        <v>0</v>
      </c>
    </row>
    <row r="18" spans="1:6" ht="15.75" customHeight="1" x14ac:dyDescent="0.2">
      <c r="A18" s="374">
        <v>2</v>
      </c>
      <c r="B18" s="408" t="s">
        <v>622</v>
      </c>
      <c r="C18" s="409">
        <v>1909</v>
      </c>
      <c r="D18" s="409">
        <v>2256</v>
      </c>
      <c r="E18" s="409">
        <f>+D18-C18</f>
        <v>347</v>
      </c>
      <c r="F18" s="410">
        <f>IF(C18=0,0,+E18/C18)</f>
        <v>0.1817705605028811</v>
      </c>
    </row>
    <row r="19" spans="1:6" ht="15.75" customHeight="1" x14ac:dyDescent="0.25">
      <c r="A19" s="374"/>
      <c r="B19" s="399" t="s">
        <v>625</v>
      </c>
      <c r="C19" s="401">
        <f>SUM(C16:C18)</f>
        <v>1909</v>
      </c>
      <c r="D19" s="401">
        <f>SUM(D16:D18)</f>
        <v>2256</v>
      </c>
      <c r="E19" s="401">
        <f>+D19-C19</f>
        <v>347</v>
      </c>
      <c r="F19" s="402">
        <f>IF(C19=0,0,+E19/C19)</f>
        <v>0.1817705605028811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626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627</v>
      </c>
      <c r="C22" s="409">
        <v>20458</v>
      </c>
      <c r="D22" s="409">
        <v>19891</v>
      </c>
      <c r="E22" s="409">
        <f>+D22-C22</f>
        <v>-567</v>
      </c>
      <c r="F22" s="410">
        <f>IF(C22=0,0,+E22/C22)</f>
        <v>-2.771531919053671E-2</v>
      </c>
    </row>
    <row r="23" spans="1:6" ht="15.75" customHeight="1" x14ac:dyDescent="0.2">
      <c r="A23" s="374">
        <v>2</v>
      </c>
      <c r="B23" s="408" t="s">
        <v>628</v>
      </c>
      <c r="C23" s="409">
        <v>20585</v>
      </c>
      <c r="D23" s="409">
        <v>20686</v>
      </c>
      <c r="E23" s="409">
        <f>+D23-C23</f>
        <v>101</v>
      </c>
      <c r="F23" s="410">
        <f>IF(C23=0,0,+E23/C23)</f>
        <v>4.906485304833617E-3</v>
      </c>
    </row>
    <row r="24" spans="1:6" ht="15.75" customHeight="1" x14ac:dyDescent="0.2">
      <c r="A24" s="374">
        <v>3</v>
      </c>
      <c r="B24" s="408" t="s">
        <v>629</v>
      </c>
      <c r="C24" s="409">
        <v>39512</v>
      </c>
      <c r="D24" s="409">
        <v>38986</v>
      </c>
      <c r="E24" s="409">
        <f>+D24-C24</f>
        <v>-526</v>
      </c>
      <c r="F24" s="410">
        <f>IF(C24=0,0,+E24/C24)</f>
        <v>-1.3312411419315651E-2</v>
      </c>
    </row>
    <row r="25" spans="1:6" ht="15.75" customHeight="1" x14ac:dyDescent="0.25">
      <c r="A25" s="374"/>
      <c r="B25" s="399" t="s">
        <v>630</v>
      </c>
      <c r="C25" s="401">
        <f>SUM(C21:C24)</f>
        <v>80555</v>
      </c>
      <c r="D25" s="401">
        <f>SUM(D21:D24)</f>
        <v>79563</v>
      </c>
      <c r="E25" s="401">
        <f>+D25-C25</f>
        <v>-992</v>
      </c>
      <c r="F25" s="402">
        <f>IF(C25=0,0,+E25/C25)</f>
        <v>-1.2314567686673701E-2</v>
      </c>
    </row>
    <row r="26" spans="1:6" ht="15.75" customHeight="1" x14ac:dyDescent="0.25">
      <c r="A26" s="136"/>
      <c r="B26" s="399"/>
      <c r="C26" s="401"/>
      <c r="D26" s="401"/>
      <c r="E26" s="401"/>
      <c r="F26" s="402"/>
    </row>
    <row r="27" spans="1:6" ht="15.75" customHeight="1" x14ac:dyDescent="0.25">
      <c r="B27" s="810" t="s">
        <v>631</v>
      </c>
      <c r="C27" s="811"/>
      <c r="D27" s="811"/>
      <c r="E27" s="811"/>
      <c r="F27" s="812"/>
    </row>
    <row r="28" spans="1:6" ht="15.75" customHeight="1" x14ac:dyDescent="0.25">
      <c r="A28" s="392"/>
    </row>
    <row r="29" spans="1:6" ht="15.75" customHeight="1" x14ac:dyDescent="0.25">
      <c r="B29" s="810" t="s">
        <v>632</v>
      </c>
      <c r="C29" s="811"/>
      <c r="D29" s="811"/>
      <c r="E29" s="811"/>
      <c r="F29" s="812"/>
    </row>
    <row r="30" spans="1:6" ht="15.75" customHeight="1" x14ac:dyDescent="0.25">
      <c r="A30" s="392"/>
    </row>
    <row r="31" spans="1:6" ht="15.75" customHeight="1" x14ac:dyDescent="0.25">
      <c r="B31" s="810" t="s">
        <v>633</v>
      </c>
      <c r="C31" s="811"/>
      <c r="D31" s="811"/>
      <c r="E31" s="811"/>
      <c r="F31" s="812"/>
    </row>
    <row r="32" spans="1:6" ht="15.75" customHeight="1" x14ac:dyDescent="0.25">
      <c r="A32" s="392"/>
    </row>
  </sheetData>
  <mergeCells count="7">
    <mergeCell ref="B31:F31"/>
    <mergeCell ref="A1:F1"/>
    <mergeCell ref="A2:F2"/>
    <mergeCell ref="A3:F3"/>
    <mergeCell ref="A4:F4"/>
    <mergeCell ref="B27:F27"/>
    <mergeCell ref="B29:F29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FILING&amp;RMIDDLESEX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634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635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636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637</v>
      </c>
      <c r="D7" s="426" t="s">
        <v>637</v>
      </c>
      <c r="E7" s="426" t="s">
        <v>638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639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640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641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642</v>
      </c>
      <c r="C15" s="448">
        <v>346094124</v>
      </c>
      <c r="D15" s="448">
        <v>333227086</v>
      </c>
      <c r="E15" s="448">
        <f t="shared" ref="E15:E24" si="0">D15-C15</f>
        <v>-12867038</v>
      </c>
      <c r="F15" s="449">
        <f t="shared" ref="F15:F24" si="1">IF(C15=0,0,E15/C15)</f>
        <v>-3.7177857431639032E-2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643</v>
      </c>
      <c r="C16" s="448">
        <v>80217335</v>
      </c>
      <c r="D16" s="448">
        <v>75470428</v>
      </c>
      <c r="E16" s="448">
        <f t="shared" si="0"/>
        <v>-4746907</v>
      </c>
      <c r="F16" s="449">
        <f t="shared" si="1"/>
        <v>-5.9175575952504528E-2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644</v>
      </c>
      <c r="C17" s="453">
        <f>IF(C15=0,0,C16/C15)</f>
        <v>0.23177895675570614</v>
      </c>
      <c r="D17" s="453">
        <f>IF(LN_IA1=0,0,LN_IA2/LN_IA1)</f>
        <v>0.22648347379540448</v>
      </c>
      <c r="E17" s="454">
        <f t="shared" si="0"/>
        <v>-5.2954829603016618E-3</v>
      </c>
      <c r="F17" s="449">
        <f t="shared" si="1"/>
        <v>-2.2847125702973432E-2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7760</v>
      </c>
      <c r="D18" s="456">
        <v>7504</v>
      </c>
      <c r="E18" s="456">
        <f t="shared" si="0"/>
        <v>-256</v>
      </c>
      <c r="F18" s="449">
        <f t="shared" si="1"/>
        <v>-3.2989690721649485E-2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645</v>
      </c>
      <c r="C19" s="459">
        <v>1.37202</v>
      </c>
      <c r="D19" s="459">
        <v>1.42635</v>
      </c>
      <c r="E19" s="460">
        <f t="shared" si="0"/>
        <v>5.4329999999999989E-2</v>
      </c>
      <c r="F19" s="449">
        <f t="shared" si="1"/>
        <v>3.9598548126120604E-2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646</v>
      </c>
      <c r="C20" s="463">
        <f>C18*C19</f>
        <v>10646.8752</v>
      </c>
      <c r="D20" s="463">
        <f>LN_IA4*LN_IA5</f>
        <v>10703.330400000001</v>
      </c>
      <c r="E20" s="463">
        <f t="shared" si="0"/>
        <v>56.455200000000332</v>
      </c>
      <c r="F20" s="449">
        <f t="shared" si="1"/>
        <v>5.3025135487640854E-3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647</v>
      </c>
      <c r="C21" s="465">
        <f>IF(C20=0,0,C16/C20)</f>
        <v>7534.354774816934</v>
      </c>
      <c r="D21" s="465">
        <f>IF(LN_IA6=0,0,LN_IA2/LN_IA6)</f>
        <v>7051.1163515983772</v>
      </c>
      <c r="E21" s="465">
        <f t="shared" si="0"/>
        <v>-483.23842321855682</v>
      </c>
      <c r="F21" s="449">
        <f t="shared" si="1"/>
        <v>-6.4137996903696148E-2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35586</v>
      </c>
      <c r="D22" s="456">
        <v>34831</v>
      </c>
      <c r="E22" s="456">
        <f t="shared" si="0"/>
        <v>-755</v>
      </c>
      <c r="F22" s="449">
        <f t="shared" si="1"/>
        <v>-2.1216208621367954E-2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648</v>
      </c>
      <c r="C23" s="465">
        <f>IF(C22=0,0,C16/C22)</f>
        <v>2254.1824031922665</v>
      </c>
      <c r="D23" s="465">
        <f>IF(LN_IA8=0,0,LN_IA2/LN_IA8)</f>
        <v>2166.7602997329964</v>
      </c>
      <c r="E23" s="465">
        <f t="shared" si="0"/>
        <v>-87.422103459270147</v>
      </c>
      <c r="F23" s="449">
        <f t="shared" si="1"/>
        <v>-3.8782178112768115E-2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649</v>
      </c>
      <c r="C24" s="466">
        <f>IF(C18=0,0,C22/C18)</f>
        <v>4.5858247422680414</v>
      </c>
      <c r="D24" s="466">
        <f>IF(LN_IA4=0,0,LN_IA8/LN_IA4)</f>
        <v>4.641657782515991</v>
      </c>
      <c r="E24" s="466">
        <f t="shared" si="0"/>
        <v>5.5833040247949661E-2</v>
      </c>
      <c r="F24" s="449">
        <f t="shared" si="1"/>
        <v>1.2175136073851778E-2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650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651</v>
      </c>
      <c r="C27" s="448">
        <v>254538108</v>
      </c>
      <c r="D27" s="448">
        <v>267467305</v>
      </c>
      <c r="E27" s="448">
        <f t="shared" ref="E27:E32" si="2">D27-C27</f>
        <v>12929197</v>
      </c>
      <c r="F27" s="449">
        <f t="shared" ref="F27:F32" si="3">IF(C27=0,0,E27/C27)</f>
        <v>5.0794739937329934E-2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652</v>
      </c>
      <c r="C28" s="448">
        <v>51138953</v>
      </c>
      <c r="D28" s="448">
        <v>57456589</v>
      </c>
      <c r="E28" s="448">
        <f t="shared" si="2"/>
        <v>6317636</v>
      </c>
      <c r="F28" s="449">
        <f t="shared" si="3"/>
        <v>0.1235386262209944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653</v>
      </c>
      <c r="C29" s="453">
        <f>IF(C27=0,0,C28/C27)</f>
        <v>0.20090882815865041</v>
      </c>
      <c r="D29" s="453">
        <f>IF(LN_IA11=0,0,LN_IA12/LN_IA11)</f>
        <v>0.21481724280281658</v>
      </c>
      <c r="E29" s="454">
        <f t="shared" si="2"/>
        <v>1.3908414644166173E-2</v>
      </c>
      <c r="F29" s="449">
        <f t="shared" si="3"/>
        <v>6.9227493742500965E-2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654</v>
      </c>
      <c r="C30" s="453">
        <f>IF(C15=0,0,C27/C15)</f>
        <v>0.7354592012663006</v>
      </c>
      <c r="D30" s="453">
        <f>IF(LN_IA1=0,0,LN_IA11/LN_IA1)</f>
        <v>0.80265775573837961</v>
      </c>
      <c r="E30" s="454">
        <f t="shared" si="2"/>
        <v>6.7198554472079008E-2</v>
      </c>
      <c r="F30" s="449">
        <f t="shared" si="3"/>
        <v>9.1369520370916196E-2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655</v>
      </c>
      <c r="C31" s="463">
        <f>C30*C18</f>
        <v>5707.1634018264931</v>
      </c>
      <c r="D31" s="463">
        <f>LN_IA14*LN_IA4</f>
        <v>6023.143799060801</v>
      </c>
      <c r="E31" s="463">
        <f t="shared" si="2"/>
        <v>315.98039723430793</v>
      </c>
      <c r="F31" s="449">
        <f t="shared" si="3"/>
        <v>5.5365577430844734E-2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656</v>
      </c>
      <c r="C32" s="465">
        <f>IF(C31=0,0,C28/C31)</f>
        <v>8960.4851656487936</v>
      </c>
      <c r="D32" s="465">
        <f>IF(LN_IA15=0,0,LN_IA12/LN_IA15)</f>
        <v>9539.302217715489</v>
      </c>
      <c r="E32" s="465">
        <f t="shared" si="2"/>
        <v>578.8170520666954</v>
      </c>
      <c r="F32" s="449">
        <f t="shared" si="3"/>
        <v>6.459661964350627E-2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657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658</v>
      </c>
      <c r="C35" s="448">
        <f>C15+C27</f>
        <v>600632232</v>
      </c>
      <c r="D35" s="448">
        <f>LN_IA1+LN_IA11</f>
        <v>600694391</v>
      </c>
      <c r="E35" s="448">
        <f>D35-C35</f>
        <v>62159</v>
      </c>
      <c r="F35" s="449">
        <f>IF(C35=0,0,E35/C35)</f>
        <v>1.0348928460436003E-4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659</v>
      </c>
      <c r="C36" s="448">
        <f>C16+C28</f>
        <v>131356288</v>
      </c>
      <c r="D36" s="448">
        <f>LN_IA2+LN_IA12</f>
        <v>132927017</v>
      </c>
      <c r="E36" s="448">
        <f>D36-C36</f>
        <v>1570729</v>
      </c>
      <c r="F36" s="449">
        <f>IF(C36=0,0,E36/C36)</f>
        <v>1.1957775481597044E-2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660</v>
      </c>
      <c r="C37" s="448">
        <f>C35-C36</f>
        <v>469275944</v>
      </c>
      <c r="D37" s="448">
        <f>LN_IA17-LN_IA18</f>
        <v>467767374</v>
      </c>
      <c r="E37" s="448">
        <f>D37-C37</f>
        <v>-1508570</v>
      </c>
      <c r="F37" s="449">
        <f>IF(C37=0,0,E37/C37)</f>
        <v>-3.2146757558917192E-3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661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662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642</v>
      </c>
      <c r="C42" s="448">
        <v>153971318</v>
      </c>
      <c r="D42" s="448">
        <v>145819781</v>
      </c>
      <c r="E42" s="448">
        <f t="shared" ref="E42:E53" si="4">D42-C42</f>
        <v>-8151537</v>
      </c>
      <c r="F42" s="449">
        <f t="shared" ref="F42:F53" si="5">IF(C42=0,0,E42/C42)</f>
        <v>-5.294191870202735E-2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643</v>
      </c>
      <c r="C43" s="448">
        <v>69235796</v>
      </c>
      <c r="D43" s="448">
        <v>67652225</v>
      </c>
      <c r="E43" s="448">
        <f t="shared" si="4"/>
        <v>-1583571</v>
      </c>
      <c r="F43" s="449">
        <f t="shared" si="5"/>
        <v>-2.2872142612471735E-2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644</v>
      </c>
      <c r="C44" s="453">
        <f>IF(C42=0,0,C43/C42)</f>
        <v>0.44966683989806466</v>
      </c>
      <c r="D44" s="453">
        <f>IF(LN_IB1=0,0,LN_IB2/LN_IB1)</f>
        <v>0.46394408588502817</v>
      </c>
      <c r="E44" s="454">
        <f t="shared" si="4"/>
        <v>1.4277245986963505E-2</v>
      </c>
      <c r="F44" s="449">
        <f t="shared" si="5"/>
        <v>3.1750720133599412E-2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4216</v>
      </c>
      <c r="D45" s="456">
        <v>3800</v>
      </c>
      <c r="E45" s="456">
        <f t="shared" si="4"/>
        <v>-416</v>
      </c>
      <c r="F45" s="449">
        <f t="shared" si="5"/>
        <v>-9.8671726755218223E-2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645</v>
      </c>
      <c r="C46" s="459">
        <v>1.1889099999999999</v>
      </c>
      <c r="D46" s="459">
        <v>1.2761899999999999</v>
      </c>
      <c r="E46" s="460">
        <f t="shared" si="4"/>
        <v>8.7280000000000024E-2</v>
      </c>
      <c r="F46" s="449">
        <f t="shared" si="5"/>
        <v>7.341178053847644E-2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646</v>
      </c>
      <c r="C47" s="463">
        <f>C45*C46</f>
        <v>5012.4445599999999</v>
      </c>
      <c r="D47" s="463">
        <f>LN_IB4*LN_IB5</f>
        <v>4849.5219999999999</v>
      </c>
      <c r="E47" s="463">
        <f t="shared" si="4"/>
        <v>-162.92255999999998</v>
      </c>
      <c r="F47" s="449">
        <f t="shared" si="5"/>
        <v>-3.2503613366648386E-2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647</v>
      </c>
      <c r="C48" s="465">
        <f>IF(C47=0,0,C43/C47)</f>
        <v>13812.780405096391</v>
      </c>
      <c r="D48" s="465">
        <f>IF(LN_IB6=0,0,LN_IB2/LN_IB6)</f>
        <v>13950.287265425335</v>
      </c>
      <c r="E48" s="465">
        <f t="shared" si="4"/>
        <v>137.50686032894373</v>
      </c>
      <c r="F48" s="449">
        <f t="shared" si="5"/>
        <v>9.9550457110147723E-3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663</v>
      </c>
      <c r="C49" s="465">
        <f>C21-C48</f>
        <v>-6278.4256302794574</v>
      </c>
      <c r="D49" s="465">
        <f>LN_IA7-LN_IB7</f>
        <v>-6899.170913826958</v>
      </c>
      <c r="E49" s="465">
        <f t="shared" si="4"/>
        <v>-620.74528354750055</v>
      </c>
      <c r="F49" s="449">
        <f t="shared" si="5"/>
        <v>9.8869576562917852E-2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664</v>
      </c>
      <c r="C50" s="479">
        <f>C49*C47</f>
        <v>-31470260.395858835</v>
      </c>
      <c r="D50" s="479">
        <f>LN_IB8*LN_IB6</f>
        <v>-33457681.128363937</v>
      </c>
      <c r="E50" s="479">
        <f t="shared" si="4"/>
        <v>-1987420.7325051017</v>
      </c>
      <c r="F50" s="449">
        <f t="shared" si="5"/>
        <v>6.3152344705944219E-2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13915</v>
      </c>
      <c r="D51" s="456">
        <v>13174</v>
      </c>
      <c r="E51" s="456">
        <f t="shared" si="4"/>
        <v>-741</v>
      </c>
      <c r="F51" s="449">
        <f t="shared" si="5"/>
        <v>-5.3251886453467484E-2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648</v>
      </c>
      <c r="C52" s="465">
        <f>IF(C51=0,0,C43/C51)</f>
        <v>4975.623140495868</v>
      </c>
      <c r="D52" s="465">
        <f>IF(LN_IB10=0,0,LN_IB2/LN_IB10)</f>
        <v>5135.2835129801124</v>
      </c>
      <c r="E52" s="465">
        <f t="shared" si="4"/>
        <v>159.66037248424436</v>
      </c>
      <c r="F52" s="449">
        <f t="shared" si="5"/>
        <v>3.2088517955628906E-2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649</v>
      </c>
      <c r="C53" s="466">
        <f>IF(C45=0,0,C51/C45)</f>
        <v>3.3005218216318783</v>
      </c>
      <c r="D53" s="466">
        <f>IF(LN_IB4=0,0,LN_IB10/LN_IB4)</f>
        <v>3.4668421052631579</v>
      </c>
      <c r="E53" s="466">
        <f t="shared" si="4"/>
        <v>0.1663202836312796</v>
      </c>
      <c r="F53" s="449">
        <f t="shared" si="5"/>
        <v>5.0392117555837217E-2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665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651</v>
      </c>
      <c r="C56" s="448">
        <v>316248479</v>
      </c>
      <c r="D56" s="448">
        <v>308072462</v>
      </c>
      <c r="E56" s="448">
        <f t="shared" ref="E56:E63" si="6">D56-C56</f>
        <v>-8176017</v>
      </c>
      <c r="F56" s="449">
        <f t="shared" ref="F56:F63" si="7">IF(C56=0,0,E56/C56)</f>
        <v>-2.5853142522149489E-2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652</v>
      </c>
      <c r="C57" s="448">
        <v>125216605</v>
      </c>
      <c r="D57" s="448">
        <v>126327273</v>
      </c>
      <c r="E57" s="448">
        <f t="shared" si="6"/>
        <v>1110668</v>
      </c>
      <c r="F57" s="449">
        <f t="shared" si="7"/>
        <v>8.8699737546789423E-3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653</v>
      </c>
      <c r="C58" s="453">
        <f>IF(C56=0,0,C57/C56)</f>
        <v>0.39594373827802665</v>
      </c>
      <c r="D58" s="453">
        <f>IF(LN_IB13=0,0,LN_IB14/LN_IB13)</f>
        <v>0.41005701119757987</v>
      </c>
      <c r="E58" s="454">
        <f t="shared" si="6"/>
        <v>1.4113272919553221E-2</v>
      </c>
      <c r="F58" s="449">
        <f t="shared" si="7"/>
        <v>3.5644642294211659E-2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654</v>
      </c>
      <c r="C59" s="453">
        <f>IF(C42=0,0,C56/C42)</f>
        <v>2.0539440923666055</v>
      </c>
      <c r="D59" s="453">
        <f>IF(LN_IB1=0,0,LN_IB13/LN_IB1)</f>
        <v>2.1126932154698546</v>
      </c>
      <c r="E59" s="454">
        <f t="shared" si="6"/>
        <v>5.874912310324909E-2</v>
      </c>
      <c r="F59" s="449">
        <f t="shared" si="7"/>
        <v>2.860307801053966E-2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655</v>
      </c>
      <c r="C60" s="463">
        <f>C59*C45</f>
        <v>8659.4282934176081</v>
      </c>
      <c r="D60" s="463">
        <f>LN_IB16*LN_IB4</f>
        <v>8028.2342187854474</v>
      </c>
      <c r="E60" s="463">
        <f t="shared" si="6"/>
        <v>-631.19407463216066</v>
      </c>
      <c r="F60" s="449">
        <f t="shared" si="7"/>
        <v>-7.2890963842492648E-2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656</v>
      </c>
      <c r="C61" s="465">
        <f>IF(C60=0,0,C57/C60)</f>
        <v>14460.146877731218</v>
      </c>
      <c r="D61" s="465">
        <f>IF(LN_IB17=0,0,LN_IB14/LN_IB17)</f>
        <v>15735.374623775169</v>
      </c>
      <c r="E61" s="465">
        <f t="shared" si="6"/>
        <v>1275.2277460439509</v>
      </c>
      <c r="F61" s="449">
        <f t="shared" si="7"/>
        <v>8.8189128148332671E-2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666</v>
      </c>
      <c r="C62" s="465">
        <f>C32-C61</f>
        <v>-5499.6617120824249</v>
      </c>
      <c r="D62" s="465">
        <f>LN_IA16-LN_IB18</f>
        <v>-6196.0724060596804</v>
      </c>
      <c r="E62" s="465">
        <f t="shared" si="6"/>
        <v>-696.41069397725551</v>
      </c>
      <c r="F62" s="449">
        <f t="shared" si="7"/>
        <v>0.12662791466742096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667</v>
      </c>
      <c r="C63" s="448">
        <f>C62*C60</f>
        <v>-47623926.233832076</v>
      </c>
      <c r="D63" s="448">
        <f>LN_IB19*LN_IB17</f>
        <v>-49743520.512400605</v>
      </c>
      <c r="E63" s="448">
        <f t="shared" si="6"/>
        <v>-2119594.2785685286</v>
      </c>
      <c r="F63" s="449">
        <f t="shared" si="7"/>
        <v>4.4506920075454995E-2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668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658</v>
      </c>
      <c r="C66" s="448">
        <f>C42+C56</f>
        <v>470219797</v>
      </c>
      <c r="D66" s="448">
        <f>LN_IB1+LN_IB13</f>
        <v>453892243</v>
      </c>
      <c r="E66" s="448">
        <f>D66-C66</f>
        <v>-16327554</v>
      </c>
      <c r="F66" s="449">
        <f>IF(C66=0,0,E66/C66)</f>
        <v>-3.4723238162599097E-2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659</v>
      </c>
      <c r="C67" s="448">
        <f>C43+C57</f>
        <v>194452401</v>
      </c>
      <c r="D67" s="448">
        <f>LN_IB2+LN_IB14</f>
        <v>193979498</v>
      </c>
      <c r="E67" s="448">
        <f>D67-C67</f>
        <v>-472903</v>
      </c>
      <c r="F67" s="449">
        <f>IF(C67=0,0,E67/C67)</f>
        <v>-2.4319730564807992E-3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660</v>
      </c>
      <c r="C68" s="448">
        <f>C66-C67</f>
        <v>275767396</v>
      </c>
      <c r="D68" s="448">
        <f>LN_IB21-LN_IB22</f>
        <v>259912745</v>
      </c>
      <c r="E68" s="448">
        <f>D68-C68</f>
        <v>-15854651</v>
      </c>
      <c r="F68" s="449">
        <f>IF(C68=0,0,E68/C68)</f>
        <v>-5.7492840814292637E-2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669</v>
      </c>
      <c r="C70" s="441">
        <f>C50+C63</f>
        <v>-79094186.629690915</v>
      </c>
      <c r="D70" s="441">
        <f>LN_IB9+LN_IB20</f>
        <v>-83201201.640764534</v>
      </c>
      <c r="E70" s="448">
        <f>D70-C70</f>
        <v>-4107015.0110736191</v>
      </c>
      <c r="F70" s="449">
        <f>IF(C70=0,0,E70/C70)</f>
        <v>5.1925624196657458E-2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670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671</v>
      </c>
      <c r="C73" s="488">
        <v>429305698</v>
      </c>
      <c r="D73" s="488">
        <v>414756036</v>
      </c>
      <c r="E73" s="488">
        <f>D73-C73</f>
        <v>-14549662</v>
      </c>
      <c r="F73" s="489">
        <f>IF(C73=0,0,E73/C73)</f>
        <v>-3.3891145791407597E-2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672</v>
      </c>
      <c r="C74" s="488">
        <v>195659148</v>
      </c>
      <c r="D74" s="488">
        <v>192747761</v>
      </c>
      <c r="E74" s="488">
        <f>D74-C74</f>
        <v>-2911387</v>
      </c>
      <c r="F74" s="489">
        <f>IF(C74=0,0,E74/C74)</f>
        <v>-1.487989204573251E-2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673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674</v>
      </c>
      <c r="C76" s="441">
        <f>C73-C74</f>
        <v>233646550</v>
      </c>
      <c r="D76" s="441">
        <f>LN_IB32-LN_IB33</f>
        <v>222008275</v>
      </c>
      <c r="E76" s="488">
        <f>D76-C76</f>
        <v>-11638275</v>
      </c>
      <c r="F76" s="489">
        <f>IF(E76=0,0,E76/C76)</f>
        <v>-4.981145666392249E-2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675</v>
      </c>
      <c r="C77" s="453">
        <f>IF(C73=0,0,C76/C73)</f>
        <v>0.5442428346245709</v>
      </c>
      <c r="D77" s="453">
        <f>IF(LN_IB32=0,0,LN_IB34/LN_IB32)</f>
        <v>0.53527436789370797</v>
      </c>
      <c r="E77" s="493">
        <f>D77-C77</f>
        <v>-8.968466730862934E-3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676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677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642</v>
      </c>
      <c r="C83" s="448">
        <v>4804078</v>
      </c>
      <c r="D83" s="448">
        <v>3849533</v>
      </c>
      <c r="E83" s="448">
        <f t="shared" ref="E83:E95" si="8">D83-C83</f>
        <v>-954545</v>
      </c>
      <c r="F83" s="449">
        <f t="shared" ref="F83:F95" si="9">IF(C83=0,0,E83/C83)</f>
        <v>-0.1986947339322967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643</v>
      </c>
      <c r="C84" s="448">
        <v>1364690</v>
      </c>
      <c r="D84" s="448">
        <v>1360408</v>
      </c>
      <c r="E84" s="448">
        <f t="shared" si="8"/>
        <v>-4282</v>
      </c>
      <c r="F84" s="449">
        <f t="shared" si="9"/>
        <v>-3.1377089302332397E-3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644</v>
      </c>
      <c r="C85" s="453">
        <f>IF(C83=0,0,C84/C83)</f>
        <v>0.28406907631391498</v>
      </c>
      <c r="D85" s="453">
        <f>IF(LN_IC1=0,0,LN_IC2/LN_IC1)</f>
        <v>0.35339559369928769</v>
      </c>
      <c r="E85" s="454">
        <f t="shared" si="8"/>
        <v>6.932651738537271E-2</v>
      </c>
      <c r="F85" s="449">
        <f t="shared" si="9"/>
        <v>0.24404809662830865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139</v>
      </c>
      <c r="D86" s="456">
        <v>92</v>
      </c>
      <c r="E86" s="456">
        <f t="shared" si="8"/>
        <v>-47</v>
      </c>
      <c r="F86" s="449">
        <f t="shared" si="9"/>
        <v>-0.33812949640287771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645</v>
      </c>
      <c r="C87" s="459">
        <v>1.12178</v>
      </c>
      <c r="D87" s="459">
        <v>1.331</v>
      </c>
      <c r="E87" s="460">
        <f t="shared" si="8"/>
        <v>0.20921999999999996</v>
      </c>
      <c r="F87" s="449">
        <f t="shared" si="9"/>
        <v>0.18650715826632669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646</v>
      </c>
      <c r="C88" s="463">
        <f>C86*C87</f>
        <v>155.92742000000001</v>
      </c>
      <c r="D88" s="463">
        <f>LN_IC4*LN_IC5</f>
        <v>122.452</v>
      </c>
      <c r="E88" s="463">
        <f t="shared" si="8"/>
        <v>-33.475420000000014</v>
      </c>
      <c r="F88" s="449">
        <f t="shared" si="9"/>
        <v>-0.21468590963667591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647</v>
      </c>
      <c r="C89" s="465">
        <f>IF(C88=0,0,C84/C88)</f>
        <v>8752.0847840617116</v>
      </c>
      <c r="D89" s="465">
        <f>IF(LN_IC6=0,0,LN_IC2/LN_IC6)</f>
        <v>11109.724626792538</v>
      </c>
      <c r="E89" s="465">
        <f t="shared" si="8"/>
        <v>2357.6398427308268</v>
      </c>
      <c r="F89" s="449">
        <f t="shared" si="9"/>
        <v>0.26938037060887354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678</v>
      </c>
      <c r="C90" s="465">
        <f>C48-C89</f>
        <v>5060.6956210346798</v>
      </c>
      <c r="D90" s="465">
        <f>LN_IB7-LN_IC7</f>
        <v>2840.5626386327967</v>
      </c>
      <c r="E90" s="465">
        <f t="shared" si="8"/>
        <v>-2220.1329824018831</v>
      </c>
      <c r="F90" s="449">
        <f t="shared" si="9"/>
        <v>-0.43870114874602317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679</v>
      </c>
      <c r="C91" s="465">
        <f>C21-C89</f>
        <v>-1217.7300092447776</v>
      </c>
      <c r="D91" s="465">
        <f>LN_IA7-LN_IC7</f>
        <v>-4058.6082751941613</v>
      </c>
      <c r="E91" s="465">
        <f t="shared" si="8"/>
        <v>-2840.8782659493836</v>
      </c>
      <c r="F91" s="449">
        <f t="shared" si="9"/>
        <v>2.3329295035697313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664</v>
      </c>
      <c r="C92" s="441">
        <f>C91*C88</f>
        <v>-189877.49859811435</v>
      </c>
      <c r="D92" s="441">
        <f>LN_IC9*LN_IC6</f>
        <v>-496984.7005140754</v>
      </c>
      <c r="E92" s="441">
        <f t="shared" si="8"/>
        <v>-307107.20191596105</v>
      </c>
      <c r="F92" s="449">
        <f t="shared" si="9"/>
        <v>1.6173965013409488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308</v>
      </c>
      <c r="D93" s="456">
        <v>394</v>
      </c>
      <c r="E93" s="456">
        <f t="shared" si="8"/>
        <v>86</v>
      </c>
      <c r="F93" s="449">
        <f t="shared" si="9"/>
        <v>0.2792207792207792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648</v>
      </c>
      <c r="C94" s="499">
        <f>IF(C93=0,0,C84/C93)</f>
        <v>4430.8116883116882</v>
      </c>
      <c r="D94" s="499">
        <f>IF(LN_IC11=0,0,LN_IC2/LN_IC11)</f>
        <v>3452.8121827411169</v>
      </c>
      <c r="E94" s="499">
        <f t="shared" si="8"/>
        <v>-977.99950557057127</v>
      </c>
      <c r="F94" s="449">
        <f t="shared" si="9"/>
        <v>-0.2207269399759183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649</v>
      </c>
      <c r="C95" s="466">
        <f>IF(C86=0,0,C93/C86)</f>
        <v>2.2158273381294964</v>
      </c>
      <c r="D95" s="466">
        <f>IF(LN_IC4=0,0,LN_IC11/LN_IC4)</f>
        <v>4.2826086956521738</v>
      </c>
      <c r="E95" s="466">
        <f t="shared" si="8"/>
        <v>2.0667813575226774</v>
      </c>
      <c r="F95" s="449">
        <f t="shared" si="9"/>
        <v>0.93273574251835123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680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651</v>
      </c>
      <c r="C98" s="448">
        <v>14751065</v>
      </c>
      <c r="D98" s="448">
        <v>11030087</v>
      </c>
      <c r="E98" s="448">
        <f t="shared" ref="E98:E106" si="10">D98-C98</f>
        <v>-3720978</v>
      </c>
      <c r="F98" s="449">
        <f t="shared" ref="F98:F106" si="11">IF(C98=0,0,E98/C98)</f>
        <v>-0.25225148150319993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652</v>
      </c>
      <c r="C99" s="448">
        <v>2469628</v>
      </c>
      <c r="D99" s="448">
        <v>2492116</v>
      </c>
      <c r="E99" s="448">
        <f t="shared" si="10"/>
        <v>22488</v>
      </c>
      <c r="F99" s="449">
        <f t="shared" si="11"/>
        <v>9.1058248448754233E-3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653</v>
      </c>
      <c r="C100" s="453">
        <f>IF(C98=0,0,C99/C98)</f>
        <v>0.16742031846514133</v>
      </c>
      <c r="D100" s="453">
        <f>IF(LN_IC14=0,0,LN_IC15/LN_IC14)</f>
        <v>0.22593801843992709</v>
      </c>
      <c r="E100" s="454">
        <f t="shared" si="10"/>
        <v>5.8517699974785758E-2</v>
      </c>
      <c r="F100" s="449">
        <f t="shared" si="11"/>
        <v>0.34952567592307954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654</v>
      </c>
      <c r="C101" s="453">
        <f>IF(C83=0,0,C98/C83)</f>
        <v>3.0705298706640485</v>
      </c>
      <c r="D101" s="453">
        <f>IF(LN_IC1=0,0,LN_IC14/LN_IC1)</f>
        <v>2.8653052201396898</v>
      </c>
      <c r="E101" s="454">
        <f t="shared" si="10"/>
        <v>-0.20522465052435868</v>
      </c>
      <c r="F101" s="449">
        <f t="shared" si="11"/>
        <v>-6.6836884566759069E-2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655</v>
      </c>
      <c r="C102" s="463">
        <f>C101*C86</f>
        <v>426.80365202230274</v>
      </c>
      <c r="D102" s="463">
        <f>LN_IC17*LN_IC4</f>
        <v>263.60808025285144</v>
      </c>
      <c r="E102" s="463">
        <f t="shared" si="10"/>
        <v>-163.19557176945131</v>
      </c>
      <c r="F102" s="449">
        <f t="shared" si="11"/>
        <v>-0.38236685884994132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656</v>
      </c>
      <c r="C103" s="465">
        <f>IF(C102=0,0,C99/C102)</f>
        <v>5786.3328682833035</v>
      </c>
      <c r="D103" s="465">
        <f>IF(LN_IC18=0,0,LN_IC15/LN_IC18)</f>
        <v>9453.86802107726</v>
      </c>
      <c r="E103" s="465">
        <f t="shared" si="10"/>
        <v>3667.5351527939565</v>
      </c>
      <c r="F103" s="449">
        <f t="shared" si="11"/>
        <v>0.63382719872492321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681</v>
      </c>
      <c r="C104" s="465">
        <f>C61-C103</f>
        <v>8673.8140094479149</v>
      </c>
      <c r="D104" s="465">
        <f>LN_IB18-LN_IC19</f>
        <v>6281.5066026979093</v>
      </c>
      <c r="E104" s="465">
        <f t="shared" si="10"/>
        <v>-2392.3074067500056</v>
      </c>
      <c r="F104" s="449">
        <f t="shared" si="11"/>
        <v>-0.27580801296225571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682</v>
      </c>
      <c r="C105" s="465">
        <f>C32-C103</f>
        <v>3174.1522973654901</v>
      </c>
      <c r="D105" s="465">
        <f>LN_IA16-LN_IC19</f>
        <v>85.434196638228968</v>
      </c>
      <c r="E105" s="465">
        <f t="shared" si="10"/>
        <v>-3088.7181007272611</v>
      </c>
      <c r="F105" s="449">
        <f t="shared" si="11"/>
        <v>-0.9730844053358314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667</v>
      </c>
      <c r="C106" s="448">
        <f>C105*C102</f>
        <v>1354739.7925905734</v>
      </c>
      <c r="D106" s="448">
        <f>LN_IC21*LN_IC18</f>
        <v>22521.144563748152</v>
      </c>
      <c r="E106" s="448">
        <f t="shared" si="10"/>
        <v>-1332218.6480268254</v>
      </c>
      <c r="F106" s="449">
        <f t="shared" si="11"/>
        <v>-0.98337603672164786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683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658</v>
      </c>
      <c r="C109" s="448">
        <f>C83+C98</f>
        <v>19555143</v>
      </c>
      <c r="D109" s="448">
        <f>LN_IC1+LN_IC14</f>
        <v>14879620</v>
      </c>
      <c r="E109" s="448">
        <f>D109-C109</f>
        <v>-4675523</v>
      </c>
      <c r="F109" s="449">
        <f>IF(C109=0,0,E109/C109)</f>
        <v>-0.23909428839257274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659</v>
      </c>
      <c r="C110" s="448">
        <f>C84+C99</f>
        <v>3834318</v>
      </c>
      <c r="D110" s="448">
        <f>LN_IC2+LN_IC15</f>
        <v>3852524</v>
      </c>
      <c r="E110" s="448">
        <f>D110-C110</f>
        <v>18206</v>
      </c>
      <c r="F110" s="449">
        <f>IF(C110=0,0,E110/C110)</f>
        <v>4.7481716435621669E-3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660</v>
      </c>
      <c r="C111" s="448">
        <f>C109-C110</f>
        <v>15720825</v>
      </c>
      <c r="D111" s="448">
        <f>LN_IC23-LN_IC24</f>
        <v>11027096</v>
      </c>
      <c r="E111" s="448">
        <f>D111-C111</f>
        <v>-4693729</v>
      </c>
      <c r="F111" s="449">
        <f>IF(C111=0,0,E111/C111)</f>
        <v>-0.29856760061892423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669</v>
      </c>
      <c r="C113" s="448">
        <f>C92+C106</f>
        <v>1164862.2939924591</v>
      </c>
      <c r="D113" s="448">
        <f>LN_IC10+LN_IC22</f>
        <v>-474463.55595032725</v>
      </c>
      <c r="E113" s="448">
        <f>D113-C113</f>
        <v>-1639325.8499427864</v>
      </c>
      <c r="F113" s="449">
        <f>IF(C113=0,0,E113/C113)</f>
        <v>-1.4073130003411363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684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685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642</v>
      </c>
      <c r="C118" s="448">
        <v>77179588</v>
      </c>
      <c r="D118" s="448">
        <v>76836069</v>
      </c>
      <c r="E118" s="448">
        <f t="shared" ref="E118:E130" si="12">D118-C118</f>
        <v>-343519</v>
      </c>
      <c r="F118" s="449">
        <f t="shared" ref="F118:F130" si="13">IF(C118=0,0,E118/C118)</f>
        <v>-4.4509048169575609E-3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643</v>
      </c>
      <c r="C119" s="448">
        <v>10773156</v>
      </c>
      <c r="D119" s="448">
        <v>13013835</v>
      </c>
      <c r="E119" s="448">
        <f t="shared" si="12"/>
        <v>2240679</v>
      </c>
      <c r="F119" s="449">
        <f t="shared" si="13"/>
        <v>0.2079872416216752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644</v>
      </c>
      <c r="C120" s="453">
        <f>IF(C118=0,0,C119/C118)</f>
        <v>0.13958555985035836</v>
      </c>
      <c r="D120" s="453">
        <f>IF(LN_ID1=0,0,LN_1D2/LN_ID1)</f>
        <v>0.16937143153432277</v>
      </c>
      <c r="E120" s="454">
        <f t="shared" si="12"/>
        <v>2.9785871683964404E-2</v>
      </c>
      <c r="F120" s="449">
        <f t="shared" si="13"/>
        <v>0.2133879157406835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2263</v>
      </c>
      <c r="D121" s="456">
        <v>2251</v>
      </c>
      <c r="E121" s="456">
        <f t="shared" si="12"/>
        <v>-12</v>
      </c>
      <c r="F121" s="449">
        <f t="shared" si="13"/>
        <v>-5.3026955368979233E-3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645</v>
      </c>
      <c r="C122" s="459">
        <v>1.04375</v>
      </c>
      <c r="D122" s="459">
        <v>1.0746199999999999</v>
      </c>
      <c r="E122" s="460">
        <f t="shared" si="12"/>
        <v>3.0869999999999953E-2</v>
      </c>
      <c r="F122" s="449">
        <f t="shared" si="13"/>
        <v>2.9576047904191573E-2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646</v>
      </c>
      <c r="C123" s="463">
        <f>C121*C122</f>
        <v>2362.0062499999999</v>
      </c>
      <c r="D123" s="463">
        <f>LN_ID4*LN_ID5</f>
        <v>2418.9696199999998</v>
      </c>
      <c r="E123" s="463">
        <f t="shared" si="12"/>
        <v>56.963369999999941</v>
      </c>
      <c r="F123" s="449">
        <f t="shared" si="13"/>
        <v>2.4116519590073035E-2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647</v>
      </c>
      <c r="C124" s="465">
        <f>IF(C123=0,0,C119/C123)</f>
        <v>4561.0192606391283</v>
      </c>
      <c r="D124" s="465">
        <f>IF(LN_ID6=0,0,LN_1D2/LN_ID6)</f>
        <v>5379.9084091018885</v>
      </c>
      <c r="E124" s="465">
        <f t="shared" si="12"/>
        <v>818.8891484627602</v>
      </c>
      <c r="F124" s="449">
        <f t="shared" si="13"/>
        <v>0.17954082227401305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686</v>
      </c>
      <c r="C125" s="465">
        <f>C48-C124</f>
        <v>9251.7611444572631</v>
      </c>
      <c r="D125" s="465">
        <f>LN_IB7-LN_ID7</f>
        <v>8570.3788563234466</v>
      </c>
      <c r="E125" s="465">
        <f t="shared" si="12"/>
        <v>-681.38228813381647</v>
      </c>
      <c r="F125" s="449">
        <f t="shared" si="13"/>
        <v>-7.3648927754909999E-2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687</v>
      </c>
      <c r="C126" s="465">
        <f>C21-C124</f>
        <v>2973.3355141778056</v>
      </c>
      <c r="D126" s="465">
        <f>LN_IA7-LN_ID7</f>
        <v>1671.2079424964886</v>
      </c>
      <c r="E126" s="465">
        <f t="shared" si="12"/>
        <v>-1302.127571681317</v>
      </c>
      <c r="F126" s="449">
        <f t="shared" si="13"/>
        <v>-0.43793496074437621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664</v>
      </c>
      <c r="C127" s="479">
        <f>C126*C123</f>
        <v>7023037.0678349398</v>
      </c>
      <c r="D127" s="479">
        <f>LN_ID9*LN_ID6</f>
        <v>4042601.2416017125</v>
      </c>
      <c r="E127" s="479">
        <f t="shared" si="12"/>
        <v>-2980435.8262332273</v>
      </c>
      <c r="F127" s="449">
        <f t="shared" si="13"/>
        <v>-0.42437990821427279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9624</v>
      </c>
      <c r="D128" s="456">
        <v>10039</v>
      </c>
      <c r="E128" s="456">
        <f t="shared" si="12"/>
        <v>415</v>
      </c>
      <c r="F128" s="449">
        <f t="shared" si="13"/>
        <v>4.3121363258520368E-2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648</v>
      </c>
      <c r="C129" s="465">
        <f>IF(C128=0,0,C119/C128)</f>
        <v>1119.4052369077306</v>
      </c>
      <c r="D129" s="465">
        <f>IF(LN_ID11=0,0,LN_1D2/LN_ID11)</f>
        <v>1296.3278214961649</v>
      </c>
      <c r="E129" s="465">
        <f t="shared" si="12"/>
        <v>176.92258458843435</v>
      </c>
      <c r="F129" s="449">
        <f t="shared" si="13"/>
        <v>0.15805052429196165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649</v>
      </c>
      <c r="C130" s="466">
        <f>IF(C121=0,0,C128/C121)</f>
        <v>4.2527618205921343</v>
      </c>
      <c r="D130" s="466">
        <f>IF(LN_ID4=0,0,LN_ID11/LN_ID4)</f>
        <v>4.4597956463793871</v>
      </c>
      <c r="E130" s="466">
        <f t="shared" si="12"/>
        <v>0.20703382578725282</v>
      </c>
      <c r="F130" s="449">
        <f t="shared" si="13"/>
        <v>4.8682205710365037E-2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688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651</v>
      </c>
      <c r="C133" s="448">
        <v>119249249</v>
      </c>
      <c r="D133" s="448">
        <v>127898287</v>
      </c>
      <c r="E133" s="448">
        <f t="shared" ref="E133:E141" si="14">D133-C133</f>
        <v>8649038</v>
      </c>
      <c r="F133" s="449">
        <f t="shared" ref="F133:F141" si="15">IF(C133=0,0,E133/C133)</f>
        <v>7.252907731100261E-2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652</v>
      </c>
      <c r="C134" s="448">
        <v>20919610</v>
      </c>
      <c r="D134" s="448">
        <v>20645716</v>
      </c>
      <c r="E134" s="448">
        <f t="shared" si="14"/>
        <v>-273894</v>
      </c>
      <c r="F134" s="449">
        <f t="shared" si="15"/>
        <v>-1.3092691498550881E-2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653</v>
      </c>
      <c r="C135" s="453">
        <f>IF(C133=0,0,C134/C133)</f>
        <v>0.1754276037411355</v>
      </c>
      <c r="D135" s="453">
        <f>IF(LN_ID14=0,0,LN_ID15/LN_ID14)</f>
        <v>0.16142292820544188</v>
      </c>
      <c r="E135" s="454">
        <f t="shared" si="14"/>
        <v>-1.4004675535693623E-2</v>
      </c>
      <c r="F135" s="449">
        <f t="shared" si="15"/>
        <v>-7.9831652699076952E-2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654</v>
      </c>
      <c r="C136" s="453">
        <f>IF(C118=0,0,C133/C118)</f>
        <v>1.5450879188419611</v>
      </c>
      <c r="D136" s="453">
        <f>IF(LN_ID1=0,0,LN_ID14/LN_ID1)</f>
        <v>1.664560520398304</v>
      </c>
      <c r="E136" s="454">
        <f t="shared" si="14"/>
        <v>0.11947260155634298</v>
      </c>
      <c r="F136" s="449">
        <f t="shared" si="15"/>
        <v>7.7324144535339687E-2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655</v>
      </c>
      <c r="C137" s="463">
        <f>C136*C121</f>
        <v>3496.5339603393577</v>
      </c>
      <c r="D137" s="463">
        <f>LN_ID17*LN_ID4</f>
        <v>3746.9257314165825</v>
      </c>
      <c r="E137" s="463">
        <f t="shared" si="14"/>
        <v>250.3917710772248</v>
      </c>
      <c r="F137" s="449">
        <f t="shared" si="15"/>
        <v>7.1611422602319841E-2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656</v>
      </c>
      <c r="C138" s="465">
        <f>IF(C137=0,0,C134/C137)</f>
        <v>5982.9563325532918</v>
      </c>
      <c r="D138" s="465">
        <f>IF(LN_ID18=0,0,LN_ID15/LN_ID18)</f>
        <v>5510.0414259330864</v>
      </c>
      <c r="E138" s="465">
        <f t="shared" si="14"/>
        <v>-472.91490662020533</v>
      </c>
      <c r="F138" s="449">
        <f t="shared" si="15"/>
        <v>-7.9043683479197935E-2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689</v>
      </c>
      <c r="C139" s="465">
        <f>C61-C138</f>
        <v>8477.1905451779276</v>
      </c>
      <c r="D139" s="465">
        <f>LN_IB18-LN_ID19</f>
        <v>10225.333197842083</v>
      </c>
      <c r="E139" s="465">
        <f t="shared" si="14"/>
        <v>1748.1426526641553</v>
      </c>
      <c r="F139" s="449">
        <f t="shared" si="15"/>
        <v>0.20621721823376374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690</v>
      </c>
      <c r="C140" s="465">
        <f>C32-C138</f>
        <v>2977.5288330955018</v>
      </c>
      <c r="D140" s="465">
        <f>LN_IA16-LN_ID19</f>
        <v>4029.2607917824025</v>
      </c>
      <c r="E140" s="465">
        <f t="shared" si="14"/>
        <v>1051.7319586869007</v>
      </c>
      <c r="F140" s="449">
        <f t="shared" si="15"/>
        <v>0.35322309795855039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667</v>
      </c>
      <c r="C141" s="441">
        <f>C140*C137</f>
        <v>10411030.682808042</v>
      </c>
      <c r="D141" s="441">
        <f>LN_ID21*LN_ID18</f>
        <v>15097340.939317437</v>
      </c>
      <c r="E141" s="441">
        <f t="shared" si="14"/>
        <v>4686310.2565093953</v>
      </c>
      <c r="F141" s="449">
        <f t="shared" si="15"/>
        <v>0.45012932910168058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691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658</v>
      </c>
      <c r="C144" s="448">
        <f>C118+C133</f>
        <v>196428837</v>
      </c>
      <c r="D144" s="448">
        <f>LN_ID1+LN_ID14</f>
        <v>204734356</v>
      </c>
      <c r="E144" s="448">
        <f>D144-C144</f>
        <v>8305519</v>
      </c>
      <c r="F144" s="449">
        <f>IF(C144=0,0,E144/C144)</f>
        <v>4.2282585015763242E-2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659</v>
      </c>
      <c r="C145" s="448">
        <f>C119+C134</f>
        <v>31692766</v>
      </c>
      <c r="D145" s="448">
        <f>LN_1D2+LN_ID15</f>
        <v>33659551</v>
      </c>
      <c r="E145" s="448">
        <f>D145-C145</f>
        <v>1966785</v>
      </c>
      <c r="F145" s="449">
        <f>IF(C145=0,0,E145/C145)</f>
        <v>6.2057852571151408E-2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660</v>
      </c>
      <c r="C146" s="448">
        <f>C144-C145</f>
        <v>164736071</v>
      </c>
      <c r="D146" s="448">
        <f>LN_ID23-LN_ID24</f>
        <v>171074805</v>
      </c>
      <c r="E146" s="448">
        <f>D146-C146</f>
        <v>6338734</v>
      </c>
      <c r="F146" s="449">
        <f>IF(C146=0,0,E146/C146)</f>
        <v>3.8478118128724828E-2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669</v>
      </c>
      <c r="C148" s="448">
        <f>C127+C141</f>
        <v>17434067.750642981</v>
      </c>
      <c r="D148" s="448">
        <f>LN_ID10+LN_ID22</f>
        <v>19139942.180919148</v>
      </c>
      <c r="E148" s="448">
        <f>D148-C148</f>
        <v>1705874.4302761666</v>
      </c>
      <c r="F148" s="503">
        <f>IF(C148=0,0,E148/C148)</f>
        <v>9.7847183725281367E-2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692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693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642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643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644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645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646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647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694</v>
      </c>
      <c r="C160" s="465">
        <f>C48-C159</f>
        <v>13812.780405096391</v>
      </c>
      <c r="D160" s="465">
        <f>LN_IB7-LN_IE7</f>
        <v>13950.287265425335</v>
      </c>
      <c r="E160" s="465">
        <f t="shared" si="16"/>
        <v>137.50686032894373</v>
      </c>
      <c r="F160" s="449">
        <f t="shared" si="17"/>
        <v>9.9550457110147723E-3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695</v>
      </c>
      <c r="C161" s="465">
        <f>C21-C159</f>
        <v>7534.354774816934</v>
      </c>
      <c r="D161" s="465">
        <f>LN_IA7-LN_IE7</f>
        <v>7051.1163515983772</v>
      </c>
      <c r="E161" s="465">
        <f t="shared" si="16"/>
        <v>-483.23842321855682</v>
      </c>
      <c r="F161" s="449">
        <f t="shared" si="17"/>
        <v>-6.4137996903696148E-2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664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648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649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696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651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652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653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654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655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656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697</v>
      </c>
      <c r="C174" s="465">
        <f>C61-C173</f>
        <v>14460.146877731218</v>
      </c>
      <c r="D174" s="465">
        <f>LN_IB18-LN_IE19</f>
        <v>15735.374623775169</v>
      </c>
      <c r="E174" s="465">
        <f t="shared" si="18"/>
        <v>1275.2277460439509</v>
      </c>
      <c r="F174" s="449">
        <f t="shared" si="19"/>
        <v>8.8189128148332671E-2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698</v>
      </c>
      <c r="C175" s="465">
        <f>C32-C173</f>
        <v>8960.4851656487936</v>
      </c>
      <c r="D175" s="465">
        <f>LN_IA16-LN_IE19</f>
        <v>9539.302217715489</v>
      </c>
      <c r="E175" s="465">
        <f t="shared" si="18"/>
        <v>578.8170520666954</v>
      </c>
      <c r="F175" s="449">
        <f t="shared" si="19"/>
        <v>6.459661964350627E-2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667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699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658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659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660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700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701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702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642</v>
      </c>
      <c r="C188" s="448">
        <f>C118+C153</f>
        <v>77179588</v>
      </c>
      <c r="D188" s="448">
        <f>LN_ID1+LN_IE1</f>
        <v>76836069</v>
      </c>
      <c r="E188" s="448">
        <f t="shared" ref="E188:E200" si="20">D188-C188</f>
        <v>-343519</v>
      </c>
      <c r="F188" s="449">
        <f t="shared" ref="F188:F200" si="21">IF(C188=0,0,E188/C188)</f>
        <v>-4.4509048169575609E-3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643</v>
      </c>
      <c r="C189" s="448">
        <f>C119+C154</f>
        <v>10773156</v>
      </c>
      <c r="D189" s="448">
        <f>LN_1D2+LN_IE2</f>
        <v>13013835</v>
      </c>
      <c r="E189" s="448">
        <f t="shared" si="20"/>
        <v>2240679</v>
      </c>
      <c r="F189" s="449">
        <f t="shared" si="21"/>
        <v>0.2079872416216752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644</v>
      </c>
      <c r="C190" s="453">
        <f>IF(C188=0,0,C189/C188)</f>
        <v>0.13958555985035836</v>
      </c>
      <c r="D190" s="453">
        <f>IF(LN_IF1=0,0,LN_IF2/LN_IF1)</f>
        <v>0.16937143153432277</v>
      </c>
      <c r="E190" s="454">
        <f t="shared" si="20"/>
        <v>2.9785871683964404E-2</v>
      </c>
      <c r="F190" s="449">
        <f t="shared" si="21"/>
        <v>0.2133879157406835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2263</v>
      </c>
      <c r="D191" s="456">
        <f>LN_ID4+LN_IE4</f>
        <v>2251</v>
      </c>
      <c r="E191" s="456">
        <f t="shared" si="20"/>
        <v>-12</v>
      </c>
      <c r="F191" s="449">
        <f t="shared" si="21"/>
        <v>-5.3026955368979233E-3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645</v>
      </c>
      <c r="C192" s="459">
        <f>IF((C121+C156)=0,0,(C123+C158)/(C121+C156))</f>
        <v>1.04375</v>
      </c>
      <c r="D192" s="459">
        <f>IF((LN_ID4+LN_IE4)=0,0,(LN_ID6+LN_IE6)/(LN_ID4+LN_IE4))</f>
        <v>1.0746199999999999</v>
      </c>
      <c r="E192" s="460">
        <f t="shared" si="20"/>
        <v>3.0869999999999953E-2</v>
      </c>
      <c r="F192" s="449">
        <f t="shared" si="21"/>
        <v>2.9576047904191573E-2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646</v>
      </c>
      <c r="C193" s="463">
        <f>C123+C158</f>
        <v>2362.0062499999999</v>
      </c>
      <c r="D193" s="463">
        <f>LN_IF4*LN_IF5</f>
        <v>2418.9696199999998</v>
      </c>
      <c r="E193" s="463">
        <f t="shared" si="20"/>
        <v>56.963369999999941</v>
      </c>
      <c r="F193" s="449">
        <f t="shared" si="21"/>
        <v>2.4116519590073035E-2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647</v>
      </c>
      <c r="C194" s="465">
        <f>IF(C193=0,0,C189/C193)</f>
        <v>4561.0192606391283</v>
      </c>
      <c r="D194" s="465">
        <f>IF(LN_IF6=0,0,LN_IF2/LN_IF6)</f>
        <v>5379.9084091018885</v>
      </c>
      <c r="E194" s="465">
        <f t="shared" si="20"/>
        <v>818.8891484627602</v>
      </c>
      <c r="F194" s="449">
        <f t="shared" si="21"/>
        <v>0.17954082227401305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703</v>
      </c>
      <c r="C195" s="465">
        <f>C48-C194</f>
        <v>9251.7611444572631</v>
      </c>
      <c r="D195" s="465">
        <f>LN_IB7-LN_IF7</f>
        <v>8570.3788563234466</v>
      </c>
      <c r="E195" s="465">
        <f t="shared" si="20"/>
        <v>-681.38228813381647</v>
      </c>
      <c r="F195" s="449">
        <f t="shared" si="21"/>
        <v>-7.3648927754909999E-2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704</v>
      </c>
      <c r="C196" s="465">
        <f>C21-C194</f>
        <v>2973.3355141778056</v>
      </c>
      <c r="D196" s="465">
        <f>LN_IA7-LN_IF7</f>
        <v>1671.2079424964886</v>
      </c>
      <c r="E196" s="465">
        <f t="shared" si="20"/>
        <v>-1302.127571681317</v>
      </c>
      <c r="F196" s="449">
        <f t="shared" si="21"/>
        <v>-0.43793496074437621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664</v>
      </c>
      <c r="C197" s="479">
        <f>C127+C162</f>
        <v>7023037.0678349398</v>
      </c>
      <c r="D197" s="479">
        <f>LN_IF9*LN_IF6</f>
        <v>4042601.2416017125</v>
      </c>
      <c r="E197" s="479">
        <f t="shared" si="20"/>
        <v>-2980435.8262332273</v>
      </c>
      <c r="F197" s="449">
        <f t="shared" si="21"/>
        <v>-0.42437990821427279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9624</v>
      </c>
      <c r="D198" s="456">
        <f>LN_ID11+LN_IE11</f>
        <v>10039</v>
      </c>
      <c r="E198" s="456">
        <f t="shared" si="20"/>
        <v>415</v>
      </c>
      <c r="F198" s="449">
        <f t="shared" si="21"/>
        <v>4.3121363258520368E-2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648</v>
      </c>
      <c r="C199" s="519">
        <f>IF(C198=0,0,C189/C198)</f>
        <v>1119.4052369077306</v>
      </c>
      <c r="D199" s="519">
        <f>IF(LN_IF11=0,0,LN_IF2/LN_IF11)</f>
        <v>1296.3278214961649</v>
      </c>
      <c r="E199" s="519">
        <f t="shared" si="20"/>
        <v>176.92258458843435</v>
      </c>
      <c r="F199" s="449">
        <f t="shared" si="21"/>
        <v>0.15805052429196165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649</v>
      </c>
      <c r="C200" s="466">
        <f>IF(C191=0,0,C198/C191)</f>
        <v>4.2527618205921343</v>
      </c>
      <c r="D200" s="466">
        <f>IF(LN_IF4=0,0,LN_IF11/LN_IF4)</f>
        <v>4.4597956463793871</v>
      </c>
      <c r="E200" s="466">
        <f t="shared" si="20"/>
        <v>0.20703382578725282</v>
      </c>
      <c r="F200" s="449">
        <f t="shared" si="21"/>
        <v>4.8682205710365037E-2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705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651</v>
      </c>
      <c r="C203" s="448">
        <f>C133+C168</f>
        <v>119249249</v>
      </c>
      <c r="D203" s="448">
        <f>LN_ID14+LN_IE14</f>
        <v>127898287</v>
      </c>
      <c r="E203" s="448">
        <f t="shared" ref="E203:E211" si="22">D203-C203</f>
        <v>8649038</v>
      </c>
      <c r="F203" s="449">
        <f t="shared" ref="F203:F211" si="23">IF(C203=0,0,E203/C203)</f>
        <v>7.252907731100261E-2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652</v>
      </c>
      <c r="C204" s="448">
        <f>C134+C169</f>
        <v>20919610</v>
      </c>
      <c r="D204" s="448">
        <f>LN_ID15+LN_IE15</f>
        <v>20645716</v>
      </c>
      <c r="E204" s="448">
        <f t="shared" si="22"/>
        <v>-273894</v>
      </c>
      <c r="F204" s="449">
        <f t="shared" si="23"/>
        <v>-1.3092691498550881E-2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653</v>
      </c>
      <c r="C205" s="453">
        <f>IF(C203=0,0,C204/C203)</f>
        <v>0.1754276037411355</v>
      </c>
      <c r="D205" s="453">
        <f>IF(LN_IF14=0,0,LN_IF15/LN_IF14)</f>
        <v>0.16142292820544188</v>
      </c>
      <c r="E205" s="454">
        <f t="shared" si="22"/>
        <v>-1.4004675535693623E-2</v>
      </c>
      <c r="F205" s="449">
        <f t="shared" si="23"/>
        <v>-7.9831652699076952E-2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654</v>
      </c>
      <c r="C206" s="453">
        <f>IF(C188=0,0,C203/C188)</f>
        <v>1.5450879188419611</v>
      </c>
      <c r="D206" s="453">
        <f>IF(LN_IF1=0,0,LN_IF14/LN_IF1)</f>
        <v>1.664560520398304</v>
      </c>
      <c r="E206" s="454">
        <f t="shared" si="22"/>
        <v>0.11947260155634298</v>
      </c>
      <c r="F206" s="449">
        <f t="shared" si="23"/>
        <v>7.7324144535339687E-2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655</v>
      </c>
      <c r="C207" s="463">
        <f>C137+C172</f>
        <v>3496.5339603393577</v>
      </c>
      <c r="D207" s="463">
        <f>LN_ID18+LN_IE18</f>
        <v>3746.9257314165825</v>
      </c>
      <c r="E207" s="463">
        <f t="shared" si="22"/>
        <v>250.3917710772248</v>
      </c>
      <c r="F207" s="449">
        <f t="shared" si="23"/>
        <v>7.1611422602319841E-2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656</v>
      </c>
      <c r="C208" s="465">
        <f>IF(C207=0,0,C204/C207)</f>
        <v>5982.9563325532918</v>
      </c>
      <c r="D208" s="465">
        <f>IF(LN_IF18=0,0,LN_IF15/LN_IF18)</f>
        <v>5510.0414259330864</v>
      </c>
      <c r="E208" s="465">
        <f t="shared" si="22"/>
        <v>-472.91490662020533</v>
      </c>
      <c r="F208" s="449">
        <f t="shared" si="23"/>
        <v>-7.9043683479197935E-2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706</v>
      </c>
      <c r="C209" s="465">
        <f>C61-C208</f>
        <v>8477.1905451779276</v>
      </c>
      <c r="D209" s="465">
        <f>LN_IB18-LN_IF19</f>
        <v>10225.333197842083</v>
      </c>
      <c r="E209" s="465">
        <f t="shared" si="22"/>
        <v>1748.1426526641553</v>
      </c>
      <c r="F209" s="449">
        <f t="shared" si="23"/>
        <v>0.20621721823376374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707</v>
      </c>
      <c r="C210" s="465">
        <f>C32-C208</f>
        <v>2977.5288330955018</v>
      </c>
      <c r="D210" s="465">
        <f>LN_IA16-LN_IF19</f>
        <v>4029.2607917824025</v>
      </c>
      <c r="E210" s="465">
        <f t="shared" si="22"/>
        <v>1051.7319586869007</v>
      </c>
      <c r="F210" s="449">
        <f t="shared" si="23"/>
        <v>0.35322309795855039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667</v>
      </c>
      <c r="C211" s="479">
        <f>C141+C176</f>
        <v>10411030.682808042</v>
      </c>
      <c r="D211" s="441">
        <f>LN_IF21*LN_IF18</f>
        <v>15097340.939317437</v>
      </c>
      <c r="E211" s="441">
        <f t="shared" si="22"/>
        <v>4686310.2565093953</v>
      </c>
      <c r="F211" s="449">
        <f t="shared" si="23"/>
        <v>0.45012932910168058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708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658</v>
      </c>
      <c r="C214" s="448">
        <f>C188+C203</f>
        <v>196428837</v>
      </c>
      <c r="D214" s="448">
        <f>LN_IF1+LN_IF14</f>
        <v>204734356</v>
      </c>
      <c r="E214" s="448">
        <f>D214-C214</f>
        <v>8305519</v>
      </c>
      <c r="F214" s="449">
        <f>IF(C214=0,0,E214/C214)</f>
        <v>4.2282585015763242E-2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659</v>
      </c>
      <c r="C215" s="448">
        <f>C189+C204</f>
        <v>31692766</v>
      </c>
      <c r="D215" s="448">
        <f>LN_IF2+LN_IF15</f>
        <v>33659551</v>
      </c>
      <c r="E215" s="448">
        <f>D215-C215</f>
        <v>1966785</v>
      </c>
      <c r="F215" s="449">
        <f>IF(C215=0,0,E215/C215)</f>
        <v>6.2057852571151408E-2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660</v>
      </c>
      <c r="C216" s="448">
        <f>C214-C215</f>
        <v>164736071</v>
      </c>
      <c r="D216" s="448">
        <f>LN_IF23-LN_IF24</f>
        <v>171074805</v>
      </c>
      <c r="E216" s="448">
        <f>D216-C216</f>
        <v>6338734</v>
      </c>
      <c r="F216" s="449">
        <f>IF(C216=0,0,E216/C216)</f>
        <v>3.8478118128724828E-2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709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710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642</v>
      </c>
      <c r="C221" s="448">
        <v>1800340</v>
      </c>
      <c r="D221" s="448">
        <v>1934851</v>
      </c>
      <c r="E221" s="448">
        <f t="shared" ref="E221:E230" si="24">D221-C221</f>
        <v>134511</v>
      </c>
      <c r="F221" s="449">
        <f t="shared" ref="F221:F230" si="25">IF(C221=0,0,E221/C221)</f>
        <v>7.4714220647211088E-2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643</v>
      </c>
      <c r="C222" s="448">
        <v>367877</v>
      </c>
      <c r="D222" s="448">
        <v>373735</v>
      </c>
      <c r="E222" s="448">
        <f t="shared" si="24"/>
        <v>5858</v>
      </c>
      <c r="F222" s="449">
        <f t="shared" si="25"/>
        <v>1.5923800618141391E-2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644</v>
      </c>
      <c r="C223" s="453">
        <f>IF(C221=0,0,C222/C221)</f>
        <v>0.20433751402512859</v>
      </c>
      <c r="D223" s="453">
        <f>IF(LN_IG1=0,0,LN_IG2/LN_IG1)</f>
        <v>0.19315957662889804</v>
      </c>
      <c r="E223" s="454">
        <f t="shared" si="24"/>
        <v>-1.1177937396230547E-2</v>
      </c>
      <c r="F223" s="449">
        <f t="shared" si="25"/>
        <v>-5.4703305213236228E-2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57</v>
      </c>
      <c r="D224" s="456">
        <v>62</v>
      </c>
      <c r="E224" s="456">
        <f t="shared" si="24"/>
        <v>5</v>
      </c>
      <c r="F224" s="449">
        <f t="shared" si="25"/>
        <v>8.771929824561403E-2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645</v>
      </c>
      <c r="C225" s="459">
        <v>1.0518000000000001</v>
      </c>
      <c r="D225" s="459">
        <v>1.22936</v>
      </c>
      <c r="E225" s="460">
        <f t="shared" si="24"/>
        <v>0.17755999999999994</v>
      </c>
      <c r="F225" s="449">
        <f t="shared" si="25"/>
        <v>0.16881536413766868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646</v>
      </c>
      <c r="C226" s="463">
        <f>C224*C225</f>
        <v>59.952600000000004</v>
      </c>
      <c r="D226" s="463">
        <f>LN_IG3*LN_IG4</f>
        <v>76.220320000000001</v>
      </c>
      <c r="E226" s="463">
        <f t="shared" si="24"/>
        <v>16.267719999999997</v>
      </c>
      <c r="F226" s="449">
        <f t="shared" si="25"/>
        <v>0.27134302765851681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647</v>
      </c>
      <c r="C227" s="465">
        <f>IF(C226=0,0,C222/C226)</f>
        <v>6136.1308767259461</v>
      </c>
      <c r="D227" s="465">
        <f>IF(LN_IG5=0,0,LN_IG2/LN_IG5)</f>
        <v>4903.3512323222994</v>
      </c>
      <c r="E227" s="465">
        <f t="shared" si="24"/>
        <v>-1232.7796444036467</v>
      </c>
      <c r="F227" s="449">
        <f t="shared" si="25"/>
        <v>-0.20090504410189838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174</v>
      </c>
      <c r="D228" s="456">
        <v>180</v>
      </c>
      <c r="E228" s="456">
        <f t="shared" si="24"/>
        <v>6</v>
      </c>
      <c r="F228" s="449">
        <f t="shared" si="25"/>
        <v>3.4482758620689655E-2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648</v>
      </c>
      <c r="C229" s="465">
        <f>IF(C228=0,0,C222/C228)</f>
        <v>2114.2356321839079</v>
      </c>
      <c r="D229" s="465">
        <f>IF(LN_IG6=0,0,LN_IG2/LN_IG6)</f>
        <v>2076.3055555555557</v>
      </c>
      <c r="E229" s="465">
        <f t="shared" si="24"/>
        <v>-37.930076628352253</v>
      </c>
      <c r="F229" s="449">
        <f t="shared" si="25"/>
        <v>-1.7940326069129878E-2</v>
      </c>
      <c r="Q229" s="421"/>
      <c r="U229" s="462"/>
    </row>
    <row r="230" spans="1:21" ht="15.75" customHeight="1" x14ac:dyDescent="0.2">
      <c r="A230" s="451">
        <v>10</v>
      </c>
      <c r="B230" s="447" t="s">
        <v>649</v>
      </c>
      <c r="C230" s="466">
        <f>IF(C224=0,0,C228/C224)</f>
        <v>3.0526315789473686</v>
      </c>
      <c r="D230" s="466">
        <f>IF(LN_IG3=0,0,LN_IG6/LN_IG3)</f>
        <v>2.903225806451613</v>
      </c>
      <c r="E230" s="466">
        <f t="shared" si="24"/>
        <v>-0.1494057724957556</v>
      </c>
      <c r="F230" s="449">
        <f t="shared" si="25"/>
        <v>-4.8943270300333727E-2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711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651</v>
      </c>
      <c r="C233" s="448">
        <v>3144401</v>
      </c>
      <c r="D233" s="448">
        <v>3663118</v>
      </c>
      <c r="E233" s="448">
        <f>D233-C233</f>
        <v>518717</v>
      </c>
      <c r="F233" s="449">
        <f>IF(C233=0,0,E233/C233)</f>
        <v>0.16496528273588515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652</v>
      </c>
      <c r="C234" s="448">
        <v>293636</v>
      </c>
      <c r="D234" s="448">
        <v>599314</v>
      </c>
      <c r="E234" s="448">
        <f>D234-C234</f>
        <v>305678</v>
      </c>
      <c r="F234" s="449">
        <f>IF(C234=0,0,E234/C234)</f>
        <v>1.0410099579070686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712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658</v>
      </c>
      <c r="C237" s="448">
        <f>C221+C233</f>
        <v>4944741</v>
      </c>
      <c r="D237" s="448">
        <f>LN_IG1+LN_IG9</f>
        <v>5597969</v>
      </c>
      <c r="E237" s="448">
        <f>D237-C237</f>
        <v>653228</v>
      </c>
      <c r="F237" s="449">
        <f>IF(C237=0,0,E237/C237)</f>
        <v>0.13210560472226957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659</v>
      </c>
      <c r="C238" s="448">
        <f>C222+C234</f>
        <v>661513</v>
      </c>
      <c r="D238" s="448">
        <f>LN_IG2+LN_IG10</f>
        <v>973049</v>
      </c>
      <c r="E238" s="448">
        <f>D238-C238</f>
        <v>311536</v>
      </c>
      <c r="F238" s="449">
        <f>IF(C238=0,0,E238/C238)</f>
        <v>0.47094463752035109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660</v>
      </c>
      <c r="C239" s="448">
        <f>C237-C238</f>
        <v>4283228</v>
      </c>
      <c r="D239" s="448">
        <f>LN_IG13-LN_IG14</f>
        <v>4624920</v>
      </c>
      <c r="E239" s="448">
        <f>D239-C239</f>
        <v>341692</v>
      </c>
      <c r="F239" s="449">
        <f>IF(C239=0,0,E239/C239)</f>
        <v>7.9774413129536884E-2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713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714</v>
      </c>
      <c r="C243" s="448">
        <v>12557059</v>
      </c>
      <c r="D243" s="448">
        <v>13366834</v>
      </c>
      <c r="E243" s="441">
        <f>D243-C243</f>
        <v>809775</v>
      </c>
      <c r="F243" s="503">
        <f>IF(C243=0,0,E243/C243)</f>
        <v>6.4487632016382176E-2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715</v>
      </c>
      <c r="C244" s="448">
        <v>345860614</v>
      </c>
      <c r="D244" s="448">
        <v>365751321</v>
      </c>
      <c r="E244" s="441">
        <f>D244-C244</f>
        <v>19890707</v>
      </c>
      <c r="F244" s="503">
        <f>IF(C244=0,0,E244/C244)</f>
        <v>5.7510760678867005E-2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716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717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718</v>
      </c>
      <c r="C248" s="441">
        <v>8559951</v>
      </c>
      <c r="D248" s="441">
        <v>6695669</v>
      </c>
      <c r="E248" s="441">
        <f>D248-C248</f>
        <v>-1864282</v>
      </c>
      <c r="F248" s="449">
        <f>IF(C248=0,0,E248/C248)</f>
        <v>-0.21779119997299051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719</v>
      </c>
      <c r="C249" s="441">
        <v>13908964</v>
      </c>
      <c r="D249" s="441">
        <v>10271353</v>
      </c>
      <c r="E249" s="441">
        <f>D249-C249</f>
        <v>-3637611</v>
      </c>
      <c r="F249" s="449">
        <f>IF(C249=0,0,E249/C249)</f>
        <v>-0.26152997448264298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720</v>
      </c>
      <c r="C250" s="441">
        <f>C248+C249</f>
        <v>22468915</v>
      </c>
      <c r="D250" s="441">
        <f>LN_IH4+LN_IH5</f>
        <v>16967022</v>
      </c>
      <c r="E250" s="441">
        <f>D250-C250</f>
        <v>-5501893</v>
      </c>
      <c r="F250" s="449">
        <f>IF(C250=0,0,E250/C250)</f>
        <v>-0.2448668749692631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721</v>
      </c>
      <c r="C251" s="441">
        <f>C250*C313</f>
        <v>6344709.0102750305</v>
      </c>
      <c r="D251" s="441">
        <f>LN_IH6*LN_III10</f>
        <v>4921160.9637280917</v>
      </c>
      <c r="E251" s="441">
        <f>D251-C251</f>
        <v>-1423548.0465469388</v>
      </c>
      <c r="F251" s="449">
        <f>IF(C251=0,0,E251/C251)</f>
        <v>-0.22436774393302411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722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658</v>
      </c>
      <c r="C254" s="441">
        <f>C188+C203</f>
        <v>196428837</v>
      </c>
      <c r="D254" s="441">
        <f>LN_IF23</f>
        <v>204734356</v>
      </c>
      <c r="E254" s="441">
        <f>D254-C254</f>
        <v>8305519</v>
      </c>
      <c r="F254" s="449">
        <f>IF(C254=0,0,E254/C254)</f>
        <v>4.2282585015763242E-2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659</v>
      </c>
      <c r="C255" s="441">
        <f>C189+C204</f>
        <v>31692766</v>
      </c>
      <c r="D255" s="441">
        <f>LN_IF24</f>
        <v>33659551</v>
      </c>
      <c r="E255" s="441">
        <f>D255-C255</f>
        <v>1966785</v>
      </c>
      <c r="F255" s="449">
        <f>IF(C255=0,0,E255/C255)</f>
        <v>6.2057852571151408E-2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723</v>
      </c>
      <c r="C256" s="441">
        <f>C254*C313</f>
        <v>55467022.417047963</v>
      </c>
      <c r="D256" s="441">
        <f>LN_IH8*LN_III10</f>
        <v>59381706.505785763</v>
      </c>
      <c r="E256" s="441">
        <f>D256-C256</f>
        <v>3914684.0887378007</v>
      </c>
      <c r="F256" s="449">
        <f>IF(C256=0,0,E256/C256)</f>
        <v>7.0576784513578114E-2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724</v>
      </c>
      <c r="C257" s="441">
        <f>C256-C255</f>
        <v>23774256.417047963</v>
      </c>
      <c r="D257" s="441">
        <f>LN_IH10-LN_IH9</f>
        <v>25722155.505785763</v>
      </c>
      <c r="E257" s="441">
        <f>D257-C257</f>
        <v>1947899.0887378007</v>
      </c>
      <c r="F257" s="449">
        <f>IF(C257=0,0,E257/C257)</f>
        <v>8.1933123567263622E-2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725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726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579045370</v>
      </c>
      <c r="D261" s="448">
        <f>LN_IA1+LN_IB1+LN_IF1+LN_IG1</f>
        <v>557817787</v>
      </c>
      <c r="E261" s="448">
        <f t="shared" ref="E261:E274" si="26">D261-C261</f>
        <v>-21227583</v>
      </c>
      <c r="F261" s="503">
        <f t="shared" ref="F261:F274" si="27">IF(C261=0,0,E261/C261)</f>
        <v>-3.665961960804557E-2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160594164</v>
      </c>
      <c r="D262" s="448">
        <f>+LN_IA2+LN_IB2+LN_IF2+LN_IG2</f>
        <v>156510223</v>
      </c>
      <c r="E262" s="448">
        <f t="shared" si="26"/>
        <v>-4083941</v>
      </c>
      <c r="F262" s="503">
        <f t="shared" si="27"/>
        <v>-2.5430195582947835E-2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727</v>
      </c>
      <c r="C263" s="453">
        <f>IF(C261=0,0,C262/C261)</f>
        <v>0.27734297227866617</v>
      </c>
      <c r="D263" s="453">
        <f>IF(LN_IIA1=0,0,LN_IIA2/LN_IIA1)</f>
        <v>0.28057589171139141</v>
      </c>
      <c r="E263" s="454">
        <f t="shared" si="26"/>
        <v>3.2329194327252453E-3</v>
      </c>
      <c r="F263" s="458">
        <f t="shared" si="27"/>
        <v>1.1656756276041139E-2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14296</v>
      </c>
      <c r="D264" s="456">
        <f>LN_IA4+LN_IB4+LN_IF4+LN_IG3</f>
        <v>13617</v>
      </c>
      <c r="E264" s="456">
        <f t="shared" si="26"/>
        <v>-679</v>
      </c>
      <c r="F264" s="503">
        <f t="shared" si="27"/>
        <v>-4.7495803021824289E-2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728</v>
      </c>
      <c r="C265" s="525">
        <f>IF(C264=0,0,C266/C264)</f>
        <v>1.264778861919418</v>
      </c>
      <c r="D265" s="525">
        <f>IF(LN_IIA4=0,0,LN_IIA6/LN_IIA4)</f>
        <v>1.3254051802893443</v>
      </c>
      <c r="E265" s="525">
        <f t="shared" si="26"/>
        <v>6.0626318369926269E-2</v>
      </c>
      <c r="F265" s="503">
        <f t="shared" si="27"/>
        <v>4.7934322904416876E-2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729</v>
      </c>
      <c r="C266" s="463">
        <f>C20+C47+C193+C226</f>
        <v>18081.278610000001</v>
      </c>
      <c r="D266" s="463">
        <f>LN_IA6+LN_IB6+LN_IF6+LN_IG5</f>
        <v>18048.04234</v>
      </c>
      <c r="E266" s="463">
        <f t="shared" si="26"/>
        <v>-33.236270000001241</v>
      </c>
      <c r="F266" s="503">
        <f t="shared" si="27"/>
        <v>-1.8381592760602476E-3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693180237</v>
      </c>
      <c r="D267" s="448">
        <f>LN_IA11+LN_IB13+LN_IF14+LN_IG9</f>
        <v>707101172</v>
      </c>
      <c r="E267" s="448">
        <f t="shared" si="26"/>
        <v>13920935</v>
      </c>
      <c r="F267" s="503">
        <f t="shared" si="27"/>
        <v>2.0082706137509225E-2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654</v>
      </c>
      <c r="C268" s="453">
        <f>IF(C261=0,0,C267/C261)</f>
        <v>1.1971086773390487</v>
      </c>
      <c r="D268" s="453">
        <f>IF(LN_IIA1=0,0,LN_IIA7/LN_IIA1)</f>
        <v>1.2676203385389717</v>
      </c>
      <c r="E268" s="454">
        <f t="shared" si="26"/>
        <v>7.0511661199923026E-2</v>
      </c>
      <c r="F268" s="458">
        <f t="shared" si="27"/>
        <v>5.8901637365671271E-2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197568804</v>
      </c>
      <c r="D269" s="448">
        <f>LN_IA12+LN_IB14+LN_IF15+LN_IG10</f>
        <v>205028892</v>
      </c>
      <c r="E269" s="448">
        <f t="shared" si="26"/>
        <v>7460088</v>
      </c>
      <c r="F269" s="503">
        <f t="shared" si="27"/>
        <v>3.7759443034336537E-2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653</v>
      </c>
      <c r="C270" s="453">
        <f>IF(C267=0,0,C269/C267)</f>
        <v>0.2850179411563345</v>
      </c>
      <c r="D270" s="453">
        <f>IF(LN_IIA7=0,0,LN_IIA9/LN_IIA7)</f>
        <v>0.28995693985358012</v>
      </c>
      <c r="E270" s="454">
        <f t="shared" si="26"/>
        <v>4.9389986972456223E-3</v>
      </c>
      <c r="F270" s="458">
        <f t="shared" si="27"/>
        <v>1.7328729122131101E-2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730</v>
      </c>
      <c r="C271" s="441">
        <f>C261+C267</f>
        <v>1272225607</v>
      </c>
      <c r="D271" s="441">
        <f>LN_IIA1+LN_IIA7</f>
        <v>1264918959</v>
      </c>
      <c r="E271" s="441">
        <f t="shared" si="26"/>
        <v>-7306648</v>
      </c>
      <c r="F271" s="503">
        <f t="shared" si="27"/>
        <v>-5.7432014886334539E-3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731</v>
      </c>
      <c r="C272" s="441">
        <f>C262+C269</f>
        <v>358162968</v>
      </c>
      <c r="D272" s="441">
        <f>LN_IIA2+LN_IIA9</f>
        <v>361539115</v>
      </c>
      <c r="E272" s="441">
        <f t="shared" si="26"/>
        <v>3376147</v>
      </c>
      <c r="F272" s="503">
        <f t="shared" si="27"/>
        <v>9.4262871978434137E-3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732</v>
      </c>
      <c r="C273" s="453">
        <f>IF(C271=0,0,C272/C271)</f>
        <v>0.28152472802726725</v>
      </c>
      <c r="D273" s="453">
        <f>IF(LN_IIA11=0,0,LN_IIA12/LN_IIA11)</f>
        <v>0.28581998271716946</v>
      </c>
      <c r="E273" s="454">
        <f t="shared" si="26"/>
        <v>4.295254689902217E-3</v>
      </c>
      <c r="F273" s="458">
        <f t="shared" si="27"/>
        <v>1.5257113362653519E-2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59299</v>
      </c>
      <c r="D274" s="508">
        <f>LN_IA8+LN_IB10+LN_IF11+LN_IG6</f>
        <v>58224</v>
      </c>
      <c r="E274" s="528">
        <f t="shared" si="26"/>
        <v>-1075</v>
      </c>
      <c r="F274" s="458">
        <f t="shared" si="27"/>
        <v>-1.8128467596418153E-2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733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734</v>
      </c>
      <c r="C277" s="448">
        <f>C15+C188+C221</f>
        <v>425074052</v>
      </c>
      <c r="D277" s="448">
        <f>LN_IA1+LN_IF1+LN_IG1</f>
        <v>411998006</v>
      </c>
      <c r="E277" s="448">
        <f t="shared" ref="E277:E291" si="28">D277-C277</f>
        <v>-13076046</v>
      </c>
      <c r="F277" s="503">
        <f t="shared" ref="F277:F291" si="29">IF(C277=0,0,E277/C277)</f>
        <v>-3.0761807121550671E-2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735</v>
      </c>
      <c r="C278" s="448">
        <f>C16+C189+C222</f>
        <v>91358368</v>
      </c>
      <c r="D278" s="448">
        <f>LN_IA2+LN_IF2+LN_IG2</f>
        <v>88857998</v>
      </c>
      <c r="E278" s="448">
        <f t="shared" si="28"/>
        <v>-2500370</v>
      </c>
      <c r="F278" s="503">
        <f t="shared" si="29"/>
        <v>-2.7368812017307488E-2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736</v>
      </c>
      <c r="C279" s="453">
        <f>IF(C277=0,0,C278/C277)</f>
        <v>0.21492341762606579</v>
      </c>
      <c r="D279" s="453">
        <f>IF(D277=0,0,LN_IIB2/D277)</f>
        <v>0.21567579625615954</v>
      </c>
      <c r="E279" s="454">
        <f t="shared" si="28"/>
        <v>7.5237863009375294E-4</v>
      </c>
      <c r="F279" s="458">
        <f t="shared" si="29"/>
        <v>3.5006824216930045E-3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737</v>
      </c>
      <c r="C280" s="456">
        <f>C18+C191+C224</f>
        <v>10080</v>
      </c>
      <c r="D280" s="456">
        <f>LN_IA4+LN_IF4+LN_IG3</f>
        <v>9817</v>
      </c>
      <c r="E280" s="456">
        <f t="shared" si="28"/>
        <v>-263</v>
      </c>
      <c r="F280" s="503">
        <f t="shared" si="29"/>
        <v>-2.6091269841269842E-2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738</v>
      </c>
      <c r="C281" s="525">
        <f>IF(C280=0,0,C282/C280)</f>
        <v>1.2965113144841272</v>
      </c>
      <c r="D281" s="525">
        <f>IF(LN_IIB4=0,0,LN_IIB6/LN_IIB4)</f>
        <v>1.344455570948355</v>
      </c>
      <c r="E281" s="525">
        <f t="shared" si="28"/>
        <v>4.7944256464227841E-2</v>
      </c>
      <c r="F281" s="503">
        <f t="shared" si="29"/>
        <v>3.6979435450051994E-2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739</v>
      </c>
      <c r="C282" s="463">
        <f>C20+C193+C226</f>
        <v>13068.834050000001</v>
      </c>
      <c r="D282" s="463">
        <f>LN_IA6+LN_IF6+LN_IG5</f>
        <v>13198.520340000001</v>
      </c>
      <c r="E282" s="463">
        <f t="shared" si="28"/>
        <v>129.68628999999964</v>
      </c>
      <c r="F282" s="503">
        <f t="shared" si="29"/>
        <v>9.9233251798770544E-3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740</v>
      </c>
      <c r="C283" s="448">
        <f>C27+C203+C233</f>
        <v>376931758</v>
      </c>
      <c r="D283" s="448">
        <f>LN_IA11+LN_IF14+LN_IG9</f>
        <v>399028710</v>
      </c>
      <c r="E283" s="448">
        <f t="shared" si="28"/>
        <v>22096952</v>
      </c>
      <c r="F283" s="503">
        <f t="shared" si="29"/>
        <v>5.8623216354192154E-2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741</v>
      </c>
      <c r="C284" s="453">
        <f>IF(C277=0,0,C283/C277)</f>
        <v>0.88674374788701527</v>
      </c>
      <c r="D284" s="453">
        <f>IF(D277=0,0,LN_IIB7/D277)</f>
        <v>0.96852097386121816</v>
      </c>
      <c r="E284" s="454">
        <f t="shared" si="28"/>
        <v>8.1777225974202894E-2</v>
      </c>
      <c r="F284" s="458">
        <f t="shared" si="29"/>
        <v>9.2221936911386679E-2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742</v>
      </c>
      <c r="C285" s="448">
        <f>C28+C204+C234</f>
        <v>72352199</v>
      </c>
      <c r="D285" s="448">
        <f>LN_IA12+LN_IF15+LN_IG10</f>
        <v>78701619</v>
      </c>
      <c r="E285" s="448">
        <f t="shared" si="28"/>
        <v>6349420</v>
      </c>
      <c r="F285" s="503">
        <f t="shared" si="29"/>
        <v>8.7757111570306245E-2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743</v>
      </c>
      <c r="C286" s="453">
        <f>IF(C283=0,0,C285/C283)</f>
        <v>0.19195039278170878</v>
      </c>
      <c r="D286" s="453">
        <f>IF(LN_IIB7=0,0,LN_IIB9/LN_IIB7)</f>
        <v>0.19723297353716729</v>
      </c>
      <c r="E286" s="454">
        <f t="shared" si="28"/>
        <v>5.2825807554585102E-3</v>
      </c>
      <c r="F286" s="458">
        <f t="shared" si="29"/>
        <v>2.7520551945241421E-2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744</v>
      </c>
      <c r="C287" s="441">
        <f>C277+C283</f>
        <v>802005810</v>
      </c>
      <c r="D287" s="441">
        <f>D277+LN_IIB7</f>
        <v>811026716</v>
      </c>
      <c r="E287" s="441">
        <f t="shared" si="28"/>
        <v>9020906</v>
      </c>
      <c r="F287" s="503">
        <f t="shared" si="29"/>
        <v>1.1247930984440125E-2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745</v>
      </c>
      <c r="C288" s="441">
        <f>C278+C285</f>
        <v>163710567</v>
      </c>
      <c r="D288" s="441">
        <f>LN_IIB2+LN_IIB9</f>
        <v>167559617</v>
      </c>
      <c r="E288" s="441">
        <f t="shared" si="28"/>
        <v>3849050</v>
      </c>
      <c r="F288" s="503">
        <f t="shared" si="29"/>
        <v>2.3511310665731186E-2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746</v>
      </c>
      <c r="C289" s="453">
        <f>IF(C287=0,0,C288/C287)</f>
        <v>0.20412641025630476</v>
      </c>
      <c r="D289" s="453">
        <f>IF(LN_IIB11=0,0,LN_IIB12/LN_IIB11)</f>
        <v>0.20660184639343002</v>
      </c>
      <c r="E289" s="454">
        <f t="shared" si="28"/>
        <v>2.4754361371252531E-3</v>
      </c>
      <c r="F289" s="458">
        <f t="shared" si="29"/>
        <v>1.2126976288942971E-2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45384</v>
      </c>
      <c r="D290" s="508">
        <f>LN_IA8+LN_IF11+LN_IG6</f>
        <v>45050</v>
      </c>
      <c r="E290" s="528">
        <f t="shared" si="28"/>
        <v>-334</v>
      </c>
      <c r="F290" s="458">
        <f t="shared" si="29"/>
        <v>-7.3594218226687817E-3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747</v>
      </c>
      <c r="C291" s="448">
        <f>C287-C288</f>
        <v>638295243</v>
      </c>
      <c r="D291" s="516">
        <f>LN_IIB11-LN_IIB12</f>
        <v>643467099</v>
      </c>
      <c r="E291" s="441">
        <f t="shared" si="28"/>
        <v>5171856</v>
      </c>
      <c r="F291" s="503">
        <f t="shared" si="29"/>
        <v>8.1026077770722169E-3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649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640</v>
      </c>
      <c r="C294" s="466">
        <f>IF(C18=0,0,C22/C18)</f>
        <v>4.5858247422680414</v>
      </c>
      <c r="D294" s="466">
        <f>IF(LN_IA4=0,0,LN_IA8/LN_IA4)</f>
        <v>4.641657782515991</v>
      </c>
      <c r="E294" s="466">
        <f t="shared" ref="E294:E300" si="30">D294-C294</f>
        <v>5.5833040247949661E-2</v>
      </c>
      <c r="F294" s="503">
        <f t="shared" ref="F294:F300" si="31">IF(C294=0,0,E294/C294)</f>
        <v>1.2175136073851778E-2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661</v>
      </c>
      <c r="C295" s="466">
        <f>IF(C45=0,0,C51/C45)</f>
        <v>3.3005218216318783</v>
      </c>
      <c r="D295" s="466">
        <f>IF(LN_IB4=0,0,(LN_IB10)/(LN_IB4))</f>
        <v>3.4668421052631579</v>
      </c>
      <c r="E295" s="466">
        <f t="shared" si="30"/>
        <v>0.1663202836312796</v>
      </c>
      <c r="F295" s="503">
        <f t="shared" si="31"/>
        <v>5.0392117555837217E-2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676</v>
      </c>
      <c r="C296" s="466">
        <f>IF(C86=0,0,C93/C86)</f>
        <v>2.2158273381294964</v>
      </c>
      <c r="D296" s="466">
        <f>IF(LN_IC4=0,0,LN_IC11/LN_IC4)</f>
        <v>4.2826086956521738</v>
      </c>
      <c r="E296" s="466">
        <f t="shared" si="30"/>
        <v>2.0667813575226774</v>
      </c>
      <c r="F296" s="503">
        <f t="shared" si="31"/>
        <v>0.93273574251835123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4.2527618205921343</v>
      </c>
      <c r="D297" s="466">
        <f>IF(LN_ID4=0,0,LN_ID11/LN_ID4)</f>
        <v>4.4597956463793871</v>
      </c>
      <c r="E297" s="466">
        <f t="shared" si="30"/>
        <v>0.20703382578725282</v>
      </c>
      <c r="F297" s="503">
        <f t="shared" si="31"/>
        <v>4.8682205710365037E-2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748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3.0526315789473686</v>
      </c>
      <c r="D299" s="466">
        <f>IF(LN_IG3=0,0,LN_IG6/LN_IG3)</f>
        <v>2.903225806451613</v>
      </c>
      <c r="E299" s="466">
        <f t="shared" si="30"/>
        <v>-0.1494057724957556</v>
      </c>
      <c r="F299" s="503">
        <f t="shared" si="31"/>
        <v>-4.8943270300333727E-2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749</v>
      </c>
      <c r="C300" s="466">
        <f>IF(C264=0,0,C274/C264)</f>
        <v>4.1479434806939004</v>
      </c>
      <c r="D300" s="466">
        <f>IF(LN_IIA4=0,0,LN_IIA14/LN_IIA4)</f>
        <v>4.2758316809870012</v>
      </c>
      <c r="E300" s="466">
        <f t="shared" si="30"/>
        <v>0.12788820029310077</v>
      </c>
      <c r="F300" s="503">
        <f t="shared" si="31"/>
        <v>3.0831712362605922E-2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750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744</v>
      </c>
      <c r="C304" s="441">
        <f>C35+C66+C214+C221+C233</f>
        <v>1272225607</v>
      </c>
      <c r="D304" s="441">
        <f>LN_IIA11</f>
        <v>1264918959</v>
      </c>
      <c r="E304" s="441">
        <f t="shared" ref="E304:E316" si="32">D304-C304</f>
        <v>-7306648</v>
      </c>
      <c r="F304" s="449">
        <f>IF(C304=0,0,E304/C304)</f>
        <v>-5.7432014886334539E-3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747</v>
      </c>
      <c r="C305" s="441">
        <f>C291</f>
        <v>638295243</v>
      </c>
      <c r="D305" s="441">
        <f>LN_IIB14</f>
        <v>643467099</v>
      </c>
      <c r="E305" s="441">
        <f t="shared" si="32"/>
        <v>5171856</v>
      </c>
      <c r="F305" s="449">
        <f>IF(C305=0,0,E305/C305)</f>
        <v>8.1026077770722169E-3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751</v>
      </c>
      <c r="C306" s="441">
        <f>C250</f>
        <v>22468915</v>
      </c>
      <c r="D306" s="441">
        <f>LN_IH6</f>
        <v>16967022</v>
      </c>
      <c r="E306" s="441">
        <f t="shared" si="32"/>
        <v>-5501893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752</v>
      </c>
      <c r="C307" s="441">
        <f>C73-C74</f>
        <v>233646550</v>
      </c>
      <c r="D307" s="441">
        <f>LN_IB32-LN_IB33</f>
        <v>222008275</v>
      </c>
      <c r="E307" s="441">
        <f t="shared" si="32"/>
        <v>-11638275</v>
      </c>
      <c r="F307" s="449">
        <f t="shared" ref="F307:F316" si="33">IF(C307=0,0,E307/C307)</f>
        <v>-4.981145666392249E-2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753</v>
      </c>
      <c r="C308" s="441">
        <v>18567411</v>
      </c>
      <c r="D308" s="441">
        <v>15596046</v>
      </c>
      <c r="E308" s="441">
        <f t="shared" si="32"/>
        <v>-2971365</v>
      </c>
      <c r="F308" s="449">
        <f t="shared" si="33"/>
        <v>-0.16003119659493723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754</v>
      </c>
      <c r="C309" s="441">
        <f>C305+C307+C308+C306</f>
        <v>912978119</v>
      </c>
      <c r="D309" s="441">
        <f>LN_III2+LN_III3+LN_III4+LN_III5</f>
        <v>898038442</v>
      </c>
      <c r="E309" s="441">
        <f t="shared" si="32"/>
        <v>-14939677</v>
      </c>
      <c r="F309" s="449">
        <f t="shared" si="33"/>
        <v>-1.6363674757466997E-2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755</v>
      </c>
      <c r="C310" s="441">
        <f>C304-C309</f>
        <v>359247488</v>
      </c>
      <c r="D310" s="441">
        <f>LN_III1-LN_III6</f>
        <v>366880517</v>
      </c>
      <c r="E310" s="441">
        <f t="shared" si="32"/>
        <v>7633029</v>
      </c>
      <c r="F310" s="449">
        <f t="shared" si="33"/>
        <v>2.1247271741535463E-2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756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757</v>
      </c>
      <c r="C312" s="441">
        <f>C310+C311</f>
        <v>359247488</v>
      </c>
      <c r="D312" s="441">
        <f>LN_III7+LN_III8</f>
        <v>366880517</v>
      </c>
      <c r="E312" s="441">
        <f t="shared" si="32"/>
        <v>7633029</v>
      </c>
      <c r="F312" s="449">
        <f t="shared" si="33"/>
        <v>2.1247271741535463E-2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758</v>
      </c>
      <c r="C313" s="532">
        <f>IF(C304=0,0,C312/C304)</f>
        <v>0.28237718689465113</v>
      </c>
      <c r="D313" s="532">
        <f>IF(LN_III1=0,0,LN_III9/LN_III1)</f>
        <v>0.29004270541572302</v>
      </c>
      <c r="E313" s="532">
        <f t="shared" si="32"/>
        <v>7.6655185210718901E-3</v>
      </c>
      <c r="F313" s="449">
        <f t="shared" si="33"/>
        <v>2.7146380362276682E-2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721</v>
      </c>
      <c r="C314" s="441">
        <f>C306*C313</f>
        <v>6344709.0102750305</v>
      </c>
      <c r="D314" s="441">
        <f>D313*LN_III5</f>
        <v>4921160.9637280917</v>
      </c>
      <c r="E314" s="441">
        <f t="shared" si="32"/>
        <v>-1423548.0465469388</v>
      </c>
      <c r="F314" s="449">
        <f t="shared" si="33"/>
        <v>-0.22436774393302411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724</v>
      </c>
      <c r="C315" s="441">
        <f>(C214*C313)-C215</f>
        <v>23774256.417047963</v>
      </c>
      <c r="D315" s="441">
        <f>D313*LN_IH8-LN_IH9</f>
        <v>25722155.505785763</v>
      </c>
      <c r="E315" s="441">
        <f t="shared" si="32"/>
        <v>1947899.0887378007</v>
      </c>
      <c r="F315" s="449">
        <f t="shared" si="33"/>
        <v>8.1933123567263622E-2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759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760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761</v>
      </c>
      <c r="C318" s="441">
        <f>C314+C315+C316</f>
        <v>30118965.427322991</v>
      </c>
      <c r="D318" s="441">
        <f>D314+D315+D316</f>
        <v>30643316.469513856</v>
      </c>
      <c r="E318" s="441">
        <f>D318-C318</f>
        <v>524351.04219086468</v>
      </c>
      <c r="F318" s="449">
        <f>IF(C318=0,0,E318/C318)</f>
        <v>1.7409331122482372E-2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762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10411030.682808042</v>
      </c>
      <c r="D322" s="441">
        <f>LN_ID22</f>
        <v>15097340.939317437</v>
      </c>
      <c r="E322" s="441">
        <f>LN_IV2-C322</f>
        <v>4686310.2565093953</v>
      </c>
      <c r="F322" s="449">
        <f>IF(C322=0,0,E322/C322)</f>
        <v>0.45012932910168058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748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763</v>
      </c>
      <c r="C324" s="441">
        <f>C92+C106</f>
        <v>1164862.2939924591</v>
      </c>
      <c r="D324" s="441">
        <f>LN_IC10+LN_IC22</f>
        <v>-474463.55595032725</v>
      </c>
      <c r="E324" s="441">
        <f>LN_IV1-C324</f>
        <v>-1639325.8499427864</v>
      </c>
      <c r="F324" s="449">
        <f>IF(C324=0,0,E324/C324)</f>
        <v>-1.4073130003411363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764</v>
      </c>
      <c r="C325" s="516">
        <f>C324+C322+C323</f>
        <v>11575892.976800501</v>
      </c>
      <c r="D325" s="516">
        <f>LN_IV1+LN_IV2+LN_IV3</f>
        <v>14622877.38336711</v>
      </c>
      <c r="E325" s="441">
        <f>LN_IV4-C325</f>
        <v>3046984.4065666087</v>
      </c>
      <c r="F325" s="449">
        <f>IF(C325=0,0,E325/C325)</f>
        <v>0.26321808716382711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765</v>
      </c>
      <c r="B327" s="530" t="s">
        <v>766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767</v>
      </c>
      <c r="C329" s="518">
        <v>25158869</v>
      </c>
      <c r="D329" s="518">
        <v>21618618</v>
      </c>
      <c r="E329" s="518">
        <f t="shared" ref="E329:E335" si="34">D329-C329</f>
        <v>-3540251</v>
      </c>
      <c r="F329" s="542">
        <f t="shared" ref="F329:F335" si="35">IF(C329=0,0,E329/C329)</f>
        <v>-0.14071582470579261</v>
      </c>
    </row>
    <row r="330" spans="1:22" s="420" customFormat="1" ht="15.75" customHeight="1" x14ac:dyDescent="0.2">
      <c r="A330" s="451">
        <v>2</v>
      </c>
      <c r="B330" s="447" t="s">
        <v>768</v>
      </c>
      <c r="C330" s="516">
        <v>-4152362</v>
      </c>
      <c r="D330" s="516">
        <v>-3902482</v>
      </c>
      <c r="E330" s="518">
        <f t="shared" si="34"/>
        <v>249880</v>
      </c>
      <c r="F330" s="543">
        <f t="shared" si="35"/>
        <v>-6.0177797600498226E-2</v>
      </c>
    </row>
    <row r="331" spans="1:22" s="420" customFormat="1" ht="15.75" customHeight="1" x14ac:dyDescent="0.2">
      <c r="A331" s="427">
        <v>3</v>
      </c>
      <c r="B331" s="447" t="s">
        <v>769</v>
      </c>
      <c r="C331" s="516">
        <v>354010685</v>
      </c>
      <c r="D331" s="516">
        <v>357636636</v>
      </c>
      <c r="E331" s="518">
        <f t="shared" si="34"/>
        <v>3625951</v>
      </c>
      <c r="F331" s="542">
        <f t="shared" si="35"/>
        <v>1.0242490279636616E-2</v>
      </c>
    </row>
    <row r="332" spans="1:22" s="420" customFormat="1" ht="27" customHeight="1" x14ac:dyDescent="0.2">
      <c r="A332" s="451">
        <v>4</v>
      </c>
      <c r="B332" s="447" t="s">
        <v>770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771</v>
      </c>
      <c r="C333" s="516">
        <v>1272225607</v>
      </c>
      <c r="D333" s="516">
        <v>1264918959</v>
      </c>
      <c r="E333" s="518">
        <f t="shared" si="34"/>
        <v>-7306648</v>
      </c>
      <c r="F333" s="542">
        <f t="shared" si="35"/>
        <v>-5.7432014886334539E-3</v>
      </c>
    </row>
    <row r="334" spans="1:22" s="420" customFormat="1" ht="15.75" customHeight="1" x14ac:dyDescent="0.2">
      <c r="A334" s="427">
        <v>6</v>
      </c>
      <c r="B334" s="447" t="s">
        <v>772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773</v>
      </c>
      <c r="C335" s="516">
        <v>22468915</v>
      </c>
      <c r="D335" s="516">
        <v>16967022</v>
      </c>
      <c r="E335" s="516">
        <f t="shared" si="34"/>
        <v>-5501893</v>
      </c>
      <c r="F335" s="542">
        <f t="shared" si="35"/>
        <v>-0.2448668749692631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FILING&amp;RMIDDLESEX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634</v>
      </c>
      <c r="B3" s="820"/>
      <c r="C3" s="820"/>
      <c r="D3" s="820"/>
      <c r="E3" s="820"/>
    </row>
    <row r="4" spans="1:5" s="428" customFormat="1" ht="15.75" customHeight="1" x14ac:dyDescent="0.25">
      <c r="A4" s="820" t="s">
        <v>774</v>
      </c>
      <c r="B4" s="820"/>
      <c r="C4" s="820"/>
      <c r="D4" s="820"/>
      <c r="E4" s="820"/>
    </row>
    <row r="5" spans="1:5" s="428" customFormat="1" ht="15.75" customHeight="1" x14ac:dyDescent="0.25">
      <c r="A5" s="820" t="s">
        <v>775</v>
      </c>
      <c r="B5" s="820"/>
      <c r="C5" s="820"/>
      <c r="D5" s="820"/>
      <c r="E5" s="820"/>
    </row>
    <row r="6" spans="1:5" s="428" customFormat="1" ht="15.75" customHeight="1" x14ac:dyDescent="0.25">
      <c r="A6" s="820" t="s">
        <v>776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777</v>
      </c>
      <c r="D9" s="573" t="s">
        <v>778</v>
      </c>
      <c r="E9" s="573" t="s">
        <v>779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780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781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661</v>
      </c>
      <c r="C14" s="589">
        <v>153971318</v>
      </c>
      <c r="D14" s="589">
        <v>145819781</v>
      </c>
      <c r="E14" s="590">
        <f t="shared" ref="E14:E22" si="0">D14-C14</f>
        <v>-8151537</v>
      </c>
    </row>
    <row r="15" spans="1:5" s="421" customFormat="1" x14ac:dyDescent="0.2">
      <c r="A15" s="588">
        <v>2</v>
      </c>
      <c r="B15" s="587" t="s">
        <v>640</v>
      </c>
      <c r="C15" s="589">
        <v>346094124</v>
      </c>
      <c r="D15" s="591">
        <v>333227086</v>
      </c>
      <c r="E15" s="590">
        <f t="shared" si="0"/>
        <v>-12867038</v>
      </c>
    </row>
    <row r="16" spans="1:5" s="421" customFormat="1" x14ac:dyDescent="0.2">
      <c r="A16" s="588">
        <v>3</v>
      </c>
      <c r="B16" s="587" t="s">
        <v>782</v>
      </c>
      <c r="C16" s="589">
        <v>77179588</v>
      </c>
      <c r="D16" s="591">
        <v>76836069</v>
      </c>
      <c r="E16" s="590">
        <f t="shared" si="0"/>
        <v>-343519</v>
      </c>
    </row>
    <row r="17" spans="1:5" s="421" customFormat="1" x14ac:dyDescent="0.2">
      <c r="A17" s="588">
        <v>4</v>
      </c>
      <c r="B17" s="587" t="s">
        <v>115</v>
      </c>
      <c r="C17" s="589">
        <v>77179588</v>
      </c>
      <c r="D17" s="591">
        <v>76836069</v>
      </c>
      <c r="E17" s="590">
        <f t="shared" si="0"/>
        <v>-343519</v>
      </c>
    </row>
    <row r="18" spans="1:5" s="421" customFormat="1" x14ac:dyDescent="0.2">
      <c r="A18" s="588">
        <v>5</v>
      </c>
      <c r="B18" s="587" t="s">
        <v>748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1800340</v>
      </c>
      <c r="D19" s="591">
        <v>1934851</v>
      </c>
      <c r="E19" s="590">
        <f t="shared" si="0"/>
        <v>134511</v>
      </c>
    </row>
    <row r="20" spans="1:5" s="421" customFormat="1" x14ac:dyDescent="0.2">
      <c r="A20" s="588">
        <v>7</v>
      </c>
      <c r="B20" s="587" t="s">
        <v>763</v>
      </c>
      <c r="C20" s="589">
        <v>4804078</v>
      </c>
      <c r="D20" s="591">
        <v>3849533</v>
      </c>
      <c r="E20" s="590">
        <f t="shared" si="0"/>
        <v>-954545</v>
      </c>
    </row>
    <row r="21" spans="1:5" s="421" customFormat="1" x14ac:dyDescent="0.2">
      <c r="A21" s="588"/>
      <c r="B21" s="592" t="s">
        <v>783</v>
      </c>
      <c r="C21" s="593">
        <f>SUM(C15+C16+C19)</f>
        <v>425074052</v>
      </c>
      <c r="D21" s="593">
        <f>SUM(D15+D16+D19)</f>
        <v>411998006</v>
      </c>
      <c r="E21" s="593">
        <f t="shared" si="0"/>
        <v>-13076046</v>
      </c>
    </row>
    <row r="22" spans="1:5" s="421" customFormat="1" x14ac:dyDescent="0.2">
      <c r="A22" s="588"/>
      <c r="B22" s="592" t="s">
        <v>465</v>
      </c>
      <c r="C22" s="593">
        <f>SUM(C14+C21)</f>
        <v>579045370</v>
      </c>
      <c r="D22" s="593">
        <f>SUM(D14+D21)</f>
        <v>557817787</v>
      </c>
      <c r="E22" s="593">
        <f t="shared" si="0"/>
        <v>-21227583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784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661</v>
      </c>
      <c r="C25" s="589">
        <v>316248479</v>
      </c>
      <c r="D25" s="589">
        <v>308072462</v>
      </c>
      <c r="E25" s="590">
        <f t="shared" ref="E25:E33" si="1">D25-C25</f>
        <v>-8176017</v>
      </c>
    </row>
    <row r="26" spans="1:5" s="421" customFormat="1" x14ac:dyDescent="0.2">
      <c r="A26" s="588">
        <v>2</v>
      </c>
      <c r="B26" s="587" t="s">
        <v>640</v>
      </c>
      <c r="C26" s="589">
        <v>254538108</v>
      </c>
      <c r="D26" s="591">
        <v>267467305</v>
      </c>
      <c r="E26" s="590">
        <f t="shared" si="1"/>
        <v>12929197</v>
      </c>
    </row>
    <row r="27" spans="1:5" s="421" customFormat="1" x14ac:dyDescent="0.2">
      <c r="A27" s="588">
        <v>3</v>
      </c>
      <c r="B27" s="587" t="s">
        <v>782</v>
      </c>
      <c r="C27" s="589">
        <v>119249249</v>
      </c>
      <c r="D27" s="591">
        <v>127898287</v>
      </c>
      <c r="E27" s="590">
        <f t="shared" si="1"/>
        <v>8649038</v>
      </c>
    </row>
    <row r="28" spans="1:5" s="421" customFormat="1" x14ac:dyDescent="0.2">
      <c r="A28" s="588">
        <v>4</v>
      </c>
      <c r="B28" s="587" t="s">
        <v>115</v>
      </c>
      <c r="C28" s="589">
        <v>119249249</v>
      </c>
      <c r="D28" s="591">
        <v>127898287</v>
      </c>
      <c r="E28" s="590">
        <f t="shared" si="1"/>
        <v>8649038</v>
      </c>
    </row>
    <row r="29" spans="1:5" s="421" customFormat="1" x14ac:dyDescent="0.2">
      <c r="A29" s="588">
        <v>5</v>
      </c>
      <c r="B29" s="587" t="s">
        <v>748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3144401</v>
      </c>
      <c r="D30" s="591">
        <v>3663118</v>
      </c>
      <c r="E30" s="590">
        <f t="shared" si="1"/>
        <v>518717</v>
      </c>
    </row>
    <row r="31" spans="1:5" s="421" customFormat="1" x14ac:dyDescent="0.2">
      <c r="A31" s="588">
        <v>7</v>
      </c>
      <c r="B31" s="587" t="s">
        <v>763</v>
      </c>
      <c r="C31" s="590">
        <v>14751065</v>
      </c>
      <c r="D31" s="594">
        <v>11030087</v>
      </c>
      <c r="E31" s="590">
        <f t="shared" si="1"/>
        <v>-3720978</v>
      </c>
    </row>
    <row r="32" spans="1:5" s="421" customFormat="1" x14ac:dyDescent="0.2">
      <c r="A32" s="588"/>
      <c r="B32" s="592" t="s">
        <v>785</v>
      </c>
      <c r="C32" s="593">
        <f>SUM(C26+C27+C30)</f>
        <v>376931758</v>
      </c>
      <c r="D32" s="593">
        <f>SUM(D26+D27+D30)</f>
        <v>399028710</v>
      </c>
      <c r="E32" s="593">
        <f t="shared" si="1"/>
        <v>22096952</v>
      </c>
    </row>
    <row r="33" spans="1:5" s="421" customFormat="1" x14ac:dyDescent="0.2">
      <c r="A33" s="588"/>
      <c r="B33" s="592" t="s">
        <v>467</v>
      </c>
      <c r="C33" s="593">
        <f>SUM(C25+C32)</f>
        <v>693180237</v>
      </c>
      <c r="D33" s="593">
        <f>SUM(D25+D32)</f>
        <v>707101172</v>
      </c>
      <c r="E33" s="593">
        <f t="shared" si="1"/>
        <v>13920935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658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786</v>
      </c>
      <c r="C36" s="590">
        <f t="shared" ref="C36:D42" si="2">C14+C25</f>
        <v>470219797</v>
      </c>
      <c r="D36" s="590">
        <f t="shared" si="2"/>
        <v>453892243</v>
      </c>
      <c r="E36" s="590">
        <f t="shared" ref="E36:E44" si="3">D36-C36</f>
        <v>-16327554</v>
      </c>
    </row>
    <row r="37" spans="1:5" s="421" customFormat="1" x14ac:dyDescent="0.2">
      <c r="A37" s="588">
        <v>2</v>
      </c>
      <c r="B37" s="587" t="s">
        <v>787</v>
      </c>
      <c r="C37" s="590">
        <f t="shared" si="2"/>
        <v>600632232</v>
      </c>
      <c r="D37" s="590">
        <f t="shared" si="2"/>
        <v>600694391</v>
      </c>
      <c r="E37" s="590">
        <f t="shared" si="3"/>
        <v>62159</v>
      </c>
    </row>
    <row r="38" spans="1:5" s="421" customFormat="1" x14ac:dyDescent="0.2">
      <c r="A38" s="588">
        <v>3</v>
      </c>
      <c r="B38" s="587" t="s">
        <v>788</v>
      </c>
      <c r="C38" s="590">
        <f t="shared" si="2"/>
        <v>196428837</v>
      </c>
      <c r="D38" s="590">
        <f t="shared" si="2"/>
        <v>204734356</v>
      </c>
      <c r="E38" s="590">
        <f t="shared" si="3"/>
        <v>8305519</v>
      </c>
    </row>
    <row r="39" spans="1:5" s="421" customFormat="1" x14ac:dyDescent="0.2">
      <c r="A39" s="588">
        <v>4</v>
      </c>
      <c r="B39" s="587" t="s">
        <v>789</v>
      </c>
      <c r="C39" s="590">
        <f t="shared" si="2"/>
        <v>196428837</v>
      </c>
      <c r="D39" s="590">
        <f t="shared" si="2"/>
        <v>204734356</v>
      </c>
      <c r="E39" s="590">
        <f t="shared" si="3"/>
        <v>8305519</v>
      </c>
    </row>
    <row r="40" spans="1:5" s="421" customFormat="1" x14ac:dyDescent="0.2">
      <c r="A40" s="588">
        <v>5</v>
      </c>
      <c r="B40" s="587" t="s">
        <v>790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791</v>
      </c>
      <c r="C41" s="590">
        <f t="shared" si="2"/>
        <v>4944741</v>
      </c>
      <c r="D41" s="590">
        <f t="shared" si="2"/>
        <v>5597969</v>
      </c>
      <c r="E41" s="590">
        <f t="shared" si="3"/>
        <v>653228</v>
      </c>
    </row>
    <row r="42" spans="1:5" s="421" customFormat="1" x14ac:dyDescent="0.2">
      <c r="A42" s="588">
        <v>7</v>
      </c>
      <c r="B42" s="587" t="s">
        <v>792</v>
      </c>
      <c r="C42" s="590">
        <f t="shared" si="2"/>
        <v>19555143</v>
      </c>
      <c r="D42" s="590">
        <f t="shared" si="2"/>
        <v>14879620</v>
      </c>
      <c r="E42" s="590">
        <f t="shared" si="3"/>
        <v>-4675523</v>
      </c>
    </row>
    <row r="43" spans="1:5" s="421" customFormat="1" x14ac:dyDescent="0.2">
      <c r="A43" s="588"/>
      <c r="B43" s="592" t="s">
        <v>793</v>
      </c>
      <c r="C43" s="593">
        <f>SUM(C37+C38+C41)</f>
        <v>802005810</v>
      </c>
      <c r="D43" s="593">
        <f>SUM(D37+D38+D41)</f>
        <v>811026716</v>
      </c>
      <c r="E43" s="593">
        <f t="shared" si="3"/>
        <v>9020906</v>
      </c>
    </row>
    <row r="44" spans="1:5" s="421" customFormat="1" x14ac:dyDescent="0.2">
      <c r="A44" s="588"/>
      <c r="B44" s="592" t="s">
        <v>730</v>
      </c>
      <c r="C44" s="593">
        <f>SUM(C36+C43)</f>
        <v>1272225607</v>
      </c>
      <c r="D44" s="593">
        <f>SUM(D36+D43)</f>
        <v>1264918959</v>
      </c>
      <c r="E44" s="593">
        <f t="shared" si="3"/>
        <v>-7306648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794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661</v>
      </c>
      <c r="C47" s="589">
        <v>69235796</v>
      </c>
      <c r="D47" s="589">
        <v>67652225</v>
      </c>
      <c r="E47" s="590">
        <f t="shared" ref="E47:E55" si="4">D47-C47</f>
        <v>-1583571</v>
      </c>
    </row>
    <row r="48" spans="1:5" s="421" customFormat="1" x14ac:dyDescent="0.2">
      <c r="A48" s="588">
        <v>2</v>
      </c>
      <c r="B48" s="587" t="s">
        <v>640</v>
      </c>
      <c r="C48" s="589">
        <v>80217335</v>
      </c>
      <c r="D48" s="591">
        <v>75470428</v>
      </c>
      <c r="E48" s="590">
        <f t="shared" si="4"/>
        <v>-4746907</v>
      </c>
    </row>
    <row r="49" spans="1:5" s="421" customFormat="1" x14ac:dyDescent="0.2">
      <c r="A49" s="588">
        <v>3</v>
      </c>
      <c r="B49" s="587" t="s">
        <v>782</v>
      </c>
      <c r="C49" s="589">
        <v>10773156</v>
      </c>
      <c r="D49" s="591">
        <v>13013835</v>
      </c>
      <c r="E49" s="590">
        <f t="shared" si="4"/>
        <v>2240679</v>
      </c>
    </row>
    <row r="50" spans="1:5" s="421" customFormat="1" x14ac:dyDescent="0.2">
      <c r="A50" s="588">
        <v>4</v>
      </c>
      <c r="B50" s="587" t="s">
        <v>115</v>
      </c>
      <c r="C50" s="589">
        <v>10773156</v>
      </c>
      <c r="D50" s="591">
        <v>13013835</v>
      </c>
      <c r="E50" s="590">
        <f t="shared" si="4"/>
        <v>2240679</v>
      </c>
    </row>
    <row r="51" spans="1:5" s="421" customFormat="1" x14ac:dyDescent="0.2">
      <c r="A51" s="588">
        <v>5</v>
      </c>
      <c r="B51" s="587" t="s">
        <v>748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367877</v>
      </c>
      <c r="D52" s="591">
        <v>373735</v>
      </c>
      <c r="E52" s="590">
        <f t="shared" si="4"/>
        <v>5858</v>
      </c>
    </row>
    <row r="53" spans="1:5" s="421" customFormat="1" x14ac:dyDescent="0.2">
      <c r="A53" s="588">
        <v>7</v>
      </c>
      <c r="B53" s="587" t="s">
        <v>763</v>
      </c>
      <c r="C53" s="589">
        <v>1364690</v>
      </c>
      <c r="D53" s="591">
        <v>1360408</v>
      </c>
      <c r="E53" s="590">
        <f t="shared" si="4"/>
        <v>-4282</v>
      </c>
    </row>
    <row r="54" spans="1:5" s="421" customFormat="1" x14ac:dyDescent="0.2">
      <c r="A54" s="588"/>
      <c r="B54" s="592" t="s">
        <v>795</v>
      </c>
      <c r="C54" s="593">
        <f>SUM(C48+C49+C52)</f>
        <v>91358368</v>
      </c>
      <c r="D54" s="593">
        <f>SUM(D48+D49+D52)</f>
        <v>88857998</v>
      </c>
      <c r="E54" s="593">
        <f t="shared" si="4"/>
        <v>-2500370</v>
      </c>
    </row>
    <row r="55" spans="1:5" s="421" customFormat="1" x14ac:dyDescent="0.2">
      <c r="A55" s="588"/>
      <c r="B55" s="592" t="s">
        <v>466</v>
      </c>
      <c r="C55" s="593">
        <f>SUM(C47+C54)</f>
        <v>160594164</v>
      </c>
      <c r="D55" s="593">
        <f>SUM(D47+D54)</f>
        <v>156510223</v>
      </c>
      <c r="E55" s="593">
        <f t="shared" si="4"/>
        <v>-4083941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796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661</v>
      </c>
      <c r="C58" s="589">
        <v>125216605</v>
      </c>
      <c r="D58" s="589">
        <v>126327273</v>
      </c>
      <c r="E58" s="590">
        <f t="shared" ref="E58:E66" si="5">D58-C58</f>
        <v>1110668</v>
      </c>
    </row>
    <row r="59" spans="1:5" s="421" customFormat="1" x14ac:dyDescent="0.2">
      <c r="A59" s="588">
        <v>2</v>
      </c>
      <c r="B59" s="587" t="s">
        <v>640</v>
      </c>
      <c r="C59" s="589">
        <v>51138953</v>
      </c>
      <c r="D59" s="591">
        <v>57456589</v>
      </c>
      <c r="E59" s="590">
        <f t="shared" si="5"/>
        <v>6317636</v>
      </c>
    </row>
    <row r="60" spans="1:5" s="421" customFormat="1" x14ac:dyDescent="0.2">
      <c r="A60" s="588">
        <v>3</v>
      </c>
      <c r="B60" s="587" t="s">
        <v>782</v>
      </c>
      <c r="C60" s="589">
        <f>C61+C62</f>
        <v>20919610</v>
      </c>
      <c r="D60" s="591">
        <f>D61+D62</f>
        <v>20645716</v>
      </c>
      <c r="E60" s="590">
        <f t="shared" si="5"/>
        <v>-273894</v>
      </c>
    </row>
    <row r="61" spans="1:5" s="421" customFormat="1" x14ac:dyDescent="0.2">
      <c r="A61" s="588">
        <v>4</v>
      </c>
      <c r="B61" s="587" t="s">
        <v>115</v>
      </c>
      <c r="C61" s="589">
        <v>20919610</v>
      </c>
      <c r="D61" s="591">
        <v>20645716</v>
      </c>
      <c r="E61" s="590">
        <f t="shared" si="5"/>
        <v>-273894</v>
      </c>
    </row>
    <row r="62" spans="1:5" s="421" customFormat="1" x14ac:dyDescent="0.2">
      <c r="A62" s="588">
        <v>5</v>
      </c>
      <c r="B62" s="587" t="s">
        <v>748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293636</v>
      </c>
      <c r="D63" s="591">
        <v>599314</v>
      </c>
      <c r="E63" s="590">
        <f t="shared" si="5"/>
        <v>305678</v>
      </c>
    </row>
    <row r="64" spans="1:5" s="421" customFormat="1" x14ac:dyDescent="0.2">
      <c r="A64" s="588">
        <v>7</v>
      </c>
      <c r="B64" s="587" t="s">
        <v>763</v>
      </c>
      <c r="C64" s="589">
        <v>2469628</v>
      </c>
      <c r="D64" s="591">
        <v>2492116</v>
      </c>
      <c r="E64" s="590">
        <f t="shared" si="5"/>
        <v>22488</v>
      </c>
    </row>
    <row r="65" spans="1:5" s="421" customFormat="1" x14ac:dyDescent="0.2">
      <c r="A65" s="588"/>
      <c r="B65" s="592" t="s">
        <v>797</v>
      </c>
      <c r="C65" s="593">
        <f>SUM(C59+C60+C63)</f>
        <v>72352199</v>
      </c>
      <c r="D65" s="593">
        <f>SUM(D59+D60+D63)</f>
        <v>78701619</v>
      </c>
      <c r="E65" s="593">
        <f t="shared" si="5"/>
        <v>6349420</v>
      </c>
    </row>
    <row r="66" spans="1:5" s="421" customFormat="1" x14ac:dyDescent="0.2">
      <c r="A66" s="588"/>
      <c r="B66" s="592" t="s">
        <v>468</v>
      </c>
      <c r="C66" s="593">
        <f>SUM(C58+C65)</f>
        <v>197568804</v>
      </c>
      <c r="D66" s="593">
        <f>SUM(D58+D65)</f>
        <v>205028892</v>
      </c>
      <c r="E66" s="593">
        <f t="shared" si="5"/>
        <v>7460088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659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786</v>
      </c>
      <c r="C69" s="590">
        <f t="shared" ref="C69:D75" si="6">C47+C58</f>
        <v>194452401</v>
      </c>
      <c r="D69" s="590">
        <f t="shared" si="6"/>
        <v>193979498</v>
      </c>
      <c r="E69" s="590">
        <f t="shared" ref="E69:E77" si="7">D69-C69</f>
        <v>-472903</v>
      </c>
    </row>
    <row r="70" spans="1:5" s="421" customFormat="1" x14ac:dyDescent="0.2">
      <c r="A70" s="588">
        <v>2</v>
      </c>
      <c r="B70" s="587" t="s">
        <v>787</v>
      </c>
      <c r="C70" s="590">
        <f t="shared" si="6"/>
        <v>131356288</v>
      </c>
      <c r="D70" s="590">
        <f t="shared" si="6"/>
        <v>132927017</v>
      </c>
      <c r="E70" s="590">
        <f t="shared" si="7"/>
        <v>1570729</v>
      </c>
    </row>
    <row r="71" spans="1:5" s="421" customFormat="1" x14ac:dyDescent="0.2">
      <c r="A71" s="588">
        <v>3</v>
      </c>
      <c r="B71" s="587" t="s">
        <v>788</v>
      </c>
      <c r="C71" s="590">
        <f t="shared" si="6"/>
        <v>31692766</v>
      </c>
      <c r="D71" s="590">
        <f t="shared" si="6"/>
        <v>33659551</v>
      </c>
      <c r="E71" s="590">
        <f t="shared" si="7"/>
        <v>1966785</v>
      </c>
    </row>
    <row r="72" spans="1:5" s="421" customFormat="1" x14ac:dyDescent="0.2">
      <c r="A72" s="588">
        <v>4</v>
      </c>
      <c r="B72" s="587" t="s">
        <v>789</v>
      </c>
      <c r="C72" s="590">
        <f t="shared" si="6"/>
        <v>31692766</v>
      </c>
      <c r="D72" s="590">
        <f t="shared" si="6"/>
        <v>33659551</v>
      </c>
      <c r="E72" s="590">
        <f t="shared" si="7"/>
        <v>1966785</v>
      </c>
    </row>
    <row r="73" spans="1:5" s="421" customFormat="1" x14ac:dyDescent="0.2">
      <c r="A73" s="588">
        <v>5</v>
      </c>
      <c r="B73" s="587" t="s">
        <v>790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791</v>
      </c>
      <c r="C74" s="590">
        <f t="shared" si="6"/>
        <v>661513</v>
      </c>
      <c r="D74" s="590">
        <f t="shared" si="6"/>
        <v>973049</v>
      </c>
      <c r="E74" s="590">
        <f t="shared" si="7"/>
        <v>311536</v>
      </c>
    </row>
    <row r="75" spans="1:5" s="421" customFormat="1" x14ac:dyDescent="0.2">
      <c r="A75" s="588">
        <v>7</v>
      </c>
      <c r="B75" s="587" t="s">
        <v>792</v>
      </c>
      <c r="C75" s="590">
        <f t="shared" si="6"/>
        <v>3834318</v>
      </c>
      <c r="D75" s="590">
        <f t="shared" si="6"/>
        <v>3852524</v>
      </c>
      <c r="E75" s="590">
        <f t="shared" si="7"/>
        <v>18206</v>
      </c>
    </row>
    <row r="76" spans="1:5" s="421" customFormat="1" x14ac:dyDescent="0.2">
      <c r="A76" s="588"/>
      <c r="B76" s="592" t="s">
        <v>798</v>
      </c>
      <c r="C76" s="593">
        <f>SUM(C70+C71+C74)</f>
        <v>163710567</v>
      </c>
      <c r="D76" s="593">
        <f>SUM(D70+D71+D74)</f>
        <v>167559617</v>
      </c>
      <c r="E76" s="593">
        <f t="shared" si="7"/>
        <v>3849050</v>
      </c>
    </row>
    <row r="77" spans="1:5" s="421" customFormat="1" x14ac:dyDescent="0.2">
      <c r="A77" s="588"/>
      <c r="B77" s="592" t="s">
        <v>731</v>
      </c>
      <c r="C77" s="593">
        <f>SUM(C69+C76)</f>
        <v>358162968</v>
      </c>
      <c r="D77" s="593">
        <f>SUM(D69+D76)</f>
        <v>361539115</v>
      </c>
      <c r="E77" s="593">
        <f t="shared" si="7"/>
        <v>3376147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799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800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661</v>
      </c>
      <c r="C83" s="599">
        <f t="shared" ref="C83:D89" si="8">IF(C$44=0,0,C14/C$44)</f>
        <v>0.12102516814063781</v>
      </c>
      <c r="D83" s="599">
        <f t="shared" si="8"/>
        <v>0.11527993944788363</v>
      </c>
      <c r="E83" s="599">
        <f t="shared" ref="E83:E91" si="9">D83-C83</f>
        <v>-5.7452286927541785E-3</v>
      </c>
    </row>
    <row r="84" spans="1:5" s="421" customFormat="1" x14ac:dyDescent="0.2">
      <c r="A84" s="588">
        <v>2</v>
      </c>
      <c r="B84" s="587" t="s">
        <v>640</v>
      </c>
      <c r="C84" s="599">
        <f t="shared" si="8"/>
        <v>0.27203832566781527</v>
      </c>
      <c r="D84" s="599">
        <f t="shared" si="8"/>
        <v>0.26343749821208901</v>
      </c>
      <c r="E84" s="599">
        <f t="shared" si="9"/>
        <v>-8.6008274557262676E-3</v>
      </c>
    </row>
    <row r="85" spans="1:5" s="421" customFormat="1" x14ac:dyDescent="0.2">
      <c r="A85" s="588">
        <v>3</v>
      </c>
      <c r="B85" s="587" t="s">
        <v>782</v>
      </c>
      <c r="C85" s="599">
        <f t="shared" si="8"/>
        <v>6.0665016939876762E-2</v>
      </c>
      <c r="D85" s="599">
        <f t="shared" si="8"/>
        <v>6.0743866991086817E-2</v>
      </c>
      <c r="E85" s="599">
        <f t="shared" si="9"/>
        <v>7.8850051210055394E-5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6.0665016939876762E-2</v>
      </c>
      <c r="D86" s="599">
        <f t="shared" si="8"/>
        <v>6.0743866991086817E-2</v>
      </c>
      <c r="E86" s="599">
        <f t="shared" si="9"/>
        <v>7.8850051210055394E-5</v>
      </c>
    </row>
    <row r="87" spans="1:5" s="421" customFormat="1" x14ac:dyDescent="0.2">
      <c r="A87" s="588">
        <v>5</v>
      </c>
      <c r="B87" s="587" t="s">
        <v>748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1.4151106455444894E-3</v>
      </c>
      <c r="D88" s="599">
        <f t="shared" si="8"/>
        <v>1.5296244761242447E-3</v>
      </c>
      <c r="E88" s="599">
        <f t="shared" si="9"/>
        <v>1.1451383057975526E-4</v>
      </c>
    </row>
    <row r="89" spans="1:5" s="421" customFormat="1" x14ac:dyDescent="0.2">
      <c r="A89" s="588">
        <v>7</v>
      </c>
      <c r="B89" s="587" t="s">
        <v>763</v>
      </c>
      <c r="C89" s="599">
        <f t="shared" si="8"/>
        <v>3.7761211325783354E-3</v>
      </c>
      <c r="D89" s="599">
        <f t="shared" si="8"/>
        <v>3.0433040572364445E-3</v>
      </c>
      <c r="E89" s="599">
        <f t="shared" si="9"/>
        <v>-7.328170753418909E-4</v>
      </c>
    </row>
    <row r="90" spans="1:5" s="421" customFormat="1" x14ac:dyDescent="0.2">
      <c r="A90" s="588"/>
      <c r="B90" s="592" t="s">
        <v>801</v>
      </c>
      <c r="C90" s="600">
        <f>SUM(C84+C85+C88)</f>
        <v>0.33411845325323652</v>
      </c>
      <c r="D90" s="600">
        <f>SUM(D84+D85+D88)</f>
        <v>0.32571098967930007</v>
      </c>
      <c r="E90" s="601">
        <f t="shared" si="9"/>
        <v>-8.4074635739364578E-3</v>
      </c>
    </row>
    <row r="91" spans="1:5" s="421" customFormat="1" x14ac:dyDescent="0.2">
      <c r="A91" s="588"/>
      <c r="B91" s="592" t="s">
        <v>802</v>
      </c>
      <c r="C91" s="600">
        <f>SUM(C83+C90)</f>
        <v>0.45514362139387432</v>
      </c>
      <c r="D91" s="600">
        <f>SUM(D83+D90)</f>
        <v>0.44099092912718368</v>
      </c>
      <c r="E91" s="601">
        <f t="shared" si="9"/>
        <v>-1.4152692266690636E-2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803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661</v>
      </c>
      <c r="C95" s="599">
        <f t="shared" ref="C95:D101" si="10">IF(C$44=0,0,C25/C$44)</f>
        <v>0.24857892913013815</v>
      </c>
      <c r="D95" s="599">
        <f t="shared" si="10"/>
        <v>0.24355114595131941</v>
      </c>
      <c r="E95" s="599">
        <f t="shared" ref="E95:E103" si="11">D95-C95</f>
        <v>-5.0277831788187455E-3</v>
      </c>
    </row>
    <row r="96" spans="1:5" s="421" customFormat="1" x14ac:dyDescent="0.2">
      <c r="A96" s="588">
        <v>2</v>
      </c>
      <c r="B96" s="587" t="s">
        <v>640</v>
      </c>
      <c r="C96" s="599">
        <f t="shared" si="10"/>
        <v>0.20007308970947321</v>
      </c>
      <c r="D96" s="599">
        <f t="shared" si="10"/>
        <v>0.21145015109224874</v>
      </c>
      <c r="E96" s="599">
        <f t="shared" si="11"/>
        <v>1.1377061382775527E-2</v>
      </c>
    </row>
    <row r="97" spans="1:5" s="421" customFormat="1" x14ac:dyDescent="0.2">
      <c r="A97" s="588">
        <v>3</v>
      </c>
      <c r="B97" s="587" t="s">
        <v>782</v>
      </c>
      <c r="C97" s="599">
        <f t="shared" si="10"/>
        <v>9.3732784770146516E-2</v>
      </c>
      <c r="D97" s="599">
        <f t="shared" si="10"/>
        <v>0.10111184284968884</v>
      </c>
      <c r="E97" s="599">
        <f t="shared" si="11"/>
        <v>7.379058079542325E-3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9.3732784770146516E-2</v>
      </c>
      <c r="D98" s="599">
        <f t="shared" si="10"/>
        <v>0.10111184284968884</v>
      </c>
      <c r="E98" s="599">
        <f t="shared" si="11"/>
        <v>7.379058079542325E-3</v>
      </c>
    </row>
    <row r="99" spans="1:5" s="421" customFormat="1" x14ac:dyDescent="0.2">
      <c r="A99" s="588">
        <v>5</v>
      </c>
      <c r="B99" s="587" t="s">
        <v>748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2.4715749963677629E-3</v>
      </c>
      <c r="D100" s="599">
        <f t="shared" si="10"/>
        <v>2.8959309795593001E-3</v>
      </c>
      <c r="E100" s="599">
        <f t="shared" si="11"/>
        <v>4.2435598319153726E-4</v>
      </c>
    </row>
    <row r="101" spans="1:5" s="421" customFormat="1" x14ac:dyDescent="0.2">
      <c r="A101" s="588">
        <v>7</v>
      </c>
      <c r="B101" s="587" t="s">
        <v>763</v>
      </c>
      <c r="C101" s="599">
        <f t="shared" si="10"/>
        <v>1.1594692732827535E-2</v>
      </c>
      <c r="D101" s="599">
        <f t="shared" si="10"/>
        <v>8.7199950016718826E-3</v>
      </c>
      <c r="E101" s="599">
        <f t="shared" si="11"/>
        <v>-2.8746977311556524E-3</v>
      </c>
    </row>
    <row r="102" spans="1:5" s="421" customFormat="1" x14ac:dyDescent="0.2">
      <c r="A102" s="588"/>
      <c r="B102" s="592" t="s">
        <v>804</v>
      </c>
      <c r="C102" s="600">
        <f>SUM(C96+C97+C100)</f>
        <v>0.29627744947598744</v>
      </c>
      <c r="D102" s="600">
        <f>SUM(D96+D97+D100)</f>
        <v>0.31545792492149688</v>
      </c>
      <c r="E102" s="601">
        <f t="shared" si="11"/>
        <v>1.9180475445509437E-2</v>
      </c>
    </row>
    <row r="103" spans="1:5" s="421" customFormat="1" x14ac:dyDescent="0.2">
      <c r="A103" s="588"/>
      <c r="B103" s="592" t="s">
        <v>805</v>
      </c>
      <c r="C103" s="600">
        <f>SUM(C95+C102)</f>
        <v>0.54485637860612557</v>
      </c>
      <c r="D103" s="600">
        <f>SUM(D95+D102)</f>
        <v>0.55900907087281626</v>
      </c>
      <c r="E103" s="601">
        <f t="shared" si="11"/>
        <v>1.4152692266690692E-2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806</v>
      </c>
      <c r="C105" s="601">
        <f>C91+C103</f>
        <v>0.99999999999999989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807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661</v>
      </c>
      <c r="C109" s="599">
        <f t="shared" ref="C109:D115" si="12">IF(C$77=0,0,C47/C$77)</f>
        <v>0.19330808091806967</v>
      </c>
      <c r="D109" s="599">
        <f t="shared" si="12"/>
        <v>0.18712283731733978</v>
      </c>
      <c r="E109" s="599">
        <f t="shared" ref="E109:E117" si="13">D109-C109</f>
        <v>-6.1852436007298894E-3</v>
      </c>
    </row>
    <row r="110" spans="1:5" s="421" customFormat="1" x14ac:dyDescent="0.2">
      <c r="A110" s="588">
        <v>2</v>
      </c>
      <c r="B110" s="587" t="s">
        <v>640</v>
      </c>
      <c r="C110" s="599">
        <f t="shared" si="12"/>
        <v>0.22396881354858553</v>
      </c>
      <c r="D110" s="599">
        <f t="shared" si="12"/>
        <v>0.20874761504021494</v>
      </c>
      <c r="E110" s="599">
        <f t="shared" si="13"/>
        <v>-1.5221198508370587E-2</v>
      </c>
    </row>
    <row r="111" spans="1:5" s="421" customFormat="1" x14ac:dyDescent="0.2">
      <c r="A111" s="588">
        <v>3</v>
      </c>
      <c r="B111" s="587" t="s">
        <v>782</v>
      </c>
      <c r="C111" s="599">
        <f t="shared" si="12"/>
        <v>3.0078922062093255E-2</v>
      </c>
      <c r="D111" s="599">
        <f t="shared" si="12"/>
        <v>3.5995648769566742E-2</v>
      </c>
      <c r="E111" s="599">
        <f t="shared" si="13"/>
        <v>5.9167267074734867E-3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3.0078922062093255E-2</v>
      </c>
      <c r="D112" s="599">
        <f t="shared" si="12"/>
        <v>3.5995648769566742E-2</v>
      </c>
      <c r="E112" s="599">
        <f t="shared" si="13"/>
        <v>5.9167267074734867E-3</v>
      </c>
    </row>
    <row r="113" spans="1:5" s="421" customFormat="1" x14ac:dyDescent="0.2">
      <c r="A113" s="588">
        <v>5</v>
      </c>
      <c r="B113" s="587" t="s">
        <v>748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1.0271218212598685E-3</v>
      </c>
      <c r="D114" s="599">
        <f t="shared" si="12"/>
        <v>1.033733237965137E-3</v>
      </c>
      <c r="E114" s="599">
        <f t="shared" si="13"/>
        <v>6.6114167052684983E-6</v>
      </c>
    </row>
    <row r="115" spans="1:5" s="421" customFormat="1" x14ac:dyDescent="0.2">
      <c r="A115" s="588">
        <v>7</v>
      </c>
      <c r="B115" s="587" t="s">
        <v>763</v>
      </c>
      <c r="C115" s="599">
        <f t="shared" si="12"/>
        <v>3.8102487468777064E-3</v>
      </c>
      <c r="D115" s="599">
        <f t="shared" si="12"/>
        <v>3.7628238371939368E-3</v>
      </c>
      <c r="E115" s="599">
        <f t="shared" si="13"/>
        <v>-4.7424909683769622E-5</v>
      </c>
    </row>
    <row r="116" spans="1:5" s="421" customFormat="1" x14ac:dyDescent="0.2">
      <c r="A116" s="588"/>
      <c r="B116" s="592" t="s">
        <v>801</v>
      </c>
      <c r="C116" s="600">
        <f>SUM(C110+C111+C114)</f>
        <v>0.25507485743193864</v>
      </c>
      <c r="D116" s="600">
        <f>SUM(D110+D111+D114)</f>
        <v>0.2457769970477468</v>
      </c>
      <c r="E116" s="601">
        <f t="shared" si="13"/>
        <v>-9.2978603841918361E-3</v>
      </c>
    </row>
    <row r="117" spans="1:5" s="421" customFormat="1" x14ac:dyDescent="0.2">
      <c r="A117" s="588"/>
      <c r="B117" s="592" t="s">
        <v>802</v>
      </c>
      <c r="C117" s="600">
        <f>SUM(C109+C116)</f>
        <v>0.44838293835000831</v>
      </c>
      <c r="D117" s="600">
        <f>SUM(D109+D116)</f>
        <v>0.43289983436508661</v>
      </c>
      <c r="E117" s="601">
        <f t="shared" si="13"/>
        <v>-1.5483103984921698E-2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808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661</v>
      </c>
      <c r="C121" s="599">
        <f t="shared" ref="C121:D127" si="14">IF(C$77=0,0,C58/C$77)</f>
        <v>0.34960790530415753</v>
      </c>
      <c r="D121" s="599">
        <f t="shared" si="14"/>
        <v>0.34941522993991952</v>
      </c>
      <c r="E121" s="599">
        <f t="shared" ref="E121:E129" si="15">D121-C121</f>
        <v>-1.9267536423800413E-4</v>
      </c>
    </row>
    <row r="122" spans="1:5" s="421" customFormat="1" x14ac:dyDescent="0.2">
      <c r="A122" s="588">
        <v>2</v>
      </c>
      <c r="B122" s="587" t="s">
        <v>640</v>
      </c>
      <c r="C122" s="599">
        <f t="shared" si="14"/>
        <v>0.14278124085681576</v>
      </c>
      <c r="D122" s="599">
        <f t="shared" si="14"/>
        <v>0.15892219296935547</v>
      </c>
      <c r="E122" s="599">
        <f t="shared" si="15"/>
        <v>1.6140952112539714E-2</v>
      </c>
    </row>
    <row r="123" spans="1:5" s="421" customFormat="1" x14ac:dyDescent="0.2">
      <c r="A123" s="588">
        <v>3</v>
      </c>
      <c r="B123" s="587" t="s">
        <v>782</v>
      </c>
      <c r="C123" s="599">
        <f t="shared" si="14"/>
        <v>5.8408076403923481E-2</v>
      </c>
      <c r="D123" s="599">
        <f t="shared" si="14"/>
        <v>5.7105068700519443E-2</v>
      </c>
      <c r="E123" s="599">
        <f t="shared" si="15"/>
        <v>-1.3030077034040383E-3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5.8408076403923481E-2</v>
      </c>
      <c r="D124" s="599">
        <f t="shared" si="14"/>
        <v>5.7105068700519443E-2</v>
      </c>
      <c r="E124" s="599">
        <f t="shared" si="15"/>
        <v>-1.3030077034040383E-3</v>
      </c>
    </row>
    <row r="125" spans="1:5" s="421" customFormat="1" x14ac:dyDescent="0.2">
      <c r="A125" s="588">
        <v>5</v>
      </c>
      <c r="B125" s="587" t="s">
        <v>748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8.1983908509491695E-4</v>
      </c>
      <c r="D126" s="599">
        <f t="shared" si="14"/>
        <v>1.6576740251189694E-3</v>
      </c>
      <c r="E126" s="599">
        <f t="shared" si="15"/>
        <v>8.378349400240525E-4</v>
      </c>
    </row>
    <row r="127" spans="1:5" s="421" customFormat="1" x14ac:dyDescent="0.2">
      <c r="A127" s="588">
        <v>7</v>
      </c>
      <c r="B127" s="587" t="s">
        <v>763</v>
      </c>
      <c r="C127" s="599">
        <f t="shared" si="14"/>
        <v>6.8952633874756145E-3</v>
      </c>
      <c r="D127" s="599">
        <f t="shared" si="14"/>
        <v>6.8930743496454045E-3</v>
      </c>
      <c r="E127" s="599">
        <f t="shared" si="15"/>
        <v>-2.1890378302099819E-6</v>
      </c>
    </row>
    <row r="128" spans="1:5" s="421" customFormat="1" x14ac:dyDescent="0.2">
      <c r="A128" s="588"/>
      <c r="B128" s="592" t="s">
        <v>804</v>
      </c>
      <c r="C128" s="600">
        <f>SUM(C122+C123+C126)</f>
        <v>0.20200915634583416</v>
      </c>
      <c r="D128" s="600">
        <f>SUM(D122+D123+D126)</f>
        <v>0.21768493569499386</v>
      </c>
      <c r="E128" s="601">
        <f t="shared" si="15"/>
        <v>1.5675779349159702E-2</v>
      </c>
    </row>
    <row r="129" spans="1:5" s="421" customFormat="1" x14ac:dyDescent="0.2">
      <c r="A129" s="588"/>
      <c r="B129" s="592" t="s">
        <v>805</v>
      </c>
      <c r="C129" s="600">
        <f>SUM(C121+C128)</f>
        <v>0.55161706164999169</v>
      </c>
      <c r="D129" s="600">
        <f>SUM(D121+D128)</f>
        <v>0.56710016563491339</v>
      </c>
      <c r="E129" s="601">
        <f t="shared" si="15"/>
        <v>1.5483103984921698E-2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809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810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811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661</v>
      </c>
      <c r="C137" s="606">
        <v>4216</v>
      </c>
      <c r="D137" s="606">
        <v>3800</v>
      </c>
      <c r="E137" s="607">
        <f t="shared" ref="E137:E145" si="16">D137-C137</f>
        <v>-416</v>
      </c>
    </row>
    <row r="138" spans="1:5" s="421" customFormat="1" x14ac:dyDescent="0.2">
      <c r="A138" s="588">
        <v>2</v>
      </c>
      <c r="B138" s="587" t="s">
        <v>640</v>
      </c>
      <c r="C138" s="606">
        <v>7760</v>
      </c>
      <c r="D138" s="606">
        <v>7504</v>
      </c>
      <c r="E138" s="607">
        <f t="shared" si="16"/>
        <v>-256</v>
      </c>
    </row>
    <row r="139" spans="1:5" s="421" customFormat="1" x14ac:dyDescent="0.2">
      <c r="A139" s="588">
        <v>3</v>
      </c>
      <c r="B139" s="587" t="s">
        <v>782</v>
      </c>
      <c r="C139" s="606">
        <f>C140+C141</f>
        <v>2263</v>
      </c>
      <c r="D139" s="606">
        <f>D140+D141</f>
        <v>2251</v>
      </c>
      <c r="E139" s="607">
        <f t="shared" si="16"/>
        <v>-12</v>
      </c>
    </row>
    <row r="140" spans="1:5" s="421" customFormat="1" x14ac:dyDescent="0.2">
      <c r="A140" s="588">
        <v>4</v>
      </c>
      <c r="B140" s="587" t="s">
        <v>115</v>
      </c>
      <c r="C140" s="606">
        <v>2263</v>
      </c>
      <c r="D140" s="606">
        <v>2251</v>
      </c>
      <c r="E140" s="607">
        <f t="shared" si="16"/>
        <v>-12</v>
      </c>
    </row>
    <row r="141" spans="1:5" s="421" customFormat="1" x14ac:dyDescent="0.2">
      <c r="A141" s="588">
        <v>5</v>
      </c>
      <c r="B141" s="587" t="s">
        <v>748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57</v>
      </c>
      <c r="D142" s="606">
        <v>62</v>
      </c>
      <c r="E142" s="607">
        <f t="shared" si="16"/>
        <v>5</v>
      </c>
    </row>
    <row r="143" spans="1:5" s="421" customFormat="1" x14ac:dyDescent="0.2">
      <c r="A143" s="588">
        <v>7</v>
      </c>
      <c r="B143" s="587" t="s">
        <v>763</v>
      </c>
      <c r="C143" s="606">
        <v>139</v>
      </c>
      <c r="D143" s="606">
        <v>92</v>
      </c>
      <c r="E143" s="607">
        <f t="shared" si="16"/>
        <v>-47</v>
      </c>
    </row>
    <row r="144" spans="1:5" s="421" customFormat="1" x14ac:dyDescent="0.2">
      <c r="A144" s="588"/>
      <c r="B144" s="592" t="s">
        <v>812</v>
      </c>
      <c r="C144" s="608">
        <f>SUM(C138+C139+C142)</f>
        <v>10080</v>
      </c>
      <c r="D144" s="608">
        <f>SUM(D138+D139+D142)</f>
        <v>9817</v>
      </c>
      <c r="E144" s="609">
        <f t="shared" si="16"/>
        <v>-263</v>
      </c>
    </row>
    <row r="145" spans="1:5" s="421" customFormat="1" x14ac:dyDescent="0.2">
      <c r="A145" s="588"/>
      <c r="B145" s="592" t="s">
        <v>138</v>
      </c>
      <c r="C145" s="608">
        <f>SUM(C137+C144)</f>
        <v>14296</v>
      </c>
      <c r="D145" s="608">
        <f>SUM(D137+D144)</f>
        <v>13617</v>
      </c>
      <c r="E145" s="609">
        <f t="shared" si="16"/>
        <v>-679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661</v>
      </c>
      <c r="C149" s="610">
        <v>13915</v>
      </c>
      <c r="D149" s="610">
        <v>13174</v>
      </c>
      <c r="E149" s="607">
        <f t="shared" ref="E149:E157" si="17">D149-C149</f>
        <v>-741</v>
      </c>
    </row>
    <row r="150" spans="1:5" s="421" customFormat="1" x14ac:dyDescent="0.2">
      <c r="A150" s="588">
        <v>2</v>
      </c>
      <c r="B150" s="587" t="s">
        <v>640</v>
      </c>
      <c r="C150" s="610">
        <v>35586</v>
      </c>
      <c r="D150" s="610">
        <v>34831</v>
      </c>
      <c r="E150" s="607">
        <f t="shared" si="17"/>
        <v>-755</v>
      </c>
    </row>
    <row r="151" spans="1:5" s="421" customFormat="1" x14ac:dyDescent="0.2">
      <c r="A151" s="588">
        <v>3</v>
      </c>
      <c r="B151" s="587" t="s">
        <v>782</v>
      </c>
      <c r="C151" s="610">
        <f>C152+C153</f>
        <v>9624</v>
      </c>
      <c r="D151" s="610">
        <f>D152+D153</f>
        <v>10039</v>
      </c>
      <c r="E151" s="607">
        <f t="shared" si="17"/>
        <v>415</v>
      </c>
    </row>
    <row r="152" spans="1:5" s="421" customFormat="1" x14ac:dyDescent="0.2">
      <c r="A152" s="588">
        <v>4</v>
      </c>
      <c r="B152" s="587" t="s">
        <v>115</v>
      </c>
      <c r="C152" s="610">
        <v>9624</v>
      </c>
      <c r="D152" s="610">
        <v>10039</v>
      </c>
      <c r="E152" s="607">
        <f t="shared" si="17"/>
        <v>415</v>
      </c>
    </row>
    <row r="153" spans="1:5" s="421" customFormat="1" x14ac:dyDescent="0.2">
      <c r="A153" s="588">
        <v>5</v>
      </c>
      <c r="B153" s="587" t="s">
        <v>748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174</v>
      </c>
      <c r="D154" s="610">
        <v>180</v>
      </c>
      <c r="E154" s="607">
        <f t="shared" si="17"/>
        <v>6</v>
      </c>
    </row>
    <row r="155" spans="1:5" s="421" customFormat="1" x14ac:dyDescent="0.2">
      <c r="A155" s="588">
        <v>7</v>
      </c>
      <c r="B155" s="587" t="s">
        <v>763</v>
      </c>
      <c r="C155" s="610">
        <v>308</v>
      </c>
      <c r="D155" s="610">
        <v>394</v>
      </c>
      <c r="E155" s="607">
        <f t="shared" si="17"/>
        <v>86</v>
      </c>
    </row>
    <row r="156" spans="1:5" s="421" customFormat="1" x14ac:dyDescent="0.2">
      <c r="A156" s="588"/>
      <c r="B156" s="592" t="s">
        <v>813</v>
      </c>
      <c r="C156" s="608">
        <f>SUM(C150+C151+C154)</f>
        <v>45384</v>
      </c>
      <c r="D156" s="608">
        <f>SUM(D150+D151+D154)</f>
        <v>45050</v>
      </c>
      <c r="E156" s="609">
        <f t="shared" si="17"/>
        <v>-334</v>
      </c>
    </row>
    <row r="157" spans="1:5" s="421" customFormat="1" x14ac:dyDescent="0.2">
      <c r="A157" s="588"/>
      <c r="B157" s="592" t="s">
        <v>140</v>
      </c>
      <c r="C157" s="608">
        <f>SUM(C149+C156)</f>
        <v>59299</v>
      </c>
      <c r="D157" s="608">
        <f>SUM(D149+D156)</f>
        <v>58224</v>
      </c>
      <c r="E157" s="609">
        <f t="shared" si="17"/>
        <v>-1075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814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661</v>
      </c>
      <c r="C161" s="612">
        <f t="shared" ref="C161:D169" si="18">IF(C137=0,0,C149/C137)</f>
        <v>3.3005218216318783</v>
      </c>
      <c r="D161" s="612">
        <f t="shared" si="18"/>
        <v>3.4668421052631579</v>
      </c>
      <c r="E161" s="613">
        <f t="shared" ref="E161:E169" si="19">D161-C161</f>
        <v>0.1663202836312796</v>
      </c>
    </row>
    <row r="162" spans="1:5" s="421" customFormat="1" x14ac:dyDescent="0.2">
      <c r="A162" s="588">
        <v>2</v>
      </c>
      <c r="B162" s="587" t="s">
        <v>640</v>
      </c>
      <c r="C162" s="612">
        <f t="shared" si="18"/>
        <v>4.5858247422680414</v>
      </c>
      <c r="D162" s="612">
        <f t="shared" si="18"/>
        <v>4.641657782515991</v>
      </c>
      <c r="E162" s="613">
        <f t="shared" si="19"/>
        <v>5.5833040247949661E-2</v>
      </c>
    </row>
    <row r="163" spans="1:5" s="421" customFormat="1" x14ac:dyDescent="0.2">
      <c r="A163" s="588">
        <v>3</v>
      </c>
      <c r="B163" s="587" t="s">
        <v>782</v>
      </c>
      <c r="C163" s="612">
        <f t="shared" si="18"/>
        <v>4.2527618205921343</v>
      </c>
      <c r="D163" s="612">
        <f t="shared" si="18"/>
        <v>4.4597956463793871</v>
      </c>
      <c r="E163" s="613">
        <f t="shared" si="19"/>
        <v>0.20703382578725282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4.2527618205921343</v>
      </c>
      <c r="D164" s="612">
        <f t="shared" si="18"/>
        <v>4.4597956463793871</v>
      </c>
      <c r="E164" s="613">
        <f t="shared" si="19"/>
        <v>0.20703382578725282</v>
      </c>
    </row>
    <row r="165" spans="1:5" s="421" customFormat="1" x14ac:dyDescent="0.2">
      <c r="A165" s="588">
        <v>5</v>
      </c>
      <c r="B165" s="587" t="s">
        <v>748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3.0526315789473686</v>
      </c>
      <c r="D166" s="612">
        <f t="shared" si="18"/>
        <v>2.903225806451613</v>
      </c>
      <c r="E166" s="613">
        <f t="shared" si="19"/>
        <v>-0.1494057724957556</v>
      </c>
    </row>
    <row r="167" spans="1:5" s="421" customFormat="1" x14ac:dyDescent="0.2">
      <c r="A167" s="588">
        <v>7</v>
      </c>
      <c r="B167" s="587" t="s">
        <v>763</v>
      </c>
      <c r="C167" s="612">
        <f t="shared" si="18"/>
        <v>2.2158273381294964</v>
      </c>
      <c r="D167" s="612">
        <f t="shared" si="18"/>
        <v>4.2826086956521738</v>
      </c>
      <c r="E167" s="613">
        <f t="shared" si="19"/>
        <v>2.0667813575226774</v>
      </c>
    </row>
    <row r="168" spans="1:5" s="421" customFormat="1" x14ac:dyDescent="0.2">
      <c r="A168" s="588"/>
      <c r="B168" s="592" t="s">
        <v>815</v>
      </c>
      <c r="C168" s="614">
        <f t="shared" si="18"/>
        <v>4.5023809523809524</v>
      </c>
      <c r="D168" s="614">
        <f t="shared" si="18"/>
        <v>4.5889783029438727</v>
      </c>
      <c r="E168" s="615">
        <f t="shared" si="19"/>
        <v>8.6597350562920283E-2</v>
      </c>
    </row>
    <row r="169" spans="1:5" s="421" customFormat="1" x14ac:dyDescent="0.2">
      <c r="A169" s="588"/>
      <c r="B169" s="592" t="s">
        <v>749</v>
      </c>
      <c r="C169" s="614">
        <f t="shared" si="18"/>
        <v>4.1479434806939004</v>
      </c>
      <c r="D169" s="614">
        <f t="shared" si="18"/>
        <v>4.2758316809870012</v>
      </c>
      <c r="E169" s="615">
        <f t="shared" si="19"/>
        <v>0.12788820029310077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816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661</v>
      </c>
      <c r="C173" s="617">
        <f t="shared" ref="C173:D181" si="20">IF(C137=0,0,C203/C137)</f>
        <v>1.1889099999999999</v>
      </c>
      <c r="D173" s="617">
        <f t="shared" si="20"/>
        <v>1.2761899999999999</v>
      </c>
      <c r="E173" s="618">
        <f t="shared" ref="E173:E181" si="21">D173-C173</f>
        <v>8.7280000000000024E-2</v>
      </c>
    </row>
    <row r="174" spans="1:5" s="421" customFormat="1" x14ac:dyDescent="0.2">
      <c r="A174" s="588">
        <v>2</v>
      </c>
      <c r="B174" s="587" t="s">
        <v>640</v>
      </c>
      <c r="C174" s="617">
        <f t="shared" si="20"/>
        <v>1.37202</v>
      </c>
      <c r="D174" s="617">
        <f t="shared" si="20"/>
        <v>1.42635</v>
      </c>
      <c r="E174" s="618">
        <f t="shared" si="21"/>
        <v>5.4329999999999989E-2</v>
      </c>
    </row>
    <row r="175" spans="1:5" s="421" customFormat="1" x14ac:dyDescent="0.2">
      <c r="A175" s="588">
        <v>3</v>
      </c>
      <c r="B175" s="587" t="s">
        <v>782</v>
      </c>
      <c r="C175" s="617">
        <f t="shared" si="20"/>
        <v>1.04375</v>
      </c>
      <c r="D175" s="617">
        <f t="shared" si="20"/>
        <v>1.0746199999999999</v>
      </c>
      <c r="E175" s="618">
        <f t="shared" si="21"/>
        <v>3.0869999999999953E-2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1.04375</v>
      </c>
      <c r="D176" s="617">
        <f t="shared" si="20"/>
        <v>1.0746199999999999</v>
      </c>
      <c r="E176" s="618">
        <f t="shared" si="21"/>
        <v>3.0869999999999953E-2</v>
      </c>
    </row>
    <row r="177" spans="1:5" s="421" customFormat="1" x14ac:dyDescent="0.2">
      <c r="A177" s="588">
        <v>5</v>
      </c>
      <c r="B177" s="587" t="s">
        <v>748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1.0518000000000001</v>
      </c>
      <c r="D178" s="617">
        <f t="shared" si="20"/>
        <v>1.22936</v>
      </c>
      <c r="E178" s="618">
        <f t="shared" si="21"/>
        <v>0.17755999999999994</v>
      </c>
    </row>
    <row r="179" spans="1:5" s="421" customFormat="1" x14ac:dyDescent="0.2">
      <c r="A179" s="588">
        <v>7</v>
      </c>
      <c r="B179" s="587" t="s">
        <v>763</v>
      </c>
      <c r="C179" s="617">
        <f t="shared" si="20"/>
        <v>1.12178</v>
      </c>
      <c r="D179" s="617">
        <f t="shared" si="20"/>
        <v>1.331</v>
      </c>
      <c r="E179" s="618">
        <f t="shared" si="21"/>
        <v>0.20921999999999996</v>
      </c>
    </row>
    <row r="180" spans="1:5" s="421" customFormat="1" x14ac:dyDescent="0.2">
      <c r="A180" s="588"/>
      <c r="B180" s="592" t="s">
        <v>817</v>
      </c>
      <c r="C180" s="619">
        <f t="shared" si="20"/>
        <v>1.2965113144841272</v>
      </c>
      <c r="D180" s="619">
        <f t="shared" si="20"/>
        <v>1.344455570948355</v>
      </c>
      <c r="E180" s="620">
        <f t="shared" si="21"/>
        <v>4.7944256464227841E-2</v>
      </c>
    </row>
    <row r="181" spans="1:5" s="421" customFormat="1" x14ac:dyDescent="0.2">
      <c r="A181" s="588"/>
      <c r="B181" s="592" t="s">
        <v>728</v>
      </c>
      <c r="C181" s="619">
        <f t="shared" si="20"/>
        <v>1.264778861919418</v>
      </c>
      <c r="D181" s="619">
        <f t="shared" si="20"/>
        <v>1.3254051802893443</v>
      </c>
      <c r="E181" s="620">
        <f t="shared" si="21"/>
        <v>6.0626318369926269E-2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818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819</v>
      </c>
      <c r="C185" s="589">
        <v>429305698</v>
      </c>
      <c r="D185" s="589">
        <v>414756036</v>
      </c>
      <c r="E185" s="590">
        <f>D185-C185</f>
        <v>-14549662</v>
      </c>
    </row>
    <row r="186" spans="1:5" s="421" customFormat="1" ht="25.5" x14ac:dyDescent="0.2">
      <c r="A186" s="588">
        <v>2</v>
      </c>
      <c r="B186" s="587" t="s">
        <v>820</v>
      </c>
      <c r="C186" s="589">
        <v>195659148</v>
      </c>
      <c r="D186" s="589">
        <v>192747761</v>
      </c>
      <c r="E186" s="590">
        <f>D186-C186</f>
        <v>-2911387</v>
      </c>
    </row>
    <row r="187" spans="1:5" s="421" customFormat="1" x14ac:dyDescent="0.2">
      <c r="A187" s="588"/>
      <c r="B187" s="587" t="s">
        <v>673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752</v>
      </c>
      <c r="C188" s="622">
        <f>+C185-C186</f>
        <v>233646550</v>
      </c>
      <c r="D188" s="622">
        <f>+D185-D186</f>
        <v>222008275</v>
      </c>
      <c r="E188" s="590">
        <f t="shared" ref="E188:E197" si="22">D188-C188</f>
        <v>-11638275</v>
      </c>
    </row>
    <row r="189" spans="1:5" s="421" customFormat="1" x14ac:dyDescent="0.2">
      <c r="A189" s="588">
        <v>4</v>
      </c>
      <c r="B189" s="587" t="s">
        <v>675</v>
      </c>
      <c r="C189" s="623">
        <f>IF(C185=0,0,+C188/C185)</f>
        <v>0.5442428346245709</v>
      </c>
      <c r="D189" s="623">
        <f>IF(D185=0,0,+D188/D185)</f>
        <v>0.53527436789370797</v>
      </c>
      <c r="E189" s="599">
        <f t="shared" si="22"/>
        <v>-8.968466730862934E-3</v>
      </c>
    </row>
    <row r="190" spans="1:5" s="421" customFormat="1" x14ac:dyDescent="0.2">
      <c r="A190" s="588">
        <v>5</v>
      </c>
      <c r="B190" s="587" t="s">
        <v>767</v>
      </c>
      <c r="C190" s="589">
        <v>25158869</v>
      </c>
      <c r="D190" s="589">
        <v>21618618</v>
      </c>
      <c r="E190" s="622">
        <f t="shared" si="22"/>
        <v>-3540251</v>
      </c>
    </row>
    <row r="191" spans="1:5" s="421" customFormat="1" x14ac:dyDescent="0.2">
      <c r="A191" s="588">
        <v>6</v>
      </c>
      <c r="B191" s="587" t="s">
        <v>753</v>
      </c>
      <c r="C191" s="589">
        <v>18567411</v>
      </c>
      <c r="D191" s="589">
        <v>15596046</v>
      </c>
      <c r="E191" s="622">
        <f t="shared" si="22"/>
        <v>-2971365</v>
      </c>
    </row>
    <row r="192" spans="1:5" ht="29.25" x14ac:dyDescent="0.2">
      <c r="A192" s="588">
        <v>7</v>
      </c>
      <c r="B192" s="624" t="s">
        <v>821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822</v>
      </c>
      <c r="C193" s="589">
        <v>8559951</v>
      </c>
      <c r="D193" s="589">
        <v>6695669</v>
      </c>
      <c r="E193" s="622">
        <f t="shared" si="22"/>
        <v>-1864282</v>
      </c>
    </row>
    <row r="194" spans="1:5" s="421" customFormat="1" x14ac:dyDescent="0.2">
      <c r="A194" s="588">
        <v>9</v>
      </c>
      <c r="B194" s="587" t="s">
        <v>823</v>
      </c>
      <c r="C194" s="589">
        <v>13908964</v>
      </c>
      <c r="D194" s="589">
        <v>10271353</v>
      </c>
      <c r="E194" s="622">
        <f t="shared" si="22"/>
        <v>-3637611</v>
      </c>
    </row>
    <row r="195" spans="1:5" s="421" customFormat="1" x14ac:dyDescent="0.2">
      <c r="A195" s="588">
        <v>10</v>
      </c>
      <c r="B195" s="587" t="s">
        <v>824</v>
      </c>
      <c r="C195" s="589">
        <f>+C193+C194</f>
        <v>22468915</v>
      </c>
      <c r="D195" s="589">
        <f>+D193+D194</f>
        <v>16967022</v>
      </c>
      <c r="E195" s="625">
        <f t="shared" si="22"/>
        <v>-5501893</v>
      </c>
    </row>
    <row r="196" spans="1:5" s="421" customFormat="1" x14ac:dyDescent="0.2">
      <c r="A196" s="588">
        <v>11</v>
      </c>
      <c r="B196" s="587" t="s">
        <v>825</v>
      </c>
      <c r="C196" s="589">
        <v>12557059</v>
      </c>
      <c r="D196" s="589">
        <v>13366834</v>
      </c>
      <c r="E196" s="622">
        <f t="shared" si="22"/>
        <v>809775</v>
      </c>
    </row>
    <row r="197" spans="1:5" s="421" customFormat="1" x14ac:dyDescent="0.2">
      <c r="A197" s="588">
        <v>12</v>
      </c>
      <c r="B197" s="587" t="s">
        <v>715</v>
      </c>
      <c r="C197" s="589">
        <v>345860614</v>
      </c>
      <c r="D197" s="589">
        <v>365751321</v>
      </c>
      <c r="E197" s="622">
        <f t="shared" si="22"/>
        <v>19890707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826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827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661</v>
      </c>
      <c r="C203" s="629">
        <v>5012.4445599999999</v>
      </c>
      <c r="D203" s="629">
        <v>4849.5219999999999</v>
      </c>
      <c r="E203" s="630">
        <f t="shared" ref="E203:E211" si="23">D203-C203</f>
        <v>-162.92255999999998</v>
      </c>
    </row>
    <row r="204" spans="1:5" s="421" customFormat="1" x14ac:dyDescent="0.2">
      <c r="A204" s="588">
        <v>2</v>
      </c>
      <c r="B204" s="587" t="s">
        <v>640</v>
      </c>
      <c r="C204" s="629">
        <v>10646.8752</v>
      </c>
      <c r="D204" s="629">
        <v>10703.330400000001</v>
      </c>
      <c r="E204" s="630">
        <f t="shared" si="23"/>
        <v>56.455200000000332</v>
      </c>
    </row>
    <row r="205" spans="1:5" s="421" customFormat="1" x14ac:dyDescent="0.2">
      <c r="A205" s="588">
        <v>3</v>
      </c>
      <c r="B205" s="587" t="s">
        <v>782</v>
      </c>
      <c r="C205" s="629">
        <f>C206+C207</f>
        <v>2362.0062499999999</v>
      </c>
      <c r="D205" s="629">
        <f>D206+D207</f>
        <v>2418.9696199999998</v>
      </c>
      <c r="E205" s="630">
        <f t="shared" si="23"/>
        <v>56.963369999999941</v>
      </c>
    </row>
    <row r="206" spans="1:5" s="421" customFormat="1" x14ac:dyDescent="0.2">
      <c r="A206" s="588">
        <v>4</v>
      </c>
      <c r="B206" s="587" t="s">
        <v>115</v>
      </c>
      <c r="C206" s="629">
        <v>2362.0062499999999</v>
      </c>
      <c r="D206" s="629">
        <v>2418.9696199999998</v>
      </c>
      <c r="E206" s="630">
        <f t="shared" si="23"/>
        <v>56.963369999999941</v>
      </c>
    </row>
    <row r="207" spans="1:5" s="421" customFormat="1" x14ac:dyDescent="0.2">
      <c r="A207" s="588">
        <v>5</v>
      </c>
      <c r="B207" s="587" t="s">
        <v>748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59.952600000000004</v>
      </c>
      <c r="D208" s="629">
        <v>76.220320000000001</v>
      </c>
      <c r="E208" s="630">
        <f t="shared" si="23"/>
        <v>16.267719999999997</v>
      </c>
    </row>
    <row r="209" spans="1:5" s="421" customFormat="1" x14ac:dyDescent="0.2">
      <c r="A209" s="588">
        <v>7</v>
      </c>
      <c r="B209" s="587" t="s">
        <v>763</v>
      </c>
      <c r="C209" s="629">
        <v>155.92742000000001</v>
      </c>
      <c r="D209" s="629">
        <v>122.452</v>
      </c>
      <c r="E209" s="630">
        <f t="shared" si="23"/>
        <v>-33.475420000000014</v>
      </c>
    </row>
    <row r="210" spans="1:5" s="421" customFormat="1" x14ac:dyDescent="0.2">
      <c r="A210" s="588"/>
      <c r="B210" s="592" t="s">
        <v>828</v>
      </c>
      <c r="C210" s="631">
        <f>C204+C205+C208</f>
        <v>13068.834050000001</v>
      </c>
      <c r="D210" s="631">
        <f>D204+D205+D208</f>
        <v>13198.520340000001</v>
      </c>
      <c r="E210" s="632">
        <f t="shared" si="23"/>
        <v>129.68628999999964</v>
      </c>
    </row>
    <row r="211" spans="1:5" s="421" customFormat="1" x14ac:dyDescent="0.2">
      <c r="A211" s="588"/>
      <c r="B211" s="592" t="s">
        <v>729</v>
      </c>
      <c r="C211" s="631">
        <f>C210+C203</f>
        <v>18081.278610000001</v>
      </c>
      <c r="D211" s="631">
        <f>D210+D203</f>
        <v>18048.04234</v>
      </c>
      <c r="E211" s="632">
        <f t="shared" si="23"/>
        <v>-33.236270000001241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829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661</v>
      </c>
      <c r="C215" s="633">
        <f>IF(C14*C137=0,0,C25/C14*C137)</f>
        <v>8659.4282934176081</v>
      </c>
      <c r="D215" s="633">
        <f>IF(D14*D137=0,0,D25/D14*D137)</f>
        <v>8028.2342187854474</v>
      </c>
      <c r="E215" s="633">
        <f t="shared" ref="E215:E223" si="24">D215-C215</f>
        <v>-631.19407463216066</v>
      </c>
    </row>
    <row r="216" spans="1:5" s="421" customFormat="1" x14ac:dyDescent="0.2">
      <c r="A216" s="588">
        <v>2</v>
      </c>
      <c r="B216" s="587" t="s">
        <v>640</v>
      </c>
      <c r="C216" s="633">
        <f>IF(C15*C138=0,0,C26/C15*C138)</f>
        <v>5707.1634018264931</v>
      </c>
      <c r="D216" s="633">
        <f>IF(D15*D138=0,0,D26/D15*D138)</f>
        <v>6023.143799060801</v>
      </c>
      <c r="E216" s="633">
        <f t="shared" si="24"/>
        <v>315.98039723430793</v>
      </c>
    </row>
    <row r="217" spans="1:5" s="421" customFormat="1" x14ac:dyDescent="0.2">
      <c r="A217" s="588">
        <v>3</v>
      </c>
      <c r="B217" s="587" t="s">
        <v>782</v>
      </c>
      <c r="C217" s="633">
        <f>C218+C219</f>
        <v>3496.5339603393577</v>
      </c>
      <c r="D217" s="633">
        <f>D218+D219</f>
        <v>3746.9257314165825</v>
      </c>
      <c r="E217" s="633">
        <f t="shared" si="24"/>
        <v>250.3917710772248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3496.5339603393577</v>
      </c>
      <c r="D218" s="633">
        <f t="shared" si="25"/>
        <v>3746.9257314165825</v>
      </c>
      <c r="E218" s="633">
        <f t="shared" si="24"/>
        <v>250.3917710772248</v>
      </c>
    </row>
    <row r="219" spans="1:5" s="421" customFormat="1" x14ac:dyDescent="0.2">
      <c r="A219" s="588">
        <v>5</v>
      </c>
      <c r="B219" s="587" t="s">
        <v>748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99.553893708966086</v>
      </c>
      <c r="D220" s="633">
        <f t="shared" si="25"/>
        <v>117.38026132244809</v>
      </c>
      <c r="E220" s="633">
        <f t="shared" si="24"/>
        <v>17.826367613482006</v>
      </c>
    </row>
    <row r="221" spans="1:5" s="421" customFormat="1" x14ac:dyDescent="0.2">
      <c r="A221" s="588">
        <v>7</v>
      </c>
      <c r="B221" s="587" t="s">
        <v>763</v>
      </c>
      <c r="C221" s="633">
        <f t="shared" si="25"/>
        <v>426.80365202230274</v>
      </c>
      <c r="D221" s="633">
        <f t="shared" si="25"/>
        <v>263.60808025285144</v>
      </c>
      <c r="E221" s="633">
        <f t="shared" si="24"/>
        <v>-163.19557176945131</v>
      </c>
    </row>
    <row r="222" spans="1:5" s="421" customFormat="1" x14ac:dyDescent="0.2">
      <c r="A222" s="588"/>
      <c r="B222" s="592" t="s">
        <v>830</v>
      </c>
      <c r="C222" s="634">
        <f>C216+C218+C219+C220</f>
        <v>9303.2512558748167</v>
      </c>
      <c r="D222" s="634">
        <f>D216+D218+D219+D220</f>
        <v>9887.4497917998324</v>
      </c>
      <c r="E222" s="634">
        <f t="shared" si="24"/>
        <v>584.19853592501568</v>
      </c>
    </row>
    <row r="223" spans="1:5" s="421" customFormat="1" x14ac:dyDescent="0.2">
      <c r="A223" s="588"/>
      <c r="B223" s="592" t="s">
        <v>831</v>
      </c>
      <c r="C223" s="634">
        <f>C215+C222</f>
        <v>17962.679549292425</v>
      </c>
      <c r="D223" s="634">
        <f>D215+D222</f>
        <v>17915.684010585279</v>
      </c>
      <c r="E223" s="634">
        <f t="shared" si="24"/>
        <v>-46.995538707145897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832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661</v>
      </c>
      <c r="C227" s="636">
        <f t="shared" ref="C227:D235" si="26">IF(C203=0,0,C47/C203)</f>
        <v>13812.780405096391</v>
      </c>
      <c r="D227" s="636">
        <f t="shared" si="26"/>
        <v>13950.287265425335</v>
      </c>
      <c r="E227" s="636">
        <f t="shared" ref="E227:E235" si="27">D227-C227</f>
        <v>137.50686032894373</v>
      </c>
    </row>
    <row r="228" spans="1:5" s="421" customFormat="1" x14ac:dyDescent="0.2">
      <c r="A228" s="588">
        <v>2</v>
      </c>
      <c r="B228" s="587" t="s">
        <v>640</v>
      </c>
      <c r="C228" s="636">
        <f t="shared" si="26"/>
        <v>7534.354774816934</v>
      </c>
      <c r="D228" s="636">
        <f t="shared" si="26"/>
        <v>7051.1163515983772</v>
      </c>
      <c r="E228" s="636">
        <f t="shared" si="27"/>
        <v>-483.23842321855682</v>
      </c>
    </row>
    <row r="229" spans="1:5" s="421" customFormat="1" x14ac:dyDescent="0.2">
      <c r="A229" s="588">
        <v>3</v>
      </c>
      <c r="B229" s="587" t="s">
        <v>782</v>
      </c>
      <c r="C229" s="636">
        <f t="shared" si="26"/>
        <v>4561.0192606391283</v>
      </c>
      <c r="D229" s="636">
        <f t="shared" si="26"/>
        <v>5379.9084091018885</v>
      </c>
      <c r="E229" s="636">
        <f t="shared" si="27"/>
        <v>818.8891484627602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4561.0192606391283</v>
      </c>
      <c r="D230" s="636">
        <f t="shared" si="26"/>
        <v>5379.9084091018885</v>
      </c>
      <c r="E230" s="636">
        <f t="shared" si="27"/>
        <v>818.8891484627602</v>
      </c>
    </row>
    <row r="231" spans="1:5" s="421" customFormat="1" x14ac:dyDescent="0.2">
      <c r="A231" s="588">
        <v>5</v>
      </c>
      <c r="B231" s="587" t="s">
        <v>748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6136.1308767259461</v>
      </c>
      <c r="D232" s="636">
        <f t="shared" si="26"/>
        <v>4903.3512323222994</v>
      </c>
      <c r="E232" s="636">
        <f t="shared" si="27"/>
        <v>-1232.7796444036467</v>
      </c>
    </row>
    <row r="233" spans="1:5" s="421" customFormat="1" x14ac:dyDescent="0.2">
      <c r="A233" s="588">
        <v>7</v>
      </c>
      <c r="B233" s="587" t="s">
        <v>763</v>
      </c>
      <c r="C233" s="636">
        <f t="shared" si="26"/>
        <v>8752.0847840617116</v>
      </c>
      <c r="D233" s="636">
        <f t="shared" si="26"/>
        <v>11109.724626792538</v>
      </c>
      <c r="E233" s="636">
        <f t="shared" si="27"/>
        <v>2357.6398427308268</v>
      </c>
    </row>
    <row r="234" spans="1:5" x14ac:dyDescent="0.2">
      <c r="A234" s="588"/>
      <c r="B234" s="592" t="s">
        <v>833</v>
      </c>
      <c r="C234" s="637">
        <f t="shared" si="26"/>
        <v>6990.5523056205611</v>
      </c>
      <c r="D234" s="637">
        <f t="shared" si="26"/>
        <v>6732.4211889648832</v>
      </c>
      <c r="E234" s="637">
        <f t="shared" si="27"/>
        <v>-258.13111665567794</v>
      </c>
    </row>
    <row r="235" spans="1:5" s="421" customFormat="1" x14ac:dyDescent="0.2">
      <c r="A235" s="588"/>
      <c r="B235" s="592" t="s">
        <v>834</v>
      </c>
      <c r="C235" s="637">
        <f t="shared" si="26"/>
        <v>8881.7924585920628</v>
      </c>
      <c r="D235" s="637">
        <f t="shared" si="26"/>
        <v>8671.8670120318438</v>
      </c>
      <c r="E235" s="637">
        <f t="shared" si="27"/>
        <v>-209.92544656021892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835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661</v>
      </c>
      <c r="C239" s="636">
        <f t="shared" ref="C239:D247" si="28">IF(C215=0,0,C58/C215)</f>
        <v>14460.146877731218</v>
      </c>
      <c r="D239" s="636">
        <f t="shared" si="28"/>
        <v>15735.374623775169</v>
      </c>
      <c r="E239" s="638">
        <f t="shared" ref="E239:E247" si="29">D239-C239</f>
        <v>1275.2277460439509</v>
      </c>
    </row>
    <row r="240" spans="1:5" s="421" customFormat="1" x14ac:dyDescent="0.2">
      <c r="A240" s="588">
        <v>2</v>
      </c>
      <c r="B240" s="587" t="s">
        <v>640</v>
      </c>
      <c r="C240" s="636">
        <f t="shared" si="28"/>
        <v>8960.4851656487936</v>
      </c>
      <c r="D240" s="636">
        <f t="shared" si="28"/>
        <v>9539.302217715489</v>
      </c>
      <c r="E240" s="638">
        <f t="shared" si="29"/>
        <v>578.8170520666954</v>
      </c>
    </row>
    <row r="241" spans="1:5" x14ac:dyDescent="0.2">
      <c r="A241" s="588">
        <v>3</v>
      </c>
      <c r="B241" s="587" t="s">
        <v>782</v>
      </c>
      <c r="C241" s="636">
        <f t="shared" si="28"/>
        <v>5982.9563325532918</v>
      </c>
      <c r="D241" s="636">
        <f t="shared" si="28"/>
        <v>5510.0414259330864</v>
      </c>
      <c r="E241" s="638">
        <f t="shared" si="29"/>
        <v>-472.91490662020533</v>
      </c>
    </row>
    <row r="242" spans="1:5" x14ac:dyDescent="0.2">
      <c r="A242" s="588">
        <v>4</v>
      </c>
      <c r="B242" s="587" t="s">
        <v>115</v>
      </c>
      <c r="C242" s="636">
        <f t="shared" si="28"/>
        <v>5982.9563325532918</v>
      </c>
      <c r="D242" s="636">
        <f t="shared" si="28"/>
        <v>5510.0414259330864</v>
      </c>
      <c r="E242" s="638">
        <f t="shared" si="29"/>
        <v>-472.91490662020533</v>
      </c>
    </row>
    <row r="243" spans="1:5" x14ac:dyDescent="0.2">
      <c r="A243" s="588">
        <v>5</v>
      </c>
      <c r="B243" s="587" t="s">
        <v>748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2949.5179852875444</v>
      </c>
      <c r="D244" s="636">
        <f t="shared" si="28"/>
        <v>5105.7477061979052</v>
      </c>
      <c r="E244" s="638">
        <f t="shared" si="29"/>
        <v>2156.2297209103608</v>
      </c>
    </row>
    <row r="245" spans="1:5" x14ac:dyDescent="0.2">
      <c r="A245" s="588">
        <v>7</v>
      </c>
      <c r="B245" s="587" t="s">
        <v>763</v>
      </c>
      <c r="C245" s="636">
        <f t="shared" si="28"/>
        <v>5786.3328682833035</v>
      </c>
      <c r="D245" s="636">
        <f t="shared" si="28"/>
        <v>9453.86802107726</v>
      </c>
      <c r="E245" s="638">
        <f t="shared" si="29"/>
        <v>3667.5351527939565</v>
      </c>
    </row>
    <row r="246" spans="1:5" ht="25.5" x14ac:dyDescent="0.2">
      <c r="A246" s="588"/>
      <c r="B246" s="592" t="s">
        <v>836</v>
      </c>
      <c r="C246" s="637">
        <f t="shared" si="28"/>
        <v>7777.087494472541</v>
      </c>
      <c r="D246" s="637">
        <f t="shared" si="28"/>
        <v>7959.7490411805957</v>
      </c>
      <c r="E246" s="639">
        <f t="shared" si="29"/>
        <v>182.66154670805463</v>
      </c>
    </row>
    <row r="247" spans="1:5" x14ac:dyDescent="0.2">
      <c r="A247" s="588"/>
      <c r="B247" s="592" t="s">
        <v>837</v>
      </c>
      <c r="C247" s="637">
        <f t="shared" si="28"/>
        <v>10998.849222792182</v>
      </c>
      <c r="D247" s="637">
        <f t="shared" si="28"/>
        <v>11444.100704101556</v>
      </c>
      <c r="E247" s="639">
        <f t="shared" si="29"/>
        <v>445.25148130937487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765</v>
      </c>
      <c r="B249" s="626" t="s">
        <v>762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10411030.682808042</v>
      </c>
      <c r="D251" s="622">
        <f>((IF((IF(D15=0,0,D26/D15)*D138)=0,0,D59/(IF(D15=0,0,D26/D15)*D138)))-(IF((IF(D17=0,0,D28/D17)*D140)=0,0,D61/(IF(D17=0,0,D28/D17)*D140))))*(IF(D17=0,0,D28/D17)*D140)</f>
        <v>15097340.939317437</v>
      </c>
      <c r="E251" s="622">
        <f>D251-C251</f>
        <v>4686310.2565093953</v>
      </c>
    </row>
    <row r="252" spans="1:5" x14ac:dyDescent="0.2">
      <c r="A252" s="588">
        <v>2</v>
      </c>
      <c r="B252" s="587" t="s">
        <v>748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763</v>
      </c>
      <c r="C253" s="622">
        <f>IF(C233=0,0,(C228-C233)*C209+IF(C221=0,0,(C240-C245)*C221))</f>
        <v>1164862.2939924591</v>
      </c>
      <c r="D253" s="622">
        <f>IF(D233=0,0,(D228-D233)*D209+IF(D221=0,0,(D240-D245)*D221))</f>
        <v>-474463.55595032725</v>
      </c>
      <c r="E253" s="622">
        <f>D253-C253</f>
        <v>-1639325.8499427864</v>
      </c>
    </row>
    <row r="254" spans="1:5" ht="15" customHeight="1" x14ac:dyDescent="0.2">
      <c r="A254" s="588"/>
      <c r="B254" s="592" t="s">
        <v>764</v>
      </c>
      <c r="C254" s="640">
        <f>+C251+C252+C253</f>
        <v>11575892.976800501</v>
      </c>
      <c r="D254" s="640">
        <f>+D251+D252+D253</f>
        <v>14622877.38336711</v>
      </c>
      <c r="E254" s="640">
        <f>D254-C254</f>
        <v>3046984.4065666087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838</v>
      </c>
      <c r="B256" s="626" t="s">
        <v>839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730</v>
      </c>
      <c r="C258" s="622">
        <f>+C44</f>
        <v>1272225607</v>
      </c>
      <c r="D258" s="625">
        <f>+D44</f>
        <v>1264918959</v>
      </c>
      <c r="E258" s="622">
        <f t="shared" ref="E258:E271" si="30">D258-C258</f>
        <v>-7306648</v>
      </c>
    </row>
    <row r="259" spans="1:5" x14ac:dyDescent="0.2">
      <c r="A259" s="588">
        <v>2</v>
      </c>
      <c r="B259" s="587" t="s">
        <v>747</v>
      </c>
      <c r="C259" s="622">
        <f>+(C43-C76)</f>
        <v>638295243</v>
      </c>
      <c r="D259" s="625">
        <f>+(D43-D76)</f>
        <v>643467099</v>
      </c>
      <c r="E259" s="622">
        <f t="shared" si="30"/>
        <v>5171856</v>
      </c>
    </row>
    <row r="260" spans="1:5" x14ac:dyDescent="0.2">
      <c r="A260" s="588">
        <v>3</v>
      </c>
      <c r="B260" s="587" t="s">
        <v>751</v>
      </c>
      <c r="C260" s="622">
        <f>C195</f>
        <v>22468915</v>
      </c>
      <c r="D260" s="622">
        <f>D195</f>
        <v>16967022</v>
      </c>
      <c r="E260" s="622">
        <f t="shared" si="30"/>
        <v>-5501893</v>
      </c>
    </row>
    <row r="261" spans="1:5" x14ac:dyDescent="0.2">
      <c r="A261" s="588">
        <v>4</v>
      </c>
      <c r="B261" s="587" t="s">
        <v>752</v>
      </c>
      <c r="C261" s="622">
        <f>C188</f>
        <v>233646550</v>
      </c>
      <c r="D261" s="622">
        <f>D188</f>
        <v>222008275</v>
      </c>
      <c r="E261" s="622">
        <f t="shared" si="30"/>
        <v>-11638275</v>
      </c>
    </row>
    <row r="262" spans="1:5" x14ac:dyDescent="0.2">
      <c r="A262" s="588">
        <v>5</v>
      </c>
      <c r="B262" s="587" t="s">
        <v>753</v>
      </c>
      <c r="C262" s="622">
        <f>C191</f>
        <v>18567411</v>
      </c>
      <c r="D262" s="622">
        <f>D191</f>
        <v>15596046</v>
      </c>
      <c r="E262" s="622">
        <f t="shared" si="30"/>
        <v>-2971365</v>
      </c>
    </row>
    <row r="263" spans="1:5" x14ac:dyDescent="0.2">
      <c r="A263" s="588">
        <v>6</v>
      </c>
      <c r="B263" s="587" t="s">
        <v>754</v>
      </c>
      <c r="C263" s="622">
        <f>+C259+C260+C261+C262</f>
        <v>912978119</v>
      </c>
      <c r="D263" s="622">
        <f>+D259+D260+D261+D262</f>
        <v>898038442</v>
      </c>
      <c r="E263" s="622">
        <f t="shared" si="30"/>
        <v>-14939677</v>
      </c>
    </row>
    <row r="264" spans="1:5" x14ac:dyDescent="0.2">
      <c r="A264" s="588">
        <v>7</v>
      </c>
      <c r="B264" s="587" t="s">
        <v>659</v>
      </c>
      <c r="C264" s="622">
        <f>+C258-C263</f>
        <v>359247488</v>
      </c>
      <c r="D264" s="622">
        <f>+D258-D263</f>
        <v>366880517</v>
      </c>
      <c r="E264" s="622">
        <f t="shared" si="30"/>
        <v>7633029</v>
      </c>
    </row>
    <row r="265" spans="1:5" x14ac:dyDescent="0.2">
      <c r="A265" s="588">
        <v>8</v>
      </c>
      <c r="B265" s="587" t="s">
        <v>840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841</v>
      </c>
      <c r="C266" s="622">
        <f>+C264+C265</f>
        <v>359247488</v>
      </c>
      <c r="D266" s="622">
        <f>+D264+D265</f>
        <v>366880517</v>
      </c>
      <c r="E266" s="641">
        <f t="shared" si="30"/>
        <v>7633029</v>
      </c>
    </row>
    <row r="267" spans="1:5" x14ac:dyDescent="0.2">
      <c r="A267" s="588">
        <v>10</v>
      </c>
      <c r="B267" s="587" t="s">
        <v>842</v>
      </c>
      <c r="C267" s="642">
        <f>IF(C258=0,0,C266/C258)</f>
        <v>0.28237718689465113</v>
      </c>
      <c r="D267" s="642">
        <f>IF(D258=0,0,D266/D258)</f>
        <v>0.29004270541572302</v>
      </c>
      <c r="E267" s="643">
        <f t="shared" si="30"/>
        <v>7.6655185210718901E-3</v>
      </c>
    </row>
    <row r="268" spans="1:5" x14ac:dyDescent="0.2">
      <c r="A268" s="588">
        <v>11</v>
      </c>
      <c r="B268" s="587" t="s">
        <v>721</v>
      </c>
      <c r="C268" s="622">
        <f>+C260*C267</f>
        <v>6344709.0102750305</v>
      </c>
      <c r="D268" s="644">
        <f>+D260*D267</f>
        <v>4921160.9637280917</v>
      </c>
      <c r="E268" s="622">
        <f t="shared" si="30"/>
        <v>-1423548.0465469388</v>
      </c>
    </row>
    <row r="269" spans="1:5" x14ac:dyDescent="0.2">
      <c r="A269" s="588">
        <v>12</v>
      </c>
      <c r="B269" s="587" t="s">
        <v>843</v>
      </c>
      <c r="C269" s="622">
        <f>((C17+C18+C28+C29)*C267)-(C50+C51+C61+C62)</f>
        <v>23774256.417047963</v>
      </c>
      <c r="D269" s="644">
        <f>((D17+D18+D28+D29)*D267)-(D50+D51+D61+D62)</f>
        <v>25722155.505785763</v>
      </c>
      <c r="E269" s="622">
        <f t="shared" si="30"/>
        <v>1947899.0887378007</v>
      </c>
    </row>
    <row r="270" spans="1:5" s="648" customFormat="1" x14ac:dyDescent="0.2">
      <c r="A270" s="645">
        <v>13</v>
      </c>
      <c r="B270" s="646" t="s">
        <v>844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845</v>
      </c>
      <c r="C271" s="622">
        <f>+C268+C269+C270</f>
        <v>30118965.427322991</v>
      </c>
      <c r="D271" s="622">
        <f>+D268+D269+D270</f>
        <v>30643316.469513856</v>
      </c>
      <c r="E271" s="625">
        <f t="shared" si="30"/>
        <v>524351.04219086468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846</v>
      </c>
      <c r="B273" s="626" t="s">
        <v>847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848</v>
      </c>
      <c r="C275" s="425"/>
      <c r="D275" s="425"/>
      <c r="E275" s="596"/>
    </row>
    <row r="276" spans="1:5" x14ac:dyDescent="0.2">
      <c r="A276" s="588">
        <v>1</v>
      </c>
      <c r="B276" s="587" t="s">
        <v>661</v>
      </c>
      <c r="C276" s="623">
        <f t="shared" ref="C276:D284" si="31">IF(C14=0,0,+C47/C14)</f>
        <v>0.44966683989806466</v>
      </c>
      <c r="D276" s="623">
        <f t="shared" si="31"/>
        <v>0.46394408588502817</v>
      </c>
      <c r="E276" s="650">
        <f t="shared" ref="E276:E284" si="32">D276-C276</f>
        <v>1.4277245986963505E-2</v>
      </c>
    </row>
    <row r="277" spans="1:5" x14ac:dyDescent="0.2">
      <c r="A277" s="588">
        <v>2</v>
      </c>
      <c r="B277" s="587" t="s">
        <v>640</v>
      </c>
      <c r="C277" s="623">
        <f t="shared" si="31"/>
        <v>0.23177895675570614</v>
      </c>
      <c r="D277" s="623">
        <f t="shared" si="31"/>
        <v>0.22648347379540448</v>
      </c>
      <c r="E277" s="650">
        <f t="shared" si="32"/>
        <v>-5.2954829603016618E-3</v>
      </c>
    </row>
    <row r="278" spans="1:5" x14ac:dyDescent="0.2">
      <c r="A278" s="588">
        <v>3</v>
      </c>
      <c r="B278" s="587" t="s">
        <v>782</v>
      </c>
      <c r="C278" s="623">
        <f t="shared" si="31"/>
        <v>0.13958555985035836</v>
      </c>
      <c r="D278" s="623">
        <f t="shared" si="31"/>
        <v>0.16937143153432277</v>
      </c>
      <c r="E278" s="650">
        <f t="shared" si="32"/>
        <v>2.9785871683964404E-2</v>
      </c>
    </row>
    <row r="279" spans="1:5" x14ac:dyDescent="0.2">
      <c r="A279" s="588">
        <v>4</v>
      </c>
      <c r="B279" s="587" t="s">
        <v>115</v>
      </c>
      <c r="C279" s="623">
        <f t="shared" si="31"/>
        <v>0.13958555985035836</v>
      </c>
      <c r="D279" s="623">
        <f t="shared" si="31"/>
        <v>0.16937143153432277</v>
      </c>
      <c r="E279" s="650">
        <f t="shared" si="32"/>
        <v>2.9785871683964404E-2</v>
      </c>
    </row>
    <row r="280" spans="1:5" x14ac:dyDescent="0.2">
      <c r="A280" s="588">
        <v>5</v>
      </c>
      <c r="B280" s="587" t="s">
        <v>748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0.20433751402512859</v>
      </c>
      <c r="D281" s="623">
        <f t="shared" si="31"/>
        <v>0.19315957662889804</v>
      </c>
      <c r="E281" s="650">
        <f t="shared" si="32"/>
        <v>-1.1177937396230547E-2</v>
      </c>
    </row>
    <row r="282" spans="1:5" x14ac:dyDescent="0.2">
      <c r="A282" s="588">
        <v>7</v>
      </c>
      <c r="B282" s="587" t="s">
        <v>763</v>
      </c>
      <c r="C282" s="623">
        <f t="shared" si="31"/>
        <v>0.28406907631391498</v>
      </c>
      <c r="D282" s="623">
        <f t="shared" si="31"/>
        <v>0.35339559369928769</v>
      </c>
      <c r="E282" s="650">
        <f t="shared" si="32"/>
        <v>6.932651738537271E-2</v>
      </c>
    </row>
    <row r="283" spans="1:5" ht="29.25" customHeight="1" x14ac:dyDescent="0.2">
      <c r="A283" s="588"/>
      <c r="B283" s="592" t="s">
        <v>849</v>
      </c>
      <c r="C283" s="651">
        <f t="shared" si="31"/>
        <v>0.21492341762606579</v>
      </c>
      <c r="D283" s="651">
        <f t="shared" si="31"/>
        <v>0.21567579625615954</v>
      </c>
      <c r="E283" s="652">
        <f t="shared" si="32"/>
        <v>7.5237863009375294E-4</v>
      </c>
    </row>
    <row r="284" spans="1:5" x14ac:dyDescent="0.2">
      <c r="A284" s="588"/>
      <c r="B284" s="592" t="s">
        <v>850</v>
      </c>
      <c r="C284" s="651">
        <f t="shared" si="31"/>
        <v>0.27734297227866617</v>
      </c>
      <c r="D284" s="651">
        <f t="shared" si="31"/>
        <v>0.28057589171139141</v>
      </c>
      <c r="E284" s="652">
        <f t="shared" si="32"/>
        <v>3.2329194327252453E-3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851</v>
      </c>
      <c r="C286" s="596"/>
      <c r="D286" s="596"/>
      <c r="E286" s="596"/>
    </row>
    <row r="287" spans="1:5" x14ac:dyDescent="0.2">
      <c r="A287" s="588">
        <v>1</v>
      </c>
      <c r="B287" s="587" t="s">
        <v>661</v>
      </c>
      <c r="C287" s="623">
        <f t="shared" ref="C287:D295" si="33">IF(C25=0,0,+C58/C25)</f>
        <v>0.39594373827802665</v>
      </c>
      <c r="D287" s="623">
        <f t="shared" si="33"/>
        <v>0.41005701119757987</v>
      </c>
      <c r="E287" s="650">
        <f t="shared" ref="E287:E295" si="34">D287-C287</f>
        <v>1.4113272919553221E-2</v>
      </c>
    </row>
    <row r="288" spans="1:5" x14ac:dyDescent="0.2">
      <c r="A288" s="588">
        <v>2</v>
      </c>
      <c r="B288" s="587" t="s">
        <v>640</v>
      </c>
      <c r="C288" s="623">
        <f t="shared" si="33"/>
        <v>0.20090882815865041</v>
      </c>
      <c r="D288" s="623">
        <f t="shared" si="33"/>
        <v>0.21481724280281658</v>
      </c>
      <c r="E288" s="650">
        <f t="shared" si="34"/>
        <v>1.3908414644166173E-2</v>
      </c>
    </row>
    <row r="289" spans="1:5" x14ac:dyDescent="0.2">
      <c r="A289" s="588">
        <v>3</v>
      </c>
      <c r="B289" s="587" t="s">
        <v>782</v>
      </c>
      <c r="C289" s="623">
        <f t="shared" si="33"/>
        <v>0.1754276037411355</v>
      </c>
      <c r="D289" s="623">
        <f t="shared" si="33"/>
        <v>0.16142292820544188</v>
      </c>
      <c r="E289" s="650">
        <f t="shared" si="34"/>
        <v>-1.4004675535693623E-2</v>
      </c>
    </row>
    <row r="290" spans="1:5" x14ac:dyDescent="0.2">
      <c r="A290" s="588">
        <v>4</v>
      </c>
      <c r="B290" s="587" t="s">
        <v>115</v>
      </c>
      <c r="C290" s="623">
        <f t="shared" si="33"/>
        <v>0.1754276037411355</v>
      </c>
      <c r="D290" s="623">
        <f t="shared" si="33"/>
        <v>0.16142292820544188</v>
      </c>
      <c r="E290" s="650">
        <f t="shared" si="34"/>
        <v>-1.4004675535693623E-2</v>
      </c>
    </row>
    <row r="291" spans="1:5" x14ac:dyDescent="0.2">
      <c r="A291" s="588">
        <v>5</v>
      </c>
      <c r="B291" s="587" t="s">
        <v>748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9.3383763712071077E-2</v>
      </c>
      <c r="D292" s="623">
        <f t="shared" si="33"/>
        <v>0.16360761515190064</v>
      </c>
      <c r="E292" s="650">
        <f t="shared" si="34"/>
        <v>7.0223851439829565E-2</v>
      </c>
    </row>
    <row r="293" spans="1:5" x14ac:dyDescent="0.2">
      <c r="A293" s="588">
        <v>7</v>
      </c>
      <c r="B293" s="587" t="s">
        <v>763</v>
      </c>
      <c r="C293" s="623">
        <f t="shared" si="33"/>
        <v>0.16742031846514133</v>
      </c>
      <c r="D293" s="623">
        <f t="shared" si="33"/>
        <v>0.22593801843992709</v>
      </c>
      <c r="E293" s="650">
        <f t="shared" si="34"/>
        <v>5.8517699974785758E-2</v>
      </c>
    </row>
    <row r="294" spans="1:5" ht="29.25" customHeight="1" x14ac:dyDescent="0.2">
      <c r="A294" s="588"/>
      <c r="B294" s="592" t="s">
        <v>852</v>
      </c>
      <c r="C294" s="651">
        <f t="shared" si="33"/>
        <v>0.19195039278170878</v>
      </c>
      <c r="D294" s="651">
        <f t="shared" si="33"/>
        <v>0.19723297353716729</v>
      </c>
      <c r="E294" s="652">
        <f t="shared" si="34"/>
        <v>5.2825807554585102E-3</v>
      </c>
    </row>
    <row r="295" spans="1:5" x14ac:dyDescent="0.2">
      <c r="A295" s="588"/>
      <c r="B295" s="592" t="s">
        <v>853</v>
      </c>
      <c r="C295" s="651">
        <f t="shared" si="33"/>
        <v>0.2850179411563345</v>
      </c>
      <c r="D295" s="651">
        <f t="shared" si="33"/>
        <v>0.28995693985358012</v>
      </c>
      <c r="E295" s="652">
        <f t="shared" si="34"/>
        <v>4.9389986972456223E-3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854</v>
      </c>
      <c r="B297" s="579" t="s">
        <v>855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856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659</v>
      </c>
      <c r="C301" s="590">
        <f>+C48+C47+C50+C51+C52+C59+C58+C61+C62+C63</f>
        <v>358162968</v>
      </c>
      <c r="D301" s="590">
        <f>+D48+D47+D50+D51+D52+D59+D58+D61+D62+D63</f>
        <v>361539115</v>
      </c>
      <c r="E301" s="590">
        <f>D301-C301</f>
        <v>3376147</v>
      </c>
    </row>
    <row r="302" spans="1:5" ht="25.5" x14ac:dyDescent="0.2">
      <c r="A302" s="588">
        <v>2</v>
      </c>
      <c r="B302" s="587" t="s">
        <v>857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858</v>
      </c>
      <c r="C303" s="593">
        <f>+C301+C302</f>
        <v>358162968</v>
      </c>
      <c r="D303" s="593">
        <f>+D301+D302</f>
        <v>361539115</v>
      </c>
      <c r="E303" s="593">
        <f>D303-C303</f>
        <v>3376147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859</v>
      </c>
      <c r="C305" s="589">
        <v>-4152362</v>
      </c>
      <c r="D305" s="654">
        <v>-3902482</v>
      </c>
      <c r="E305" s="655">
        <f>D305-C305</f>
        <v>249880</v>
      </c>
    </row>
    <row r="306" spans="1:5" x14ac:dyDescent="0.2">
      <c r="A306" s="588">
        <v>4</v>
      </c>
      <c r="B306" s="592" t="s">
        <v>860</v>
      </c>
      <c r="C306" s="593">
        <f>+C303+C305+C194+C190-C191</f>
        <v>374511028</v>
      </c>
      <c r="D306" s="593">
        <f>+D303+D305</f>
        <v>357636633</v>
      </c>
      <c r="E306" s="656">
        <f>D306-C306</f>
        <v>-16874395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861</v>
      </c>
      <c r="C308" s="589">
        <v>354010685</v>
      </c>
      <c r="D308" s="589">
        <v>357636636</v>
      </c>
      <c r="E308" s="590">
        <f>D308-C308</f>
        <v>3625951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862</v>
      </c>
      <c r="C310" s="657">
        <f>C306-C308</f>
        <v>20500343</v>
      </c>
      <c r="D310" s="658">
        <f>D306-D308</f>
        <v>-3</v>
      </c>
      <c r="E310" s="656">
        <f>D310-C310</f>
        <v>-20500346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863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864</v>
      </c>
      <c r="C314" s="590">
        <f>+C14+C15+C16+C19+C25+C26+C27+C30</f>
        <v>1272225607</v>
      </c>
      <c r="D314" s="590">
        <f>+D14+D15+D16+D19+D25+D26+D27+D30</f>
        <v>1264918959</v>
      </c>
      <c r="E314" s="590">
        <f>D314-C314</f>
        <v>-7306648</v>
      </c>
    </row>
    <row r="315" spans="1:5" x14ac:dyDescent="0.2">
      <c r="A315" s="588">
        <v>2</v>
      </c>
      <c r="B315" s="659" t="s">
        <v>865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866</v>
      </c>
      <c r="C316" s="657">
        <f>C314+C315</f>
        <v>1272225607</v>
      </c>
      <c r="D316" s="657">
        <f>D314+D315</f>
        <v>1264918959</v>
      </c>
      <c r="E316" s="593">
        <f>D316-C316</f>
        <v>-7306648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867</v>
      </c>
      <c r="C318" s="589">
        <v>1272225607</v>
      </c>
      <c r="D318" s="589">
        <v>1264918959</v>
      </c>
      <c r="E318" s="590">
        <f>D318-C318</f>
        <v>-7306648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862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868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869</v>
      </c>
      <c r="C324" s="589">
        <f>+C193+C194</f>
        <v>22468915</v>
      </c>
      <c r="D324" s="589">
        <f>+D193+D194</f>
        <v>16967022</v>
      </c>
      <c r="E324" s="590">
        <f>D324-C324</f>
        <v>-5501893</v>
      </c>
    </row>
    <row r="325" spans="1:5" x14ac:dyDescent="0.2">
      <c r="A325" s="588">
        <v>2</v>
      </c>
      <c r="B325" s="587" t="s">
        <v>870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871</v>
      </c>
      <c r="C326" s="657">
        <f>C324+C325</f>
        <v>22468915</v>
      </c>
      <c r="D326" s="657">
        <f>D324+D325</f>
        <v>16967022</v>
      </c>
      <c r="E326" s="593">
        <f>D326-C326</f>
        <v>-5501893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872</v>
      </c>
      <c r="C328" s="589">
        <v>22468915</v>
      </c>
      <c r="D328" s="589">
        <v>16967022</v>
      </c>
      <c r="E328" s="590">
        <f>D328-C328</f>
        <v>-5501893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873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FILING&amp;RMIDDLESEX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634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874</v>
      </c>
      <c r="B5" s="824"/>
      <c r="C5" s="825"/>
      <c r="D5" s="661"/>
    </row>
    <row r="6" spans="1:58" s="662" customFormat="1" ht="15.75" customHeight="1" x14ac:dyDescent="0.25">
      <c r="A6" s="823" t="s">
        <v>875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876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877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781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661</v>
      </c>
      <c r="C14" s="589">
        <v>145819781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640</v>
      </c>
      <c r="C15" s="591">
        <v>333227086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782</v>
      </c>
      <c r="C16" s="591">
        <v>76836069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76836069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748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1934851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763</v>
      </c>
      <c r="C20" s="591">
        <v>3849533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783</v>
      </c>
      <c r="C21" s="593">
        <f>SUM(C15+C16+C19)</f>
        <v>411998006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557817787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784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661</v>
      </c>
      <c r="C25" s="589">
        <v>308072462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640</v>
      </c>
      <c r="C26" s="591">
        <v>267467305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782</v>
      </c>
      <c r="C27" s="591">
        <v>127898287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127898287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748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3663118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763</v>
      </c>
      <c r="C31" s="594">
        <v>11030087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785</v>
      </c>
      <c r="C32" s="593">
        <f>SUM(C26+C27+C30)</f>
        <v>399028710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707101172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658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878</v>
      </c>
      <c r="C36" s="590">
        <f>SUM(C14+C25)</f>
        <v>453892243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879</v>
      </c>
      <c r="C37" s="594">
        <f>SUM(C21+C32)</f>
        <v>811026716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658</v>
      </c>
      <c r="C38" s="593">
        <f>SUM(+C36+C37)</f>
        <v>1264918959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794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661</v>
      </c>
      <c r="C41" s="589">
        <v>67652225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640</v>
      </c>
      <c r="C42" s="591">
        <v>75470428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782</v>
      </c>
      <c r="C43" s="591">
        <v>13013835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13013835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748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373735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763</v>
      </c>
      <c r="C47" s="591">
        <v>1360408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795</v>
      </c>
      <c r="C48" s="593">
        <f>SUM(C42+C43+C46)</f>
        <v>88857998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156510223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796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661</v>
      </c>
      <c r="C52" s="589">
        <v>126327273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640</v>
      </c>
      <c r="C53" s="591">
        <v>57456589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782</v>
      </c>
      <c r="C54" s="591">
        <v>20645716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20645716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748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599314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763</v>
      </c>
      <c r="C58" s="591">
        <v>2492116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797</v>
      </c>
      <c r="C59" s="593">
        <f>SUM(C53+C54+C57)</f>
        <v>78701619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205028892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659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880</v>
      </c>
      <c r="C63" s="590">
        <f>SUM(C41+C52)</f>
        <v>193979498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881</v>
      </c>
      <c r="C64" s="594">
        <f>SUM(C48+C59)</f>
        <v>167559617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659</v>
      </c>
      <c r="C65" s="593">
        <f>SUM(+C63+C64)</f>
        <v>361539115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882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883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661</v>
      </c>
      <c r="C70" s="606">
        <v>3800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640</v>
      </c>
      <c r="C71" s="606">
        <v>7504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782</v>
      </c>
      <c r="C72" s="606">
        <v>2251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2251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748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62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763</v>
      </c>
      <c r="C76" s="621">
        <v>92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812</v>
      </c>
      <c r="C77" s="608">
        <f>SUM(C71+C72+C75)</f>
        <v>9817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13617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816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661</v>
      </c>
      <c r="C81" s="617">
        <v>1.2761899999999999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640</v>
      </c>
      <c r="C82" s="617">
        <v>1.42635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782</v>
      </c>
      <c r="C83" s="617">
        <f>((C73*C84)+(C74*C85))/(C73+C74)</f>
        <v>1.0746199999999999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1.0746199999999999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748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1.22936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763</v>
      </c>
      <c r="C87" s="617">
        <v>1.331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817</v>
      </c>
      <c r="C88" s="619">
        <f>((C71*C82)+(C73*C84)+(C74*C85)+(C75*C86))/(C71+C73+C74+C75)</f>
        <v>1.344455570948355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728</v>
      </c>
      <c r="C89" s="619">
        <f>((C70*C81)+(C71*C82)+(C73*C84)+(C74*C85)+(C75*C86))/(C70+C71+C73+C74+C75)</f>
        <v>1.3254051802893443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818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819</v>
      </c>
      <c r="C92" s="589">
        <v>414756036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820</v>
      </c>
      <c r="C93" s="622">
        <v>192747761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673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752</v>
      </c>
      <c r="C95" s="589">
        <f>+C92-C93</f>
        <v>222008275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675</v>
      </c>
      <c r="C96" s="681">
        <f>(+C92-C93)/C92</f>
        <v>0.53527436789370797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767</v>
      </c>
      <c r="C98" s="589">
        <v>21618618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753</v>
      </c>
      <c r="C99" s="589">
        <v>15596046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884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822</v>
      </c>
      <c r="C103" s="589">
        <v>6695669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823</v>
      </c>
      <c r="C104" s="589">
        <v>10271353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824</v>
      </c>
      <c r="C105" s="654">
        <f>+C103+C104</f>
        <v>16967022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825</v>
      </c>
      <c r="C107" s="589">
        <v>13366834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715</v>
      </c>
      <c r="C108" s="589">
        <v>365751321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855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856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659</v>
      </c>
      <c r="C114" s="590">
        <f>+C65</f>
        <v>361539115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857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858</v>
      </c>
      <c r="C116" s="593">
        <f>+C114+C115</f>
        <v>361539115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859</v>
      </c>
      <c r="C118" s="654">
        <v>-3902482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860</v>
      </c>
      <c r="C119" s="656">
        <f>+C116+C118</f>
        <v>357636633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861</v>
      </c>
      <c r="C121" s="589">
        <v>357636636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862</v>
      </c>
      <c r="C123" s="658">
        <f>C119-C121</f>
        <v>-3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863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864</v>
      </c>
      <c r="C127" s="590">
        <f>C38</f>
        <v>1264918959</v>
      </c>
      <c r="D127" s="664"/>
      <c r="AR127" s="485"/>
    </row>
    <row r="128" spans="1:58" s="421" customFormat="1" ht="12.75" x14ac:dyDescent="0.2">
      <c r="A128" s="588">
        <v>2</v>
      </c>
      <c r="B128" s="659" t="s">
        <v>865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866</v>
      </c>
      <c r="C129" s="657">
        <f>C127+C128</f>
        <v>1264918959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867</v>
      </c>
      <c r="C131" s="589">
        <v>1264918959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862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868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869</v>
      </c>
      <c r="C137" s="589">
        <f>C105</f>
        <v>16967022</v>
      </c>
      <c r="D137" s="664"/>
      <c r="AR137" s="485"/>
    </row>
    <row r="138" spans="1:44" s="421" customFormat="1" ht="12.75" x14ac:dyDescent="0.2">
      <c r="A138" s="588">
        <v>2</v>
      </c>
      <c r="B138" s="669" t="s">
        <v>885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871</v>
      </c>
      <c r="C139" s="657">
        <f>C137+C138</f>
        <v>16967022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886</v>
      </c>
      <c r="C141" s="589">
        <v>16967022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873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FILING&amp;RMIDDLESEX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634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887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637</v>
      </c>
      <c r="D8" s="177" t="s">
        <v>637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888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889</v>
      </c>
      <c r="C12" s="185">
        <v>3635</v>
      </c>
      <c r="D12" s="185">
        <v>3035</v>
      </c>
      <c r="E12" s="185">
        <f>+D12-C12</f>
        <v>-600</v>
      </c>
      <c r="F12" s="77">
        <f>IF(C12=0,0,+E12/C12)</f>
        <v>-0.16506189821182943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890</v>
      </c>
      <c r="C13" s="185">
        <v>2474</v>
      </c>
      <c r="D13" s="185">
        <v>2007</v>
      </c>
      <c r="E13" s="185">
        <f>+D13-C13</f>
        <v>-467</v>
      </c>
      <c r="F13" s="77">
        <f>IF(C13=0,0,+E13/C13)</f>
        <v>-0.18876313662085692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891</v>
      </c>
      <c r="C15" s="76">
        <v>8559951</v>
      </c>
      <c r="D15" s="76">
        <v>6695669</v>
      </c>
      <c r="E15" s="76">
        <f>+D15-C15</f>
        <v>-1864282</v>
      </c>
      <c r="F15" s="77">
        <f>IF(C15=0,0,+E15/C15)</f>
        <v>-0.21779119997299051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892</v>
      </c>
      <c r="C16" s="79">
        <f>IF(C13=0,0,+C15/+C13)</f>
        <v>3459.9640258690379</v>
      </c>
      <c r="D16" s="79">
        <f>IF(D13=0,0,+D15/+D13)</f>
        <v>3336.1579471848531</v>
      </c>
      <c r="E16" s="79">
        <f>+D16-C16</f>
        <v>-123.80607868418474</v>
      </c>
      <c r="F16" s="80">
        <f>IF(C16=0,0,+E16/C16)</f>
        <v>-3.5782475701633461E-2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893</v>
      </c>
      <c r="C18" s="704">
        <v>0.27857100000000001</v>
      </c>
      <c r="D18" s="704">
        <v>0.26919799999999999</v>
      </c>
      <c r="E18" s="704">
        <f>+D18-C18</f>
        <v>-9.3730000000000202E-3</v>
      </c>
      <c r="F18" s="77">
        <f>IF(C18=0,0,+E18/C18)</f>
        <v>-3.3646718430848939E-2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894</v>
      </c>
      <c r="C19" s="79">
        <f>+C15*C18</f>
        <v>2384554.1100210003</v>
      </c>
      <c r="D19" s="79">
        <f>+D15*D18</f>
        <v>1802460.703462</v>
      </c>
      <c r="E19" s="79">
        <f>+D19-C19</f>
        <v>-582093.40655900026</v>
      </c>
      <c r="F19" s="80">
        <f>IF(C19=0,0,+E19/C19)</f>
        <v>-0.24410995922163153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895</v>
      </c>
      <c r="C20" s="79">
        <f>IF(C13=0,0,+C19/C13)</f>
        <v>963.84563865036387</v>
      </c>
      <c r="D20" s="79">
        <f>IF(D13=0,0,+D19/D13)</f>
        <v>898.08704706626804</v>
      </c>
      <c r="E20" s="79">
        <f>+D20-C20</f>
        <v>-65.758591584095825</v>
      </c>
      <c r="F20" s="80">
        <f>IF(C20=0,0,+E20/C20)</f>
        <v>-6.8225231247790952E-2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896</v>
      </c>
      <c r="C22" s="76">
        <v>2238441</v>
      </c>
      <c r="D22" s="76">
        <v>2055675</v>
      </c>
      <c r="E22" s="76">
        <f>+D22-C22</f>
        <v>-182766</v>
      </c>
      <c r="F22" s="77">
        <f>IF(C22=0,0,+E22/C22)</f>
        <v>-8.1648790385808689E-2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897</v>
      </c>
      <c r="C23" s="185">
        <v>3416309</v>
      </c>
      <c r="D23" s="185">
        <v>2360871</v>
      </c>
      <c r="E23" s="185">
        <f>+D23-C23</f>
        <v>-1055438</v>
      </c>
      <c r="F23" s="77">
        <f>IF(C23=0,0,+E23/C23)</f>
        <v>-0.30894102377741595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898</v>
      </c>
      <c r="C24" s="185">
        <v>2905201</v>
      </c>
      <c r="D24" s="185">
        <v>2279123</v>
      </c>
      <c r="E24" s="185">
        <f>+D24-C24</f>
        <v>-626078</v>
      </c>
      <c r="F24" s="77">
        <f>IF(C24=0,0,+E24/C24)</f>
        <v>-0.21550247297863384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899</v>
      </c>
      <c r="C25" s="79">
        <f>+C22+C23+C24</f>
        <v>8559951</v>
      </c>
      <c r="D25" s="79">
        <f>+D22+D23+D24</f>
        <v>6695669</v>
      </c>
      <c r="E25" s="79">
        <f>+E22+E23+E24</f>
        <v>-1864282</v>
      </c>
      <c r="F25" s="80">
        <f>IF(C25=0,0,+E25/C25)</f>
        <v>-0.21779119997299051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900</v>
      </c>
      <c r="C27" s="185">
        <v>214</v>
      </c>
      <c r="D27" s="185">
        <v>188</v>
      </c>
      <c r="E27" s="185">
        <f>+D27-C27</f>
        <v>-26</v>
      </c>
      <c r="F27" s="77">
        <f>IF(C27=0,0,+E27/C27)</f>
        <v>-0.12149532710280374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901</v>
      </c>
      <c r="C28" s="185">
        <v>78</v>
      </c>
      <c r="D28" s="185">
        <v>58</v>
      </c>
      <c r="E28" s="185">
        <f>+D28-C28</f>
        <v>-20</v>
      </c>
      <c r="F28" s="77">
        <f>IF(C28=0,0,+E28/C28)</f>
        <v>-0.25641025641025639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902</v>
      </c>
      <c r="C29" s="185">
        <v>1091</v>
      </c>
      <c r="D29" s="185">
        <v>746</v>
      </c>
      <c r="E29" s="185">
        <f>+D29-C29</f>
        <v>-345</v>
      </c>
      <c r="F29" s="77">
        <f>IF(C29=0,0,+E29/C29)</f>
        <v>-0.31622364802933089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903</v>
      </c>
      <c r="C30" s="185">
        <v>1553</v>
      </c>
      <c r="D30" s="185">
        <v>1093</v>
      </c>
      <c r="E30" s="185">
        <f>+D30-C30</f>
        <v>-460</v>
      </c>
      <c r="F30" s="77">
        <f>IF(C30=0,0,+E30/C30)</f>
        <v>-0.29620090148100453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904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905</v>
      </c>
      <c r="C33" s="76">
        <v>4466117</v>
      </c>
      <c r="D33" s="76">
        <v>2458609</v>
      </c>
      <c r="E33" s="76">
        <f>+D33-C33</f>
        <v>-2007508</v>
      </c>
      <c r="F33" s="77">
        <f>IF(C33=0,0,+E33/C33)</f>
        <v>-0.44949740456866671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906</v>
      </c>
      <c r="C34" s="185">
        <v>2568461</v>
      </c>
      <c r="D34" s="185">
        <v>1987267</v>
      </c>
      <c r="E34" s="185">
        <f>+D34-C34</f>
        <v>-581194</v>
      </c>
      <c r="F34" s="77">
        <f>IF(C34=0,0,+E34/C34)</f>
        <v>-0.22628102976840994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907</v>
      </c>
      <c r="C35" s="185">
        <v>6874386</v>
      </c>
      <c r="D35" s="185">
        <v>5825477</v>
      </c>
      <c r="E35" s="185">
        <f>+D35-C35</f>
        <v>-1048909</v>
      </c>
      <c r="F35" s="77">
        <f>IF(C35=0,0,+E35/C35)</f>
        <v>-0.15258220879653833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908</v>
      </c>
      <c r="C36" s="79">
        <f>+C33+C34+C35</f>
        <v>13908964</v>
      </c>
      <c r="D36" s="79">
        <f>+D33+D34+D35</f>
        <v>10271353</v>
      </c>
      <c r="E36" s="79">
        <f>+E33+E34+E35</f>
        <v>-3637611</v>
      </c>
      <c r="F36" s="80">
        <f>IF(C36=0,0,+E36/C36)</f>
        <v>-0.26152997448264298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909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910</v>
      </c>
      <c r="C39" s="76">
        <f>+C25</f>
        <v>8559951</v>
      </c>
      <c r="D39" s="76">
        <f>+D25</f>
        <v>6695669</v>
      </c>
      <c r="E39" s="76">
        <f>+D39-C39</f>
        <v>-1864282</v>
      </c>
      <c r="F39" s="77">
        <f>IF(C39=0,0,+E39/C39)</f>
        <v>-0.21779119997299051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911</v>
      </c>
      <c r="C40" s="185">
        <f>+C36</f>
        <v>13908964</v>
      </c>
      <c r="D40" s="185">
        <f>+D36</f>
        <v>10271353</v>
      </c>
      <c r="E40" s="185">
        <f>+D40-C40</f>
        <v>-3637611</v>
      </c>
      <c r="F40" s="77">
        <f>IF(C40=0,0,+E40/C40)</f>
        <v>-0.26152997448264298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912</v>
      </c>
      <c r="C41" s="79">
        <f>+C39+C40</f>
        <v>22468915</v>
      </c>
      <c r="D41" s="79">
        <f>+D39+D40</f>
        <v>16967022</v>
      </c>
      <c r="E41" s="79">
        <f>+E39+E40</f>
        <v>-5501893</v>
      </c>
      <c r="F41" s="80">
        <f>IF(C41=0,0,+E41/C41)</f>
        <v>-0.2448668749692631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913</v>
      </c>
      <c r="C43" s="76">
        <f t="shared" ref="C43:D45" si="0">+C22+C33</f>
        <v>6704558</v>
      </c>
      <c r="D43" s="76">
        <f t="shared" si="0"/>
        <v>4514284</v>
      </c>
      <c r="E43" s="76">
        <f>+D43-C43</f>
        <v>-2190274</v>
      </c>
      <c r="F43" s="77">
        <f>IF(C43=0,0,+E43/C43)</f>
        <v>-0.3266843243059423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914</v>
      </c>
      <c r="C44" s="185">
        <f t="shared" si="0"/>
        <v>5984770</v>
      </c>
      <c r="D44" s="185">
        <f t="shared" si="0"/>
        <v>4348138</v>
      </c>
      <c r="E44" s="185">
        <f>+D44-C44</f>
        <v>-1636632</v>
      </c>
      <c r="F44" s="77">
        <f>IF(C44=0,0,+E44/C44)</f>
        <v>-0.2734661482396149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915</v>
      </c>
      <c r="C45" s="185">
        <f t="shared" si="0"/>
        <v>9779587</v>
      </c>
      <c r="D45" s="185">
        <f t="shared" si="0"/>
        <v>8104600</v>
      </c>
      <c r="E45" s="185">
        <f>+D45-C45</f>
        <v>-1674987</v>
      </c>
      <c r="F45" s="77">
        <f>IF(C45=0,0,+E45/C45)</f>
        <v>-0.17127379714501237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912</v>
      </c>
      <c r="C46" s="79">
        <f>+C43+C44+C45</f>
        <v>22468915</v>
      </c>
      <c r="D46" s="79">
        <f>+D43+D44+D45</f>
        <v>16967022</v>
      </c>
      <c r="E46" s="79">
        <f>+E43+E44+E45</f>
        <v>-5501893</v>
      </c>
      <c r="F46" s="80">
        <f>IF(C46=0,0,+E46/C46)</f>
        <v>-0.2448668749692631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916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FILING&amp;RMIDDLESEX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634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917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918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919</v>
      </c>
      <c r="D10" s="177" t="s">
        <v>919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920</v>
      </c>
      <c r="D11" s="693" t="s">
        <v>920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921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429305698</v>
      </c>
      <c r="D15" s="76">
        <v>414756036</v>
      </c>
      <c r="E15" s="76">
        <f>+D15-C15</f>
        <v>-14549662</v>
      </c>
      <c r="F15" s="77">
        <f>IF(C15=0,0,E15/C15)</f>
        <v>-3.3891145791407597E-2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922</v>
      </c>
      <c r="C17" s="76">
        <v>233646550</v>
      </c>
      <c r="D17" s="76">
        <v>222008275</v>
      </c>
      <c r="E17" s="76">
        <f>+D17-C17</f>
        <v>-11638275</v>
      </c>
      <c r="F17" s="77">
        <f>IF(C17=0,0,E17/C17)</f>
        <v>-4.981145666392249E-2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923</v>
      </c>
      <c r="C19" s="79">
        <f>+C15-C17</f>
        <v>195659148</v>
      </c>
      <c r="D19" s="79">
        <f>+D15-D17</f>
        <v>192747761</v>
      </c>
      <c r="E19" s="79">
        <f>+D19-C19</f>
        <v>-2911387</v>
      </c>
      <c r="F19" s="80">
        <f>IF(C19=0,0,E19/C19)</f>
        <v>-1.487989204573251E-2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924</v>
      </c>
      <c r="C21" s="720">
        <f>IF(C15=0,0,C17/C15)</f>
        <v>0.5442428346245709</v>
      </c>
      <c r="D21" s="720">
        <f>IF(D15=0,0,D17/D15)</f>
        <v>0.53527436789370797</v>
      </c>
      <c r="E21" s="720">
        <f>+D21-C21</f>
        <v>-8.968466730862934E-3</v>
      </c>
      <c r="F21" s="80">
        <f>IF(C21=0,0,E21/C21)</f>
        <v>-1.647879615548738E-2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925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FILING&amp;R&amp;12MIDDLESEX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J33" sqref="J33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926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927</v>
      </c>
      <c r="B6" s="734" t="s">
        <v>928</v>
      </c>
      <c r="C6" s="734" t="s">
        <v>929</v>
      </c>
      <c r="D6" s="734" t="s">
        <v>930</v>
      </c>
      <c r="E6" s="734" t="s">
        <v>931</v>
      </c>
    </row>
    <row r="7" spans="1:6" ht="37.5" customHeight="1" x14ac:dyDescent="0.25">
      <c r="A7" s="735" t="s">
        <v>8</v>
      </c>
      <c r="B7" s="736" t="s">
        <v>9</v>
      </c>
      <c r="C7" s="737" t="s">
        <v>932</v>
      </c>
      <c r="D7" s="737" t="s">
        <v>933</v>
      </c>
      <c r="E7" s="737" t="s">
        <v>934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935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936</v>
      </c>
      <c r="C10" s="744">
        <v>574805058</v>
      </c>
      <c r="D10" s="744">
        <v>579045370</v>
      </c>
      <c r="E10" s="744">
        <v>557817787</v>
      </c>
    </row>
    <row r="11" spans="1:6" ht="26.1" customHeight="1" x14ac:dyDescent="0.25">
      <c r="A11" s="742">
        <v>2</v>
      </c>
      <c r="B11" s="743" t="s">
        <v>937</v>
      </c>
      <c r="C11" s="744">
        <v>641716420</v>
      </c>
      <c r="D11" s="744">
        <v>693180237</v>
      </c>
      <c r="E11" s="744">
        <v>707101172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1216521478</v>
      </c>
      <c r="D12" s="744">
        <f>+D11+D10</f>
        <v>1272225607</v>
      </c>
      <c r="E12" s="744">
        <f>+E11+E10</f>
        <v>1264918959</v>
      </c>
    </row>
    <row r="13" spans="1:6" ht="26.1" customHeight="1" x14ac:dyDescent="0.25">
      <c r="A13" s="742">
        <v>4</v>
      </c>
      <c r="B13" s="743" t="s">
        <v>507</v>
      </c>
      <c r="C13" s="744">
        <v>347171019</v>
      </c>
      <c r="D13" s="744">
        <v>354010685</v>
      </c>
      <c r="E13" s="744">
        <v>357636636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938</v>
      </c>
      <c r="C16" s="744">
        <v>342279038</v>
      </c>
      <c r="D16" s="744">
        <v>345860614</v>
      </c>
      <c r="E16" s="744">
        <v>365751321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939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62546</v>
      </c>
      <c r="D19" s="747">
        <v>59299</v>
      </c>
      <c r="E19" s="747">
        <v>58224</v>
      </c>
    </row>
    <row r="20" spans="1:5" ht="26.1" customHeight="1" x14ac:dyDescent="0.25">
      <c r="A20" s="742">
        <v>2</v>
      </c>
      <c r="B20" s="743" t="s">
        <v>381</v>
      </c>
      <c r="C20" s="748">
        <v>15162</v>
      </c>
      <c r="D20" s="748">
        <v>14296</v>
      </c>
      <c r="E20" s="748">
        <v>13617</v>
      </c>
    </row>
    <row r="21" spans="1:5" ht="26.1" customHeight="1" x14ac:dyDescent="0.25">
      <c r="A21" s="742">
        <v>3</v>
      </c>
      <c r="B21" s="743" t="s">
        <v>940</v>
      </c>
      <c r="C21" s="749">
        <f>IF(C20=0,0,+C19/C20)</f>
        <v>4.1251813744888537</v>
      </c>
      <c r="D21" s="749">
        <f>IF(D20=0,0,+D19/D20)</f>
        <v>4.1479434806939004</v>
      </c>
      <c r="E21" s="749">
        <f>IF(E20=0,0,+E19/E20)</f>
        <v>4.2758316809870012</v>
      </c>
    </row>
    <row r="22" spans="1:5" ht="26.1" customHeight="1" x14ac:dyDescent="0.25">
      <c r="A22" s="742">
        <v>4</v>
      </c>
      <c r="B22" s="743" t="s">
        <v>941</v>
      </c>
      <c r="C22" s="748">
        <f>IF(C10=0,0,C19*(C12/C10))</f>
        <v>132372.79544430869</v>
      </c>
      <c r="D22" s="748">
        <f>IF(D10=0,0,D19*(D12/D10))</f>
        <v>130286.34745752823</v>
      </c>
      <c r="E22" s="748">
        <f>IF(E10=0,0,E19*(E12/E10))</f>
        <v>132029.92659109307</v>
      </c>
    </row>
    <row r="23" spans="1:5" ht="26.1" customHeight="1" x14ac:dyDescent="0.25">
      <c r="A23" s="742">
        <v>0</v>
      </c>
      <c r="B23" s="743" t="s">
        <v>942</v>
      </c>
      <c r="C23" s="748">
        <f>IF(C10=0,0,C20*(C12/C10))</f>
        <v>32088.963715131398</v>
      </c>
      <c r="D23" s="748">
        <f>IF(D10=0,0,D20*(D12/D10))</f>
        <v>31409.865651239037</v>
      </c>
      <c r="E23" s="748">
        <f>IF(E10=0,0,E20*(E12/E10))</f>
        <v>30878.186149885176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943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1.2225429494789604</v>
      </c>
      <c r="D26" s="750">
        <v>1.264778861919418</v>
      </c>
      <c r="E26" s="750">
        <v>1.3254051802893443</v>
      </c>
    </row>
    <row r="27" spans="1:5" ht="26.1" customHeight="1" x14ac:dyDescent="0.25">
      <c r="A27" s="742">
        <v>2</v>
      </c>
      <c r="B27" s="743" t="s">
        <v>944</v>
      </c>
      <c r="C27" s="748">
        <f>C19*C26</f>
        <v>76465.171318111054</v>
      </c>
      <c r="D27" s="748">
        <f>D19*D26</f>
        <v>75000.121732959567</v>
      </c>
      <c r="E27" s="748">
        <f>E19*E26</f>
        <v>77170.391217166776</v>
      </c>
    </row>
    <row r="28" spans="1:5" ht="26.1" customHeight="1" x14ac:dyDescent="0.25">
      <c r="A28" s="742">
        <v>3</v>
      </c>
      <c r="B28" s="743" t="s">
        <v>945</v>
      </c>
      <c r="C28" s="748">
        <f>C20*C26</f>
        <v>18536.196199999998</v>
      </c>
      <c r="D28" s="748">
        <f>D20*D26</f>
        <v>18081.278610000001</v>
      </c>
      <c r="E28" s="748">
        <f>E20*E26</f>
        <v>18048.04234</v>
      </c>
    </row>
    <row r="29" spans="1:5" ht="26.1" customHeight="1" x14ac:dyDescent="0.25">
      <c r="A29" s="742">
        <v>4</v>
      </c>
      <c r="B29" s="743" t="s">
        <v>946</v>
      </c>
      <c r="C29" s="748">
        <f>C22*C26</f>
        <v>161831.42777326025</v>
      </c>
      <c r="D29" s="748">
        <f>D22*D26</f>
        <v>164783.41826097041</v>
      </c>
      <c r="E29" s="748">
        <f>E22*E26</f>
        <v>174993.14865705659</v>
      </c>
    </row>
    <row r="30" spans="1:5" ht="26.1" customHeight="1" x14ac:dyDescent="0.25">
      <c r="A30" s="742">
        <v>5</v>
      </c>
      <c r="B30" s="743" t="s">
        <v>947</v>
      </c>
      <c r="C30" s="748">
        <f>C23*C26</f>
        <v>39230.136346020074</v>
      </c>
      <c r="D30" s="748">
        <f>D23*D26</f>
        <v>39726.53413141593</v>
      </c>
      <c r="E30" s="748">
        <f>E23*E26</f>
        <v>40926.107880996497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948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949</v>
      </c>
      <c r="C33" s="744">
        <f>IF(C19=0,0,C12/C19)</f>
        <v>19450.028427077672</v>
      </c>
      <c r="D33" s="744">
        <f>IF(D19=0,0,D12/D19)</f>
        <v>21454.419248216665</v>
      </c>
      <c r="E33" s="744">
        <f>IF(E19=0,0,E12/E19)</f>
        <v>21725.043950948064</v>
      </c>
    </row>
    <row r="34" spans="1:5" ht="26.1" customHeight="1" x14ac:dyDescent="0.25">
      <c r="A34" s="742">
        <v>2</v>
      </c>
      <c r="B34" s="743" t="s">
        <v>950</v>
      </c>
      <c r="C34" s="744">
        <f>IF(C20=0,0,C12/C20)</f>
        <v>80234.895000659541</v>
      </c>
      <c r="D34" s="744">
        <f>IF(D20=0,0,D12/D20)</f>
        <v>88991.718452714049</v>
      </c>
      <c r="E34" s="744">
        <f>IF(E20=0,0,E12/E20)</f>
        <v>92892.631196298738</v>
      </c>
    </row>
    <row r="35" spans="1:5" ht="26.1" customHeight="1" x14ac:dyDescent="0.25">
      <c r="A35" s="742">
        <v>3</v>
      </c>
      <c r="B35" s="743" t="s">
        <v>951</v>
      </c>
      <c r="C35" s="744">
        <f>IF(C22=0,0,C12/C22)</f>
        <v>9190.1170018866123</v>
      </c>
      <c r="D35" s="744">
        <f>IF(D22=0,0,D12/D22)</f>
        <v>9764.842071535777</v>
      </c>
      <c r="E35" s="744">
        <f>IF(E22=0,0,E12/E22)</f>
        <v>9580.5473172574893</v>
      </c>
    </row>
    <row r="36" spans="1:5" ht="26.1" customHeight="1" x14ac:dyDescent="0.25">
      <c r="A36" s="742">
        <v>4</v>
      </c>
      <c r="B36" s="743" t="s">
        <v>952</v>
      </c>
      <c r="C36" s="744">
        <f>IF(C23=0,0,C12/C23)</f>
        <v>37910.899485556001</v>
      </c>
      <c r="D36" s="744">
        <f>IF(D23=0,0,D12/D23)</f>
        <v>40504.013010632349</v>
      </c>
      <c r="E36" s="744">
        <f>IF(E23=0,0,E12/E23)</f>
        <v>40964.807740324599</v>
      </c>
    </row>
    <row r="37" spans="1:5" ht="26.1" customHeight="1" x14ac:dyDescent="0.25">
      <c r="A37" s="742">
        <v>5</v>
      </c>
      <c r="B37" s="743" t="s">
        <v>953</v>
      </c>
      <c r="C37" s="744">
        <f>IF(C29=0,0,C12/C29)</f>
        <v>7517.2140216451107</v>
      </c>
      <c r="D37" s="744">
        <f>IF(D29=0,0,D12/D29)</f>
        <v>7720.5924019924978</v>
      </c>
      <c r="E37" s="744">
        <f>IF(E29=0,0,E12/E29)</f>
        <v>7228.3913325025605</v>
      </c>
    </row>
    <row r="38" spans="1:5" ht="26.1" customHeight="1" x14ac:dyDescent="0.25">
      <c r="A38" s="742">
        <v>6</v>
      </c>
      <c r="B38" s="743" t="s">
        <v>954</v>
      </c>
      <c r="C38" s="744">
        <f>IF(C30=0,0,C12/C30)</f>
        <v>31009.871270136868</v>
      </c>
      <c r="D38" s="744">
        <f>IF(D30=0,0,D12/D30)</f>
        <v>32024.580920939639</v>
      </c>
      <c r="E38" s="744">
        <f>IF(E30=0,0,E12/E30)</f>
        <v>30907.38466208629</v>
      </c>
    </row>
    <row r="39" spans="1:5" ht="26.1" customHeight="1" x14ac:dyDescent="0.25">
      <c r="A39" s="742">
        <v>7</v>
      </c>
      <c r="B39" s="743" t="s">
        <v>955</v>
      </c>
      <c r="C39" s="744">
        <f>IF(C22=0,0,C10/C22)</f>
        <v>4342.3201577836999</v>
      </c>
      <c r="D39" s="744">
        <f>IF(D22=0,0,D10/D22)</f>
        <v>4444.4055827780558</v>
      </c>
      <c r="E39" s="744">
        <f>IF(E22=0,0,E10/E22)</f>
        <v>4224.9344629843281</v>
      </c>
    </row>
    <row r="40" spans="1:5" ht="26.1" customHeight="1" x14ac:dyDescent="0.25">
      <c r="A40" s="742">
        <v>8</v>
      </c>
      <c r="B40" s="743" t="s">
        <v>956</v>
      </c>
      <c r="C40" s="744">
        <f>IF(C23=0,0,C10/C23)</f>
        <v>17912.858236956821</v>
      </c>
      <c r="D40" s="744">
        <f>IF(D23=0,0,D10/D23)</f>
        <v>18435.14316264381</v>
      </c>
      <c r="E40" s="744">
        <f>IF(E23=0,0,E10/E23)</f>
        <v>18065.108626922192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957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958</v>
      </c>
      <c r="C43" s="744">
        <f>IF(C19=0,0,C13/C19)</f>
        <v>5550.6510248457134</v>
      </c>
      <c r="D43" s="744">
        <f>IF(D19=0,0,D13/D19)</f>
        <v>5969.9267272635288</v>
      </c>
      <c r="E43" s="744">
        <f>IF(E19=0,0,E13/E19)</f>
        <v>6142.4264220939822</v>
      </c>
    </row>
    <row r="44" spans="1:5" ht="26.1" customHeight="1" x14ac:dyDescent="0.25">
      <c r="A44" s="742">
        <v>2</v>
      </c>
      <c r="B44" s="743" t="s">
        <v>959</v>
      </c>
      <c r="C44" s="744">
        <f>IF(C20=0,0,C13/C20)</f>
        <v>22897.442223981005</v>
      </c>
      <c r="D44" s="744">
        <f>IF(D20=0,0,D13/D20)</f>
        <v>24762.918648573028</v>
      </c>
      <c r="E44" s="744">
        <f>IF(E20=0,0,E13/E20)</f>
        <v>26263.981493721083</v>
      </c>
    </row>
    <row r="45" spans="1:5" ht="26.1" customHeight="1" x14ac:dyDescent="0.25">
      <c r="A45" s="742">
        <v>3</v>
      </c>
      <c r="B45" s="743" t="s">
        <v>960</v>
      </c>
      <c r="C45" s="744">
        <f>IF(C22=0,0,C13/C22)</f>
        <v>2622.6764935704655</v>
      </c>
      <c r="D45" s="744">
        <f>IF(D22=0,0,D13/D22)</f>
        <v>2717.1740701028034</v>
      </c>
      <c r="E45" s="744">
        <f>IF(E22=0,0,E13/E22)</f>
        <v>2708.7543349745883</v>
      </c>
    </row>
    <row r="46" spans="1:5" ht="26.1" customHeight="1" x14ac:dyDescent="0.25">
      <c r="A46" s="742">
        <v>4</v>
      </c>
      <c r="B46" s="743" t="s">
        <v>961</v>
      </c>
      <c r="C46" s="744">
        <f>IF(C23=0,0,C13/C23)</f>
        <v>10819.016222586619</v>
      </c>
      <c r="D46" s="744">
        <f>IF(D23=0,0,D13/D23)</f>
        <v>11270.684469993434</v>
      </c>
      <c r="E46" s="744">
        <f>IF(E23=0,0,E13/E23)</f>
        <v>11582.177601495219</v>
      </c>
    </row>
    <row r="47" spans="1:5" ht="26.1" customHeight="1" x14ac:dyDescent="0.25">
      <c r="A47" s="742">
        <v>5</v>
      </c>
      <c r="B47" s="743" t="s">
        <v>962</v>
      </c>
      <c r="C47" s="744">
        <f>IF(C29=0,0,C13/C29)</f>
        <v>2145.2632765893686</v>
      </c>
      <c r="D47" s="744">
        <f>IF(D29=0,0,D13/D29)</f>
        <v>2148.3392487910828</v>
      </c>
      <c r="E47" s="744">
        <f>IF(E29=0,0,E13/E29)</f>
        <v>2043.7179326424921</v>
      </c>
    </row>
    <row r="48" spans="1:5" ht="26.1" customHeight="1" x14ac:dyDescent="0.25">
      <c r="A48" s="742">
        <v>6</v>
      </c>
      <c r="B48" s="743" t="s">
        <v>963</v>
      </c>
      <c r="C48" s="744">
        <f>IF(C30=0,0,C13/C30)</f>
        <v>8849.6001119613938</v>
      </c>
      <c r="D48" s="744">
        <f>IF(D30=0,0,D13/D30)</f>
        <v>8911.1897813418036</v>
      </c>
      <c r="E48" s="744">
        <f>IF(E30=0,0,E13/E30)</f>
        <v>8738.5938833940254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964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965</v>
      </c>
      <c r="C51" s="744">
        <f>IF(C19=0,0,C16/C19)</f>
        <v>5472.4368944456883</v>
      </c>
      <c r="D51" s="744">
        <f>IF(D19=0,0,D16/D19)</f>
        <v>5832.4864500244521</v>
      </c>
      <c r="E51" s="744">
        <f>IF(E19=0,0,E16/E19)</f>
        <v>6281.7965272052761</v>
      </c>
    </row>
    <row r="52" spans="1:6" ht="26.1" customHeight="1" x14ac:dyDescent="0.25">
      <c r="A52" s="742">
        <v>2</v>
      </c>
      <c r="B52" s="743" t="s">
        <v>966</v>
      </c>
      <c r="C52" s="744">
        <f>IF(C20=0,0,C16/C20)</f>
        <v>22574.794750032976</v>
      </c>
      <c r="D52" s="744">
        <f>IF(D20=0,0,D16/D20)</f>
        <v>24192.824146614439</v>
      </c>
      <c r="E52" s="744">
        <f>IF(E20=0,0,E16/E20)</f>
        <v>26859.904604538446</v>
      </c>
    </row>
    <row r="53" spans="1:6" ht="26.1" customHeight="1" x14ac:dyDescent="0.25">
      <c r="A53" s="742">
        <v>3</v>
      </c>
      <c r="B53" s="743" t="s">
        <v>967</v>
      </c>
      <c r="C53" s="744">
        <f>IF(C22=0,0,C16/C22)</f>
        <v>2585.7204031322444</v>
      </c>
      <c r="D53" s="744">
        <f>IF(D22=0,0,D16/D22)</f>
        <v>2654.6190045948319</v>
      </c>
      <c r="E53" s="744">
        <f>IF(E22=0,0,E16/E22)</f>
        <v>2770.2152871201711</v>
      </c>
    </row>
    <row r="54" spans="1:6" ht="26.1" customHeight="1" x14ac:dyDescent="0.25">
      <c r="A54" s="742">
        <v>4</v>
      </c>
      <c r="B54" s="743" t="s">
        <v>968</v>
      </c>
      <c r="C54" s="744">
        <f>IF(C23=0,0,C16/C23)</f>
        <v>10666.565646636946</v>
      </c>
      <c r="D54" s="744">
        <f>IF(D23=0,0,D16/D23)</f>
        <v>11011.209593835263</v>
      </c>
      <c r="E54" s="744">
        <f>IF(E23=0,0,E16/E23)</f>
        <v>11844.97428782293</v>
      </c>
    </row>
    <row r="55" spans="1:6" ht="26.1" customHeight="1" x14ac:dyDescent="0.25">
      <c r="A55" s="742">
        <v>5</v>
      </c>
      <c r="B55" s="743" t="s">
        <v>969</v>
      </c>
      <c r="C55" s="744">
        <f>IF(C29=0,0,C16/C29)</f>
        <v>2115.0344077762347</v>
      </c>
      <c r="D55" s="744">
        <f>IF(D29=0,0,D16/D29)</f>
        <v>2098.8799580079981</v>
      </c>
      <c r="E55" s="744">
        <f>IF(E29=0,0,E16/E29)</f>
        <v>2090.089376680583</v>
      </c>
    </row>
    <row r="56" spans="1:6" ht="26.1" customHeight="1" x14ac:dyDescent="0.25">
      <c r="A56" s="742">
        <v>6</v>
      </c>
      <c r="B56" s="743" t="s">
        <v>970</v>
      </c>
      <c r="C56" s="744">
        <f>IF(C30=0,0,C16/C30)</f>
        <v>8724.9005453615882</v>
      </c>
      <c r="D56" s="744">
        <f>IF(D30=0,0,D16/D30)</f>
        <v>8706.035438578363</v>
      </c>
      <c r="E56" s="744">
        <f>IF(E30=0,0,E16/E30)</f>
        <v>8936.8703729052104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971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972</v>
      </c>
      <c r="C59" s="752">
        <v>48997371</v>
      </c>
      <c r="D59" s="752">
        <v>45660781</v>
      </c>
      <c r="E59" s="752">
        <v>48109273</v>
      </c>
    </row>
    <row r="60" spans="1:6" ht="26.1" customHeight="1" x14ac:dyDescent="0.25">
      <c r="A60" s="742">
        <v>2</v>
      </c>
      <c r="B60" s="743" t="s">
        <v>973</v>
      </c>
      <c r="C60" s="752">
        <v>11061300</v>
      </c>
      <c r="D60" s="752">
        <v>10194297</v>
      </c>
      <c r="E60" s="752">
        <v>12181092</v>
      </c>
    </row>
    <row r="61" spans="1:6" ht="26.1" customHeight="1" x14ac:dyDescent="0.25">
      <c r="A61" s="753">
        <v>3</v>
      </c>
      <c r="B61" s="754" t="s">
        <v>974</v>
      </c>
      <c r="C61" s="755">
        <f>C59+C60</f>
        <v>60058671</v>
      </c>
      <c r="D61" s="755">
        <f>D59+D60</f>
        <v>55855078</v>
      </c>
      <c r="E61" s="755">
        <f>E59+E60</f>
        <v>60290365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975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976</v>
      </c>
      <c r="C64" s="744">
        <v>27684896</v>
      </c>
      <c r="D64" s="744">
        <v>28083459</v>
      </c>
      <c r="E64" s="752">
        <v>29654826</v>
      </c>
      <c r="F64" s="756"/>
    </row>
    <row r="65" spans="1:6" ht="26.1" customHeight="1" x14ac:dyDescent="0.25">
      <c r="A65" s="742">
        <v>2</v>
      </c>
      <c r="B65" s="743" t="s">
        <v>977</v>
      </c>
      <c r="C65" s="752">
        <v>6249946</v>
      </c>
      <c r="D65" s="752">
        <v>6269956</v>
      </c>
      <c r="E65" s="752">
        <v>7508493</v>
      </c>
      <c r="F65" s="756"/>
    </row>
    <row r="66" spans="1:6" ht="26.1" customHeight="1" x14ac:dyDescent="0.25">
      <c r="A66" s="753">
        <v>3</v>
      </c>
      <c r="B66" s="754" t="s">
        <v>978</v>
      </c>
      <c r="C66" s="757">
        <f>C64+C65</f>
        <v>33934842</v>
      </c>
      <c r="D66" s="757">
        <f>D64+D65</f>
        <v>34353415</v>
      </c>
      <c r="E66" s="757">
        <f>E64+E65</f>
        <v>37163319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979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980</v>
      </c>
      <c r="C69" s="752">
        <v>87711038</v>
      </c>
      <c r="D69" s="752">
        <v>91101334</v>
      </c>
      <c r="E69" s="752">
        <v>90314138</v>
      </c>
    </row>
    <row r="70" spans="1:6" ht="26.1" customHeight="1" x14ac:dyDescent="0.25">
      <c r="A70" s="742">
        <v>2</v>
      </c>
      <c r="B70" s="743" t="s">
        <v>981</v>
      </c>
      <c r="C70" s="752">
        <v>19801024</v>
      </c>
      <c r="D70" s="752">
        <v>20339427</v>
      </c>
      <c r="E70" s="752">
        <v>22867210</v>
      </c>
    </row>
    <row r="71" spans="1:6" ht="26.1" customHeight="1" x14ac:dyDescent="0.25">
      <c r="A71" s="753">
        <v>3</v>
      </c>
      <c r="B71" s="754" t="s">
        <v>982</v>
      </c>
      <c r="C71" s="755">
        <f>C69+C70</f>
        <v>107512062</v>
      </c>
      <c r="D71" s="755">
        <f>D69+D70</f>
        <v>111440761</v>
      </c>
      <c r="E71" s="755">
        <f>E69+E70</f>
        <v>113181348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983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984</v>
      </c>
      <c r="C75" s="744">
        <f t="shared" ref="C75:E76" si="0">+C59+C64+C69</f>
        <v>164393305</v>
      </c>
      <c r="D75" s="744">
        <f t="shared" si="0"/>
        <v>164845574</v>
      </c>
      <c r="E75" s="744">
        <f t="shared" si="0"/>
        <v>168078237</v>
      </c>
    </row>
    <row r="76" spans="1:6" ht="26.1" customHeight="1" x14ac:dyDescent="0.25">
      <c r="A76" s="742">
        <v>2</v>
      </c>
      <c r="B76" s="743" t="s">
        <v>985</v>
      </c>
      <c r="C76" s="744">
        <f t="shared" si="0"/>
        <v>37112270</v>
      </c>
      <c r="D76" s="744">
        <f t="shared" si="0"/>
        <v>36803680</v>
      </c>
      <c r="E76" s="744">
        <f t="shared" si="0"/>
        <v>42556795</v>
      </c>
    </row>
    <row r="77" spans="1:6" ht="26.1" customHeight="1" x14ac:dyDescent="0.25">
      <c r="A77" s="753">
        <v>3</v>
      </c>
      <c r="B77" s="754" t="s">
        <v>983</v>
      </c>
      <c r="C77" s="757">
        <f>C75+C76</f>
        <v>201505575</v>
      </c>
      <c r="D77" s="757">
        <f>D75+D76</f>
        <v>201649254</v>
      </c>
      <c r="E77" s="757">
        <f>E75+E76</f>
        <v>210635032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986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534</v>
      </c>
      <c r="D80" s="749">
        <v>520.4</v>
      </c>
      <c r="E80" s="749">
        <v>540.20000000000005</v>
      </c>
    </row>
    <row r="81" spans="1:5" ht="26.1" customHeight="1" x14ac:dyDescent="0.25">
      <c r="A81" s="742">
        <v>2</v>
      </c>
      <c r="B81" s="743" t="s">
        <v>617</v>
      </c>
      <c r="C81" s="749">
        <v>135</v>
      </c>
      <c r="D81" s="749">
        <v>134.5</v>
      </c>
      <c r="E81" s="749">
        <v>137.30000000000001</v>
      </c>
    </row>
    <row r="82" spans="1:5" ht="26.1" customHeight="1" x14ac:dyDescent="0.25">
      <c r="A82" s="742">
        <v>3</v>
      </c>
      <c r="B82" s="743" t="s">
        <v>987</v>
      </c>
      <c r="C82" s="749">
        <v>1450</v>
      </c>
      <c r="D82" s="749">
        <v>1426.3</v>
      </c>
      <c r="E82" s="749">
        <v>1429.7</v>
      </c>
    </row>
    <row r="83" spans="1:5" ht="26.1" customHeight="1" x14ac:dyDescent="0.25">
      <c r="A83" s="753">
        <v>4</v>
      </c>
      <c r="B83" s="754" t="s">
        <v>986</v>
      </c>
      <c r="C83" s="759">
        <f>C80+C81+C82</f>
        <v>2119</v>
      </c>
      <c r="D83" s="759">
        <f>D80+D81+D82</f>
        <v>2081.1999999999998</v>
      </c>
      <c r="E83" s="759">
        <f>E80+E81+E82</f>
        <v>2107.1999999999998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988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989</v>
      </c>
      <c r="C86" s="752">
        <f>IF(C80=0,0,C59/C80)</f>
        <v>91755.376404494382</v>
      </c>
      <c r="D86" s="752">
        <f>IF(D80=0,0,D59/D80)</f>
        <v>87741.700614911606</v>
      </c>
      <c r="E86" s="752">
        <f>IF(E80=0,0,E59/E80)</f>
        <v>89058.261754905587</v>
      </c>
    </row>
    <row r="87" spans="1:5" ht="26.1" customHeight="1" x14ac:dyDescent="0.25">
      <c r="A87" s="742">
        <v>2</v>
      </c>
      <c r="B87" s="743" t="s">
        <v>990</v>
      </c>
      <c r="C87" s="752">
        <f>IF(C80=0,0,C60/C80)</f>
        <v>20714.044943820223</v>
      </c>
      <c r="D87" s="752">
        <f>IF(D80=0,0,D60/D80)</f>
        <v>19589.34857801691</v>
      </c>
      <c r="E87" s="752">
        <f>IF(E80=0,0,E60/E80)</f>
        <v>22549.22621251388</v>
      </c>
    </row>
    <row r="88" spans="1:5" ht="26.1" customHeight="1" x14ac:dyDescent="0.25">
      <c r="A88" s="753">
        <v>3</v>
      </c>
      <c r="B88" s="754" t="s">
        <v>991</v>
      </c>
      <c r="C88" s="755">
        <f>+C86+C87</f>
        <v>112469.4213483146</v>
      </c>
      <c r="D88" s="755">
        <f>+D86+D87</f>
        <v>107331.04919292852</v>
      </c>
      <c r="E88" s="755">
        <f>+E86+E87</f>
        <v>111607.48796741947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992</v>
      </c>
    </row>
    <row r="91" spans="1:5" ht="26.1" customHeight="1" x14ac:dyDescent="0.25">
      <c r="A91" s="742">
        <v>1</v>
      </c>
      <c r="B91" s="743" t="s">
        <v>993</v>
      </c>
      <c r="C91" s="744">
        <f>IF(C81=0,0,C64/C81)</f>
        <v>205073.30370370371</v>
      </c>
      <c r="D91" s="744">
        <f>IF(D81=0,0,D64/D81)</f>
        <v>208798.95167286246</v>
      </c>
      <c r="E91" s="744">
        <f>IF(E81=0,0,E64/E81)</f>
        <v>215985.62272396212</v>
      </c>
    </row>
    <row r="92" spans="1:5" ht="26.1" customHeight="1" x14ac:dyDescent="0.25">
      <c r="A92" s="742">
        <v>2</v>
      </c>
      <c r="B92" s="743" t="s">
        <v>994</v>
      </c>
      <c r="C92" s="744">
        <f>IF(C81=0,0,C65/C81)</f>
        <v>46295.896296296298</v>
      </c>
      <c r="D92" s="744">
        <f>IF(D81=0,0,D65/D81)</f>
        <v>46616.773234200744</v>
      </c>
      <c r="E92" s="744">
        <f>IF(E81=0,0,E65/E81)</f>
        <v>54686.766205389657</v>
      </c>
    </row>
    <row r="93" spans="1:5" ht="26.1" customHeight="1" x14ac:dyDescent="0.25">
      <c r="A93" s="753">
        <v>3</v>
      </c>
      <c r="B93" s="754" t="s">
        <v>995</v>
      </c>
      <c r="C93" s="757">
        <f>+C91+C92</f>
        <v>251369.2</v>
      </c>
      <c r="D93" s="757">
        <f>+D91+D92</f>
        <v>255415.72490706321</v>
      </c>
      <c r="E93" s="757">
        <f>+E91+E92</f>
        <v>270672.38892935176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996</v>
      </c>
      <c r="B95" s="745" t="s">
        <v>997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998</v>
      </c>
      <c r="C96" s="752">
        <f>IF(C82=0,0,C69/C82)</f>
        <v>60490.371034482756</v>
      </c>
      <c r="D96" s="752">
        <f>IF(D82=0,0,D69/D82)</f>
        <v>63872.491060786655</v>
      </c>
      <c r="E96" s="752">
        <f>IF(E82=0,0,E69/E82)</f>
        <v>63169.992306078195</v>
      </c>
    </row>
    <row r="97" spans="1:5" ht="26.1" customHeight="1" x14ac:dyDescent="0.25">
      <c r="A97" s="742">
        <v>2</v>
      </c>
      <c r="B97" s="743" t="s">
        <v>999</v>
      </c>
      <c r="C97" s="752">
        <f>IF(C82=0,0,C70/C82)</f>
        <v>13655.878620689655</v>
      </c>
      <c r="D97" s="752">
        <f>IF(D82=0,0,D70/D82)</f>
        <v>14260.272733646498</v>
      </c>
      <c r="E97" s="752">
        <f>IF(E82=0,0,E70/E82)</f>
        <v>15994.411414982163</v>
      </c>
    </row>
    <row r="98" spans="1:5" ht="26.1" customHeight="1" x14ac:dyDescent="0.25">
      <c r="A98" s="753">
        <v>3</v>
      </c>
      <c r="B98" s="754" t="s">
        <v>1000</v>
      </c>
      <c r="C98" s="757">
        <f>+C96+C97</f>
        <v>74146.249655172403</v>
      </c>
      <c r="D98" s="757">
        <f>+D96+D97</f>
        <v>78132.763794433151</v>
      </c>
      <c r="E98" s="757">
        <f>+E96+E97</f>
        <v>79164.403721060356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1001</v>
      </c>
      <c r="B100" s="745" t="s">
        <v>1002</v>
      </c>
    </row>
    <row r="101" spans="1:5" ht="26.1" customHeight="1" x14ac:dyDescent="0.25">
      <c r="A101" s="742">
        <v>1</v>
      </c>
      <c r="B101" s="743" t="s">
        <v>1003</v>
      </c>
      <c r="C101" s="744">
        <f>IF(C83=0,0,C75/C83)</f>
        <v>77580.606418121752</v>
      </c>
      <c r="D101" s="744">
        <f>IF(D83=0,0,D75/D83)</f>
        <v>79206.983471074389</v>
      </c>
      <c r="E101" s="744">
        <f>IF(E83=0,0,E75/E83)</f>
        <v>79763.779897494314</v>
      </c>
    </row>
    <row r="102" spans="1:5" ht="26.1" customHeight="1" x14ac:dyDescent="0.25">
      <c r="A102" s="742">
        <v>2</v>
      </c>
      <c r="B102" s="743" t="s">
        <v>1004</v>
      </c>
      <c r="C102" s="761">
        <f>IF(C83=0,0,C76/C83)</f>
        <v>17514.049079754601</v>
      </c>
      <c r="D102" s="761">
        <f>IF(D83=0,0,D76/D83)</f>
        <v>17683.874687680185</v>
      </c>
      <c r="E102" s="761">
        <f>IF(E83=0,0,E76/E83)</f>
        <v>20195.897399392561</v>
      </c>
    </row>
    <row r="103" spans="1:5" ht="26.1" customHeight="1" x14ac:dyDescent="0.25">
      <c r="A103" s="753">
        <v>3</v>
      </c>
      <c r="B103" s="754" t="s">
        <v>1002</v>
      </c>
      <c r="C103" s="757">
        <f>+C101+C102</f>
        <v>95094.655497876345</v>
      </c>
      <c r="D103" s="757">
        <f>+D101+D102</f>
        <v>96890.858158754578</v>
      </c>
      <c r="E103" s="757">
        <f>+E101+E102</f>
        <v>99959.677296886875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1005</v>
      </c>
      <c r="B107" s="736" t="s">
        <v>1006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1007</v>
      </c>
      <c r="C108" s="744">
        <f>IF(C19=0,0,C77/C19)</f>
        <v>3221.7180155405622</v>
      </c>
      <c r="D108" s="744">
        <f>IF(D19=0,0,D77/D19)</f>
        <v>3400.5506669589709</v>
      </c>
      <c r="E108" s="744">
        <f>IF(E19=0,0,E77/E19)</f>
        <v>3617.6668040670515</v>
      </c>
    </row>
    <row r="109" spans="1:5" ht="26.1" customHeight="1" x14ac:dyDescent="0.25">
      <c r="A109" s="742">
        <v>2</v>
      </c>
      <c r="B109" s="743" t="s">
        <v>1008</v>
      </c>
      <c r="C109" s="744">
        <f>IF(C20=0,0,C77/C20)</f>
        <v>13290.171151563118</v>
      </c>
      <c r="D109" s="744">
        <f>IF(D20=0,0,D77/D20)</f>
        <v>14105.291969781758</v>
      </c>
      <c r="E109" s="744">
        <f>IF(E20=0,0,E77/E20)</f>
        <v>15468.534332084893</v>
      </c>
    </row>
    <row r="110" spans="1:5" ht="26.1" customHeight="1" x14ac:dyDescent="0.25">
      <c r="A110" s="742">
        <v>3</v>
      </c>
      <c r="B110" s="743" t="s">
        <v>1009</v>
      </c>
      <c r="C110" s="744">
        <f>IF(C22=0,0,C77/C22)</f>
        <v>1522.2582126761579</v>
      </c>
      <c r="D110" s="744">
        <f>IF(D22=0,0,D77/D22)</f>
        <v>1547.7389452930609</v>
      </c>
      <c r="E110" s="744">
        <f>IF(E22=0,0,E77/E22)</f>
        <v>1595.3582451980985</v>
      </c>
    </row>
    <row r="111" spans="1:5" ht="26.1" customHeight="1" x14ac:dyDescent="0.25">
      <c r="A111" s="742">
        <v>4</v>
      </c>
      <c r="B111" s="743" t="s">
        <v>1010</v>
      </c>
      <c r="C111" s="744">
        <f>IF(C23=0,0,C77/C23)</f>
        <v>6279.5912260943787</v>
      </c>
      <c r="D111" s="744">
        <f>IF(D23=0,0,D77/D23)</f>
        <v>6419.933667944405</v>
      </c>
      <c r="E111" s="744">
        <f>IF(E23=0,0,E77/E23)</f>
        <v>6821.4833273418581</v>
      </c>
    </row>
    <row r="112" spans="1:5" ht="26.1" customHeight="1" x14ac:dyDescent="0.25">
      <c r="A112" s="742">
        <v>5</v>
      </c>
      <c r="B112" s="743" t="s">
        <v>1011</v>
      </c>
      <c r="C112" s="744">
        <f>IF(C29=0,0,C77/C29)</f>
        <v>1245.1572464795074</v>
      </c>
      <c r="D112" s="744">
        <f>IF(D29=0,0,D77/D29)</f>
        <v>1223.7229699935251</v>
      </c>
      <c r="E112" s="744">
        <f>IF(E29=0,0,E77/E29)</f>
        <v>1203.6758788356492</v>
      </c>
    </row>
    <row r="113" spans="1:7" ht="25.5" customHeight="1" x14ac:dyDescent="0.25">
      <c r="A113" s="742">
        <v>6</v>
      </c>
      <c r="B113" s="743" t="s">
        <v>1012</v>
      </c>
      <c r="C113" s="744">
        <f>IF(C30=0,0,C77/C30)</f>
        <v>5136.4994814870915</v>
      </c>
      <c r="D113" s="744">
        <f>IF(D30=0,0,D77/D30)</f>
        <v>5075.9337155600197</v>
      </c>
      <c r="E113" s="744">
        <f>IF(E30=0,0,E77/E30)</f>
        <v>5146.7154563653394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FILING&amp;R&amp;"Arial,Bold"&amp;12MIDDLESEX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1272225607</v>
      </c>
      <c r="D12" s="76">
        <v>1264918959</v>
      </c>
      <c r="E12" s="76">
        <f t="shared" ref="E12:E21" si="0">D12-C12</f>
        <v>-7306648</v>
      </c>
      <c r="F12" s="77">
        <f t="shared" ref="F12:F21" si="1">IF(C12=0,0,E12/C12)</f>
        <v>-5.7432014886334539E-3</v>
      </c>
    </row>
    <row r="13" spans="1:8" ht="23.1" customHeight="1" x14ac:dyDescent="0.2">
      <c r="A13" s="74">
        <v>2</v>
      </c>
      <c r="B13" s="75" t="s">
        <v>72</v>
      </c>
      <c r="C13" s="76">
        <v>895746007</v>
      </c>
      <c r="D13" s="76">
        <v>890315301</v>
      </c>
      <c r="E13" s="76">
        <f t="shared" si="0"/>
        <v>-5430706</v>
      </c>
      <c r="F13" s="77">
        <f t="shared" si="1"/>
        <v>-6.062774444497189E-3</v>
      </c>
    </row>
    <row r="14" spans="1:8" ht="23.1" customHeight="1" x14ac:dyDescent="0.2">
      <c r="A14" s="74">
        <v>3</v>
      </c>
      <c r="B14" s="75" t="s">
        <v>73</v>
      </c>
      <c r="C14" s="76">
        <v>8559951</v>
      </c>
      <c r="D14" s="76">
        <v>6695669</v>
      </c>
      <c r="E14" s="76">
        <f t="shared" si="0"/>
        <v>-1864282</v>
      </c>
      <c r="F14" s="77">
        <f t="shared" si="1"/>
        <v>-0.21779119997299051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367919649</v>
      </c>
      <c r="D16" s="79">
        <f>D12-D13-D14-D15</f>
        <v>367907989</v>
      </c>
      <c r="E16" s="79">
        <f t="shared" si="0"/>
        <v>-11660</v>
      </c>
      <c r="F16" s="80">
        <f t="shared" si="1"/>
        <v>-3.1691702336887147E-5</v>
      </c>
    </row>
    <row r="17" spans="1:7" ht="23.1" customHeight="1" x14ac:dyDescent="0.2">
      <c r="A17" s="74">
        <v>5</v>
      </c>
      <c r="B17" s="75" t="s">
        <v>76</v>
      </c>
      <c r="C17" s="76">
        <v>13908964</v>
      </c>
      <c r="D17" s="76">
        <v>10271353</v>
      </c>
      <c r="E17" s="76">
        <f t="shared" si="0"/>
        <v>-3637611</v>
      </c>
      <c r="F17" s="77">
        <f t="shared" si="1"/>
        <v>-0.26152997448264298</v>
      </c>
      <c r="G17" s="65"/>
    </row>
    <row r="18" spans="1:7" ht="31.5" customHeight="1" x14ac:dyDescent="0.25">
      <c r="A18" s="71"/>
      <c r="B18" s="81" t="s">
        <v>77</v>
      </c>
      <c r="C18" s="79">
        <f>C16-C17</f>
        <v>354010685</v>
      </c>
      <c r="D18" s="79">
        <f>D16-D17</f>
        <v>357636636</v>
      </c>
      <c r="E18" s="79">
        <f t="shared" si="0"/>
        <v>3625951</v>
      </c>
      <c r="F18" s="80">
        <f t="shared" si="1"/>
        <v>1.0242490279636616E-2</v>
      </c>
    </row>
    <row r="19" spans="1:7" ht="23.1" customHeight="1" x14ac:dyDescent="0.2">
      <c r="A19" s="74">
        <v>6</v>
      </c>
      <c r="B19" s="75" t="s">
        <v>78</v>
      </c>
      <c r="C19" s="76">
        <v>12557059</v>
      </c>
      <c r="D19" s="76">
        <v>13366834</v>
      </c>
      <c r="E19" s="76">
        <f t="shared" si="0"/>
        <v>809775</v>
      </c>
      <c r="F19" s="77">
        <f t="shared" si="1"/>
        <v>6.4487632016382176E-2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366567744</v>
      </c>
      <c r="D21" s="79">
        <f>SUM(D18:D20)</f>
        <v>371003470</v>
      </c>
      <c r="E21" s="79">
        <f t="shared" si="0"/>
        <v>4435726</v>
      </c>
      <c r="F21" s="80">
        <f t="shared" si="1"/>
        <v>1.2100699182086245E-2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164845574</v>
      </c>
      <c r="D24" s="76">
        <v>168078237</v>
      </c>
      <c r="E24" s="76">
        <f t="shared" ref="E24:E33" si="2">D24-C24</f>
        <v>3232663</v>
      </c>
      <c r="F24" s="77">
        <f t="shared" ref="F24:F33" si="3">IF(C24=0,0,E24/C24)</f>
        <v>1.9610250500265176E-2</v>
      </c>
    </row>
    <row r="25" spans="1:7" ht="23.1" customHeight="1" x14ac:dyDescent="0.2">
      <c r="A25" s="74">
        <v>2</v>
      </c>
      <c r="B25" s="75" t="s">
        <v>83</v>
      </c>
      <c r="C25" s="76">
        <v>36803680</v>
      </c>
      <c r="D25" s="76">
        <v>42556795</v>
      </c>
      <c r="E25" s="76">
        <f t="shared" si="2"/>
        <v>5753115</v>
      </c>
      <c r="F25" s="77">
        <f t="shared" si="3"/>
        <v>0.15631901483764668</v>
      </c>
    </row>
    <row r="26" spans="1:7" ht="23.1" customHeight="1" x14ac:dyDescent="0.2">
      <c r="A26" s="74">
        <v>3</v>
      </c>
      <c r="B26" s="75" t="s">
        <v>84</v>
      </c>
      <c r="C26" s="76">
        <v>3624974</v>
      </c>
      <c r="D26" s="76">
        <v>4053027</v>
      </c>
      <c r="E26" s="76">
        <f t="shared" si="2"/>
        <v>428053</v>
      </c>
      <c r="F26" s="77">
        <f t="shared" si="3"/>
        <v>0.11808443315731368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36253957</v>
      </c>
      <c r="D27" s="76">
        <v>41070578</v>
      </c>
      <c r="E27" s="76">
        <f t="shared" si="2"/>
        <v>4816621</v>
      </c>
      <c r="F27" s="77">
        <f t="shared" si="3"/>
        <v>0.13285780087398461</v>
      </c>
    </row>
    <row r="28" spans="1:7" ht="23.1" customHeight="1" x14ac:dyDescent="0.2">
      <c r="A28" s="74">
        <v>5</v>
      </c>
      <c r="B28" s="75" t="s">
        <v>86</v>
      </c>
      <c r="C28" s="76">
        <v>22309482</v>
      </c>
      <c r="D28" s="76">
        <v>23551155</v>
      </c>
      <c r="E28" s="76">
        <f t="shared" si="2"/>
        <v>1241673</v>
      </c>
      <c r="F28" s="77">
        <f t="shared" si="3"/>
        <v>5.5656738242510516E-2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2896503</v>
      </c>
      <c r="D30" s="76">
        <v>2603790</v>
      </c>
      <c r="E30" s="76">
        <f t="shared" si="2"/>
        <v>-292713</v>
      </c>
      <c r="F30" s="77">
        <f t="shared" si="3"/>
        <v>-0.10105737850090264</v>
      </c>
    </row>
    <row r="31" spans="1:7" ht="23.1" customHeight="1" x14ac:dyDescent="0.2">
      <c r="A31" s="74">
        <v>8</v>
      </c>
      <c r="B31" s="75" t="s">
        <v>89</v>
      </c>
      <c r="C31" s="76">
        <v>3379448</v>
      </c>
      <c r="D31" s="76">
        <v>5883856</v>
      </c>
      <c r="E31" s="76">
        <f t="shared" si="2"/>
        <v>2504408</v>
      </c>
      <c r="F31" s="77">
        <f t="shared" si="3"/>
        <v>0.74107013926534748</v>
      </c>
    </row>
    <row r="32" spans="1:7" ht="23.1" customHeight="1" x14ac:dyDescent="0.2">
      <c r="A32" s="74">
        <v>9</v>
      </c>
      <c r="B32" s="75" t="s">
        <v>90</v>
      </c>
      <c r="C32" s="76">
        <v>75746996</v>
      </c>
      <c r="D32" s="76">
        <v>77953883</v>
      </c>
      <c r="E32" s="76">
        <f t="shared" si="2"/>
        <v>2206887</v>
      </c>
      <c r="F32" s="77">
        <f t="shared" si="3"/>
        <v>2.9134977181141282E-2</v>
      </c>
    </row>
    <row r="33" spans="1:6" ht="23.1" customHeight="1" x14ac:dyDescent="0.25">
      <c r="A33" s="71"/>
      <c r="B33" s="78" t="s">
        <v>91</v>
      </c>
      <c r="C33" s="79">
        <f>SUM(C24:C32)</f>
        <v>345860614</v>
      </c>
      <c r="D33" s="79">
        <f>SUM(D24:D32)</f>
        <v>365751321</v>
      </c>
      <c r="E33" s="79">
        <f t="shared" si="2"/>
        <v>19890707</v>
      </c>
      <c r="F33" s="80">
        <f t="shared" si="3"/>
        <v>5.7510760678867005E-2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20707130</v>
      </c>
      <c r="D35" s="79">
        <f>+D21-D33</f>
        <v>5252149</v>
      </c>
      <c r="E35" s="79">
        <f>D35-C35</f>
        <v>-15454981</v>
      </c>
      <c r="F35" s="80">
        <f>IF(C35=0,0,E35/C35)</f>
        <v>-0.74636035993399374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13450948</v>
      </c>
      <c r="D38" s="76">
        <v>7305000</v>
      </c>
      <c r="E38" s="76">
        <f>D38-C38</f>
        <v>-6145948</v>
      </c>
      <c r="F38" s="77">
        <f>IF(C38=0,0,E38/C38)</f>
        <v>-0.45691560178509349</v>
      </c>
    </row>
    <row r="39" spans="1:6" ht="23.1" customHeight="1" x14ac:dyDescent="0.2">
      <c r="A39" s="85">
        <v>2</v>
      </c>
      <c r="B39" s="75" t="s">
        <v>95</v>
      </c>
      <c r="C39" s="76">
        <v>563644</v>
      </c>
      <c r="D39" s="76">
        <v>2027000</v>
      </c>
      <c r="E39" s="76">
        <f>D39-C39</f>
        <v>1463356</v>
      </c>
      <c r="F39" s="77">
        <f>IF(C39=0,0,E39/C39)</f>
        <v>2.5962415993073642</v>
      </c>
    </row>
    <row r="40" spans="1:6" ht="23.1" customHeight="1" x14ac:dyDescent="0.2">
      <c r="A40" s="85">
        <v>3</v>
      </c>
      <c r="B40" s="75" t="s">
        <v>96</v>
      </c>
      <c r="C40" s="76">
        <v>961884</v>
      </c>
      <c r="D40" s="76">
        <v>-2120000</v>
      </c>
      <c r="E40" s="76">
        <f>D40-C40</f>
        <v>-3081884</v>
      </c>
      <c r="F40" s="77">
        <f>IF(C40=0,0,E40/C40)</f>
        <v>-3.2040079676967284</v>
      </c>
    </row>
    <row r="41" spans="1:6" ht="23.1" customHeight="1" x14ac:dyDescent="0.25">
      <c r="A41" s="83"/>
      <c r="B41" s="78" t="s">
        <v>97</v>
      </c>
      <c r="C41" s="79">
        <f>SUM(C38:C40)</f>
        <v>14976476</v>
      </c>
      <c r="D41" s="79">
        <f>SUM(D38:D40)</f>
        <v>7212000</v>
      </c>
      <c r="E41" s="79">
        <f>D41-C41</f>
        <v>-7764476</v>
      </c>
      <c r="F41" s="80">
        <f>IF(C41=0,0,E41/C41)</f>
        <v>-0.51844479302073465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35683606</v>
      </c>
      <c r="D43" s="79">
        <f>D35+D41</f>
        <v>12464149</v>
      </c>
      <c r="E43" s="79">
        <f>D43-C43</f>
        <v>-23219457</v>
      </c>
      <c r="F43" s="80">
        <f>IF(C43=0,0,E43/C43)</f>
        <v>-0.65070377136212076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35683606</v>
      </c>
      <c r="D50" s="79">
        <f>D43+D48</f>
        <v>12464149</v>
      </c>
      <c r="E50" s="79">
        <f>D50-C50</f>
        <v>-23219457</v>
      </c>
      <c r="F50" s="80">
        <f>IF(C50=0,0,E50/C50)</f>
        <v>-0.65070377136212076</v>
      </c>
    </row>
    <row r="51" spans="1:6" ht="23.1" customHeight="1" x14ac:dyDescent="0.2">
      <c r="A51" s="85"/>
      <c r="B51" s="75" t="s">
        <v>104</v>
      </c>
      <c r="C51" s="76">
        <v>3156000</v>
      </c>
      <c r="D51" s="76">
        <v>3261251</v>
      </c>
      <c r="E51" s="76">
        <f>D51-C51</f>
        <v>105251</v>
      </c>
      <c r="F51" s="77">
        <f>IF(C51=0,0,E51/C51)</f>
        <v>3.3349493029150822E-2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FILING&amp;RMIDDLESEX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4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280860334</v>
      </c>
      <c r="D14" s="113">
        <v>266689413</v>
      </c>
      <c r="E14" s="113">
        <f t="shared" ref="E14:E25" si="0">D14-C14</f>
        <v>-14170921</v>
      </c>
      <c r="F14" s="114">
        <f t="shared" ref="F14:F25" si="1">IF(C14=0,0,E14/C14)</f>
        <v>-5.0455401794117359E-2</v>
      </c>
    </row>
    <row r="15" spans="1:6" x14ac:dyDescent="0.2">
      <c r="A15" s="115">
        <v>2</v>
      </c>
      <c r="B15" s="116" t="s">
        <v>114</v>
      </c>
      <c r="C15" s="113">
        <v>65233790</v>
      </c>
      <c r="D15" s="113">
        <v>66537673</v>
      </c>
      <c r="E15" s="113">
        <f t="shared" si="0"/>
        <v>1303883</v>
      </c>
      <c r="F15" s="114">
        <f t="shared" si="1"/>
        <v>1.9987846789217674E-2</v>
      </c>
    </row>
    <row r="16" spans="1:6" x14ac:dyDescent="0.2">
      <c r="A16" s="115">
        <v>3</v>
      </c>
      <c r="B16" s="116" t="s">
        <v>115</v>
      </c>
      <c r="C16" s="113">
        <v>77179588</v>
      </c>
      <c r="D16" s="113">
        <v>76836069</v>
      </c>
      <c r="E16" s="113">
        <f t="shared" si="0"/>
        <v>-343519</v>
      </c>
      <c r="F16" s="114">
        <f t="shared" si="1"/>
        <v>-4.4509048169575609E-3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1800340</v>
      </c>
      <c r="D18" s="113">
        <v>1934851</v>
      </c>
      <c r="E18" s="113">
        <f t="shared" si="0"/>
        <v>134511</v>
      </c>
      <c r="F18" s="114">
        <f t="shared" si="1"/>
        <v>7.4714220647211088E-2</v>
      </c>
    </row>
    <row r="19" spans="1:6" x14ac:dyDescent="0.2">
      <c r="A19" s="115">
        <v>6</v>
      </c>
      <c r="B19" s="116" t="s">
        <v>118</v>
      </c>
      <c r="C19" s="113">
        <v>11352746</v>
      </c>
      <c r="D19" s="113">
        <v>9895485</v>
      </c>
      <c r="E19" s="113">
        <f t="shared" si="0"/>
        <v>-1457261</v>
      </c>
      <c r="F19" s="114">
        <f t="shared" si="1"/>
        <v>-0.12836198396405593</v>
      </c>
    </row>
    <row r="20" spans="1:6" x14ac:dyDescent="0.2">
      <c r="A20" s="115">
        <v>7</v>
      </c>
      <c r="B20" s="116" t="s">
        <v>119</v>
      </c>
      <c r="C20" s="113">
        <v>132500711</v>
      </c>
      <c r="D20" s="113">
        <v>125383762</v>
      </c>
      <c r="E20" s="113">
        <f t="shared" si="0"/>
        <v>-7116949</v>
      </c>
      <c r="F20" s="114">
        <f t="shared" si="1"/>
        <v>-5.3712534418022859E-2</v>
      </c>
    </row>
    <row r="21" spans="1:6" x14ac:dyDescent="0.2">
      <c r="A21" s="115">
        <v>8</v>
      </c>
      <c r="B21" s="116" t="s">
        <v>120</v>
      </c>
      <c r="C21" s="113">
        <v>5313783</v>
      </c>
      <c r="D21" s="113">
        <v>6691001</v>
      </c>
      <c r="E21" s="113">
        <f t="shared" si="0"/>
        <v>1377218</v>
      </c>
      <c r="F21" s="114">
        <f t="shared" si="1"/>
        <v>0.25917844217575314</v>
      </c>
    </row>
    <row r="22" spans="1:6" x14ac:dyDescent="0.2">
      <c r="A22" s="115">
        <v>9</v>
      </c>
      <c r="B22" s="116" t="s">
        <v>121</v>
      </c>
      <c r="C22" s="113">
        <v>4804078</v>
      </c>
      <c r="D22" s="113">
        <v>3849533</v>
      </c>
      <c r="E22" s="113">
        <f t="shared" si="0"/>
        <v>-954545</v>
      </c>
      <c r="F22" s="114">
        <f t="shared" si="1"/>
        <v>-0.1986947339322967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579045370</v>
      </c>
      <c r="D25" s="119">
        <f>SUM(D14:D24)</f>
        <v>557817787</v>
      </c>
      <c r="E25" s="119">
        <f t="shared" si="0"/>
        <v>-21227583</v>
      </c>
      <c r="F25" s="120">
        <f t="shared" si="1"/>
        <v>-3.665961960804557E-2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200714915</v>
      </c>
      <c r="D27" s="113">
        <v>205249189</v>
      </c>
      <c r="E27" s="113">
        <f t="shared" ref="E27:E38" si="2">D27-C27</f>
        <v>4534274</v>
      </c>
      <c r="F27" s="114">
        <f t="shared" ref="F27:F38" si="3">IF(C27=0,0,E27/C27)</f>
        <v>2.2590618141158071E-2</v>
      </c>
    </row>
    <row r="28" spans="1:6" x14ac:dyDescent="0.2">
      <c r="A28" s="115">
        <v>2</v>
      </c>
      <c r="B28" s="116" t="s">
        <v>114</v>
      </c>
      <c r="C28" s="113">
        <v>53823193</v>
      </c>
      <c r="D28" s="113">
        <v>62218116</v>
      </c>
      <c r="E28" s="113">
        <f t="shared" si="2"/>
        <v>8394923</v>
      </c>
      <c r="F28" s="114">
        <f t="shared" si="3"/>
        <v>0.15597222186353754</v>
      </c>
    </row>
    <row r="29" spans="1:6" x14ac:dyDescent="0.2">
      <c r="A29" s="115">
        <v>3</v>
      </c>
      <c r="B29" s="116" t="s">
        <v>115</v>
      </c>
      <c r="C29" s="113">
        <v>119249249</v>
      </c>
      <c r="D29" s="113">
        <v>127898287</v>
      </c>
      <c r="E29" s="113">
        <f t="shared" si="2"/>
        <v>8649038</v>
      </c>
      <c r="F29" s="114">
        <f t="shared" si="3"/>
        <v>7.252907731100261E-2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3144401</v>
      </c>
      <c r="D31" s="113">
        <v>3663118</v>
      </c>
      <c r="E31" s="113">
        <f t="shared" si="2"/>
        <v>518717</v>
      </c>
      <c r="F31" s="114">
        <f t="shared" si="3"/>
        <v>0.16496528273588515</v>
      </c>
    </row>
    <row r="32" spans="1:6" x14ac:dyDescent="0.2">
      <c r="A32" s="115">
        <v>6</v>
      </c>
      <c r="B32" s="116" t="s">
        <v>118</v>
      </c>
      <c r="C32" s="113">
        <v>26552286</v>
      </c>
      <c r="D32" s="113">
        <v>26592537</v>
      </c>
      <c r="E32" s="113">
        <f t="shared" si="2"/>
        <v>40251</v>
      </c>
      <c r="F32" s="114">
        <f t="shared" si="3"/>
        <v>1.5159146749172557E-3</v>
      </c>
    </row>
    <row r="33" spans="1:6" x14ac:dyDescent="0.2">
      <c r="A33" s="115">
        <v>7</v>
      </c>
      <c r="B33" s="116" t="s">
        <v>119</v>
      </c>
      <c r="C33" s="113">
        <v>265366297</v>
      </c>
      <c r="D33" s="113">
        <v>260276128</v>
      </c>
      <c r="E33" s="113">
        <f t="shared" si="2"/>
        <v>-5090169</v>
      </c>
      <c r="F33" s="114">
        <f t="shared" si="3"/>
        <v>-1.9181670986651331E-2</v>
      </c>
    </row>
    <row r="34" spans="1:6" x14ac:dyDescent="0.2">
      <c r="A34" s="115">
        <v>8</v>
      </c>
      <c r="B34" s="116" t="s">
        <v>120</v>
      </c>
      <c r="C34" s="113">
        <v>9578831</v>
      </c>
      <c r="D34" s="113">
        <v>10173710</v>
      </c>
      <c r="E34" s="113">
        <f t="shared" si="2"/>
        <v>594879</v>
      </c>
      <c r="F34" s="114">
        <f t="shared" si="3"/>
        <v>6.2103507202496841E-2</v>
      </c>
    </row>
    <row r="35" spans="1:6" x14ac:dyDescent="0.2">
      <c r="A35" s="115">
        <v>9</v>
      </c>
      <c r="B35" s="116" t="s">
        <v>121</v>
      </c>
      <c r="C35" s="113">
        <v>14751065</v>
      </c>
      <c r="D35" s="113">
        <v>11030087</v>
      </c>
      <c r="E35" s="113">
        <f t="shared" si="2"/>
        <v>-3720978</v>
      </c>
      <c r="F35" s="114">
        <f t="shared" si="3"/>
        <v>-0.25225148150319993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693180237</v>
      </c>
      <c r="D38" s="119">
        <f>SUM(D27:D37)</f>
        <v>707101172</v>
      </c>
      <c r="E38" s="119">
        <f t="shared" si="2"/>
        <v>13920935</v>
      </c>
      <c r="F38" s="120">
        <f t="shared" si="3"/>
        <v>2.0082706137509225E-2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481575249</v>
      </c>
      <c r="D41" s="119">
        <f t="shared" si="4"/>
        <v>471938602</v>
      </c>
      <c r="E41" s="123">
        <f t="shared" ref="E41:E52" si="5">D41-C41</f>
        <v>-9636647</v>
      </c>
      <c r="F41" s="124">
        <f t="shared" ref="F41:F52" si="6">IF(C41=0,0,E41/C41)</f>
        <v>-2.0010677500578937E-2</v>
      </c>
    </row>
    <row r="42" spans="1:6" ht="15.75" x14ac:dyDescent="0.25">
      <c r="A42" s="121">
        <v>2</v>
      </c>
      <c r="B42" s="122" t="s">
        <v>114</v>
      </c>
      <c r="C42" s="119">
        <f t="shared" si="4"/>
        <v>119056983</v>
      </c>
      <c r="D42" s="119">
        <f t="shared" si="4"/>
        <v>128755789</v>
      </c>
      <c r="E42" s="123">
        <f t="shared" si="5"/>
        <v>9698806</v>
      </c>
      <c r="F42" s="124">
        <f t="shared" si="6"/>
        <v>8.1463562704255657E-2</v>
      </c>
    </row>
    <row r="43" spans="1:6" ht="15.75" x14ac:dyDescent="0.25">
      <c r="A43" s="121">
        <v>3</v>
      </c>
      <c r="B43" s="122" t="s">
        <v>115</v>
      </c>
      <c r="C43" s="119">
        <f t="shared" si="4"/>
        <v>196428837</v>
      </c>
      <c r="D43" s="119">
        <f t="shared" si="4"/>
        <v>204734356</v>
      </c>
      <c r="E43" s="123">
        <f t="shared" si="5"/>
        <v>8305519</v>
      </c>
      <c r="F43" s="124">
        <f t="shared" si="6"/>
        <v>4.2282585015763242E-2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4944741</v>
      </c>
      <c r="D45" s="119">
        <f t="shared" si="4"/>
        <v>5597969</v>
      </c>
      <c r="E45" s="123">
        <f t="shared" si="5"/>
        <v>653228</v>
      </c>
      <c r="F45" s="124">
        <f t="shared" si="6"/>
        <v>0.13210560472226957</v>
      </c>
    </row>
    <row r="46" spans="1:6" ht="15.75" x14ac:dyDescent="0.25">
      <c r="A46" s="121">
        <v>6</v>
      </c>
      <c r="B46" s="122" t="s">
        <v>118</v>
      </c>
      <c r="C46" s="119">
        <f t="shared" si="4"/>
        <v>37905032</v>
      </c>
      <c r="D46" s="119">
        <f t="shared" si="4"/>
        <v>36488022</v>
      </c>
      <c r="E46" s="123">
        <f t="shared" si="5"/>
        <v>-1417010</v>
      </c>
      <c r="F46" s="124">
        <f t="shared" si="6"/>
        <v>-3.738316326972102E-2</v>
      </c>
    </row>
    <row r="47" spans="1:6" ht="15.75" x14ac:dyDescent="0.25">
      <c r="A47" s="121">
        <v>7</v>
      </c>
      <c r="B47" s="122" t="s">
        <v>119</v>
      </c>
      <c r="C47" s="119">
        <f t="shared" si="4"/>
        <v>397867008</v>
      </c>
      <c r="D47" s="119">
        <f t="shared" si="4"/>
        <v>385659890</v>
      </c>
      <c r="E47" s="123">
        <f t="shared" si="5"/>
        <v>-12207118</v>
      </c>
      <c r="F47" s="124">
        <f t="shared" si="6"/>
        <v>-3.0681402967697186E-2</v>
      </c>
    </row>
    <row r="48" spans="1:6" ht="15.75" x14ac:dyDescent="0.25">
      <c r="A48" s="121">
        <v>8</v>
      </c>
      <c r="B48" s="122" t="s">
        <v>120</v>
      </c>
      <c r="C48" s="119">
        <f t="shared" si="4"/>
        <v>14892614</v>
      </c>
      <c r="D48" s="119">
        <f t="shared" si="4"/>
        <v>16864711</v>
      </c>
      <c r="E48" s="123">
        <f t="shared" si="5"/>
        <v>1972097</v>
      </c>
      <c r="F48" s="124">
        <f t="shared" si="6"/>
        <v>0.1324211451394631</v>
      </c>
    </row>
    <row r="49" spans="1:6" ht="15.75" x14ac:dyDescent="0.25">
      <c r="A49" s="121">
        <v>9</v>
      </c>
      <c r="B49" s="122" t="s">
        <v>121</v>
      </c>
      <c r="C49" s="119">
        <f t="shared" si="4"/>
        <v>19555143</v>
      </c>
      <c r="D49" s="119">
        <f t="shared" si="4"/>
        <v>14879620</v>
      </c>
      <c r="E49" s="123">
        <f t="shared" si="5"/>
        <v>-4675523</v>
      </c>
      <c r="F49" s="124">
        <f t="shared" si="6"/>
        <v>-0.23909428839257274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1272225607</v>
      </c>
      <c r="D52" s="128">
        <f>SUM(D41:D51)</f>
        <v>1264918959</v>
      </c>
      <c r="E52" s="127">
        <f t="shared" si="5"/>
        <v>-7306648</v>
      </c>
      <c r="F52" s="129">
        <f t="shared" si="6"/>
        <v>-5.7432014886334539E-3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65352824</v>
      </c>
      <c r="D57" s="113">
        <v>61364040</v>
      </c>
      <c r="E57" s="113">
        <f t="shared" ref="E57:E68" si="7">D57-C57</f>
        <v>-3988784</v>
      </c>
      <c r="F57" s="114">
        <f t="shared" ref="F57:F68" si="8">IF(C57=0,0,E57/C57)</f>
        <v>-6.1034608083653741E-2</v>
      </c>
    </row>
    <row r="58" spans="1:6" x14ac:dyDescent="0.2">
      <c r="A58" s="115">
        <v>2</v>
      </c>
      <c r="B58" s="116" t="s">
        <v>114</v>
      </c>
      <c r="C58" s="113">
        <v>14864511</v>
      </c>
      <c r="D58" s="113">
        <v>14106388</v>
      </c>
      <c r="E58" s="113">
        <f t="shared" si="7"/>
        <v>-758123</v>
      </c>
      <c r="F58" s="114">
        <f t="shared" si="8"/>
        <v>-5.1002215949115311E-2</v>
      </c>
    </row>
    <row r="59" spans="1:6" x14ac:dyDescent="0.2">
      <c r="A59" s="115">
        <v>3</v>
      </c>
      <c r="B59" s="116" t="s">
        <v>115</v>
      </c>
      <c r="C59" s="113">
        <v>10773156</v>
      </c>
      <c r="D59" s="113">
        <v>13013835</v>
      </c>
      <c r="E59" s="113">
        <f t="shared" si="7"/>
        <v>2240679</v>
      </c>
      <c r="F59" s="114">
        <f t="shared" si="8"/>
        <v>0.2079872416216752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367877</v>
      </c>
      <c r="D61" s="113">
        <v>373735</v>
      </c>
      <c r="E61" s="113">
        <f t="shared" si="7"/>
        <v>5858</v>
      </c>
      <c r="F61" s="114">
        <f t="shared" si="8"/>
        <v>1.5923800618141391E-2</v>
      </c>
    </row>
    <row r="62" spans="1:6" x14ac:dyDescent="0.2">
      <c r="A62" s="115">
        <v>6</v>
      </c>
      <c r="B62" s="116" t="s">
        <v>118</v>
      </c>
      <c r="C62" s="113">
        <v>4654241</v>
      </c>
      <c r="D62" s="113">
        <v>3757446</v>
      </c>
      <c r="E62" s="113">
        <f t="shared" si="7"/>
        <v>-896795</v>
      </c>
      <c r="F62" s="114">
        <f t="shared" si="8"/>
        <v>-0.19268340423282765</v>
      </c>
    </row>
    <row r="63" spans="1:6" x14ac:dyDescent="0.2">
      <c r="A63" s="115">
        <v>7</v>
      </c>
      <c r="B63" s="116" t="s">
        <v>119</v>
      </c>
      <c r="C63" s="113">
        <v>59469601</v>
      </c>
      <c r="D63" s="113">
        <v>59073969</v>
      </c>
      <c r="E63" s="113">
        <f t="shared" si="7"/>
        <v>-395632</v>
      </c>
      <c r="F63" s="114">
        <f t="shared" si="8"/>
        <v>-6.6526762135162131E-3</v>
      </c>
    </row>
    <row r="64" spans="1:6" x14ac:dyDescent="0.2">
      <c r="A64" s="115">
        <v>8</v>
      </c>
      <c r="B64" s="116" t="s">
        <v>120</v>
      </c>
      <c r="C64" s="113">
        <v>3747264</v>
      </c>
      <c r="D64" s="113">
        <v>3460402</v>
      </c>
      <c r="E64" s="113">
        <f t="shared" si="7"/>
        <v>-286862</v>
      </c>
      <c r="F64" s="114">
        <f t="shared" si="8"/>
        <v>-7.655238595412546E-2</v>
      </c>
    </row>
    <row r="65" spans="1:6" x14ac:dyDescent="0.2">
      <c r="A65" s="115">
        <v>9</v>
      </c>
      <c r="B65" s="116" t="s">
        <v>121</v>
      </c>
      <c r="C65" s="113">
        <v>1364690</v>
      </c>
      <c r="D65" s="113">
        <v>1360408</v>
      </c>
      <c r="E65" s="113">
        <f t="shared" si="7"/>
        <v>-4282</v>
      </c>
      <c r="F65" s="114">
        <f t="shared" si="8"/>
        <v>-3.1377089302332397E-3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160594164</v>
      </c>
      <c r="D68" s="119">
        <f>SUM(D57:D67)</f>
        <v>156510223</v>
      </c>
      <c r="E68" s="119">
        <f t="shared" si="7"/>
        <v>-4083941</v>
      </c>
      <c r="F68" s="120">
        <f t="shared" si="8"/>
        <v>-2.5430195582947835E-2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42106080</v>
      </c>
      <c r="D70" s="113">
        <v>46744465</v>
      </c>
      <c r="E70" s="113">
        <f t="shared" ref="E70:E81" si="9">D70-C70</f>
        <v>4638385</v>
      </c>
      <c r="F70" s="114">
        <f t="shared" ref="F70:F81" si="10">IF(C70=0,0,E70/C70)</f>
        <v>0.11015950665557088</v>
      </c>
    </row>
    <row r="71" spans="1:6" x14ac:dyDescent="0.2">
      <c r="A71" s="115">
        <v>2</v>
      </c>
      <c r="B71" s="116" t="s">
        <v>114</v>
      </c>
      <c r="C71" s="113">
        <v>9032873</v>
      </c>
      <c r="D71" s="113">
        <v>10712124</v>
      </c>
      <c r="E71" s="113">
        <f t="shared" si="9"/>
        <v>1679251</v>
      </c>
      <c r="F71" s="114">
        <f t="shared" si="10"/>
        <v>0.18590441822884038</v>
      </c>
    </row>
    <row r="72" spans="1:6" x14ac:dyDescent="0.2">
      <c r="A72" s="115">
        <v>3</v>
      </c>
      <c r="B72" s="116" t="s">
        <v>115</v>
      </c>
      <c r="C72" s="113">
        <v>20919610</v>
      </c>
      <c r="D72" s="113">
        <v>20645716</v>
      </c>
      <c r="E72" s="113">
        <f t="shared" si="9"/>
        <v>-273894</v>
      </c>
      <c r="F72" s="114">
        <f t="shared" si="10"/>
        <v>-1.3092691498550881E-2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293636</v>
      </c>
      <c r="D74" s="113">
        <v>599314</v>
      </c>
      <c r="E74" s="113">
        <f t="shared" si="9"/>
        <v>305678</v>
      </c>
      <c r="F74" s="114">
        <f t="shared" si="10"/>
        <v>1.0410099579070686</v>
      </c>
    </row>
    <row r="75" spans="1:6" x14ac:dyDescent="0.2">
      <c r="A75" s="115">
        <v>6</v>
      </c>
      <c r="B75" s="116" t="s">
        <v>118</v>
      </c>
      <c r="C75" s="113">
        <v>10433397</v>
      </c>
      <c r="D75" s="113">
        <v>10504830</v>
      </c>
      <c r="E75" s="113">
        <f t="shared" si="9"/>
        <v>71433</v>
      </c>
      <c r="F75" s="114">
        <f t="shared" si="10"/>
        <v>6.8465716391315308E-3</v>
      </c>
    </row>
    <row r="76" spans="1:6" x14ac:dyDescent="0.2">
      <c r="A76" s="115">
        <v>7</v>
      </c>
      <c r="B76" s="116" t="s">
        <v>119</v>
      </c>
      <c r="C76" s="113">
        <v>105723502</v>
      </c>
      <c r="D76" s="113">
        <v>108336430</v>
      </c>
      <c r="E76" s="113">
        <f t="shared" si="9"/>
        <v>2612928</v>
      </c>
      <c r="F76" s="114">
        <f t="shared" si="10"/>
        <v>2.4714731829446966E-2</v>
      </c>
    </row>
    <row r="77" spans="1:6" x14ac:dyDescent="0.2">
      <c r="A77" s="115">
        <v>8</v>
      </c>
      <c r="B77" s="116" t="s">
        <v>120</v>
      </c>
      <c r="C77" s="113">
        <v>6590078</v>
      </c>
      <c r="D77" s="113">
        <v>4993897</v>
      </c>
      <c r="E77" s="113">
        <f t="shared" si="9"/>
        <v>-1596181</v>
      </c>
      <c r="F77" s="114">
        <f t="shared" si="10"/>
        <v>-0.24220972801839372</v>
      </c>
    </row>
    <row r="78" spans="1:6" x14ac:dyDescent="0.2">
      <c r="A78" s="115">
        <v>9</v>
      </c>
      <c r="B78" s="116" t="s">
        <v>121</v>
      </c>
      <c r="C78" s="113">
        <v>2469628</v>
      </c>
      <c r="D78" s="113">
        <v>2492116</v>
      </c>
      <c r="E78" s="113">
        <f t="shared" si="9"/>
        <v>22488</v>
      </c>
      <c r="F78" s="114">
        <f t="shared" si="10"/>
        <v>9.1058248448754233E-3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197568804</v>
      </c>
      <c r="D81" s="119">
        <f>SUM(D70:D80)</f>
        <v>205028892</v>
      </c>
      <c r="E81" s="119">
        <f t="shared" si="9"/>
        <v>7460088</v>
      </c>
      <c r="F81" s="120">
        <f t="shared" si="10"/>
        <v>3.7759443034336537E-2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107458904</v>
      </c>
      <c r="D84" s="119">
        <f t="shared" si="11"/>
        <v>108108505</v>
      </c>
      <c r="E84" s="119">
        <f t="shared" ref="E84:E95" si="12">D84-C84</f>
        <v>649601</v>
      </c>
      <c r="F84" s="120">
        <f t="shared" ref="F84:F95" si="13">IF(C84=0,0,E84/C84)</f>
        <v>6.0451109756339966E-3</v>
      </c>
    </row>
    <row r="85" spans="1:6" ht="15.75" x14ac:dyDescent="0.25">
      <c r="A85" s="130">
        <v>2</v>
      </c>
      <c r="B85" s="122" t="s">
        <v>114</v>
      </c>
      <c r="C85" s="119">
        <f t="shared" si="11"/>
        <v>23897384</v>
      </c>
      <c r="D85" s="119">
        <f t="shared" si="11"/>
        <v>24818512</v>
      </c>
      <c r="E85" s="119">
        <f t="shared" si="12"/>
        <v>921128</v>
      </c>
      <c r="F85" s="120">
        <f t="shared" si="13"/>
        <v>3.8545139501461753E-2</v>
      </c>
    </row>
    <row r="86" spans="1:6" ht="15.75" x14ac:dyDescent="0.25">
      <c r="A86" s="130">
        <v>3</v>
      </c>
      <c r="B86" s="122" t="s">
        <v>115</v>
      </c>
      <c r="C86" s="119">
        <f t="shared" si="11"/>
        <v>31692766</v>
      </c>
      <c r="D86" s="119">
        <f t="shared" si="11"/>
        <v>33659551</v>
      </c>
      <c r="E86" s="119">
        <f t="shared" si="12"/>
        <v>1966785</v>
      </c>
      <c r="F86" s="120">
        <f t="shared" si="13"/>
        <v>6.2057852571151408E-2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661513</v>
      </c>
      <c r="D88" s="119">
        <f t="shared" si="11"/>
        <v>973049</v>
      </c>
      <c r="E88" s="119">
        <f t="shared" si="12"/>
        <v>311536</v>
      </c>
      <c r="F88" s="120">
        <f t="shared" si="13"/>
        <v>0.47094463752035109</v>
      </c>
    </row>
    <row r="89" spans="1:6" ht="15.75" x14ac:dyDescent="0.25">
      <c r="A89" s="130">
        <v>6</v>
      </c>
      <c r="B89" s="122" t="s">
        <v>118</v>
      </c>
      <c r="C89" s="119">
        <f t="shared" si="11"/>
        <v>15087638</v>
      </c>
      <c r="D89" s="119">
        <f t="shared" si="11"/>
        <v>14262276</v>
      </c>
      <c r="E89" s="119">
        <f t="shared" si="12"/>
        <v>-825362</v>
      </c>
      <c r="F89" s="120">
        <f t="shared" si="13"/>
        <v>-5.4704520349706166E-2</v>
      </c>
    </row>
    <row r="90" spans="1:6" ht="15.75" x14ac:dyDescent="0.25">
      <c r="A90" s="130">
        <v>7</v>
      </c>
      <c r="B90" s="122" t="s">
        <v>119</v>
      </c>
      <c r="C90" s="119">
        <f t="shared" si="11"/>
        <v>165193103</v>
      </c>
      <c r="D90" s="119">
        <f t="shared" si="11"/>
        <v>167410399</v>
      </c>
      <c r="E90" s="119">
        <f t="shared" si="12"/>
        <v>2217296</v>
      </c>
      <c r="F90" s="120">
        <f t="shared" si="13"/>
        <v>1.342244899897546E-2</v>
      </c>
    </row>
    <row r="91" spans="1:6" ht="15.75" x14ac:dyDescent="0.25">
      <c r="A91" s="130">
        <v>8</v>
      </c>
      <c r="B91" s="122" t="s">
        <v>120</v>
      </c>
      <c r="C91" s="119">
        <f t="shared" si="11"/>
        <v>10337342</v>
      </c>
      <c r="D91" s="119">
        <f t="shared" si="11"/>
        <v>8454299</v>
      </c>
      <c r="E91" s="119">
        <f t="shared" si="12"/>
        <v>-1883043</v>
      </c>
      <c r="F91" s="120">
        <f t="shared" si="13"/>
        <v>-0.18215930168509467</v>
      </c>
    </row>
    <row r="92" spans="1:6" ht="15.75" x14ac:dyDescent="0.25">
      <c r="A92" s="130">
        <v>9</v>
      </c>
      <c r="B92" s="122" t="s">
        <v>121</v>
      </c>
      <c r="C92" s="119">
        <f t="shared" si="11"/>
        <v>3834318</v>
      </c>
      <c r="D92" s="119">
        <f t="shared" si="11"/>
        <v>3852524</v>
      </c>
      <c r="E92" s="119">
        <f t="shared" si="12"/>
        <v>18206</v>
      </c>
      <c r="F92" s="120">
        <f t="shared" si="13"/>
        <v>4.7481716435621669E-3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358162968</v>
      </c>
      <c r="D95" s="128">
        <f>SUM(D84:D94)</f>
        <v>361539115</v>
      </c>
      <c r="E95" s="128">
        <f t="shared" si="12"/>
        <v>3376147</v>
      </c>
      <c r="F95" s="129">
        <f t="shared" si="13"/>
        <v>9.4262871978434137E-3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6359</v>
      </c>
      <c r="D100" s="133">
        <v>6102</v>
      </c>
      <c r="E100" s="133">
        <f t="shared" ref="E100:E111" si="14">D100-C100</f>
        <v>-257</v>
      </c>
      <c r="F100" s="114">
        <f t="shared" ref="F100:F111" si="15">IF(C100=0,0,E100/C100)</f>
        <v>-4.0415159616291871E-2</v>
      </c>
    </row>
    <row r="101" spans="1:6" x14ac:dyDescent="0.2">
      <c r="A101" s="115">
        <v>2</v>
      </c>
      <c r="B101" s="116" t="s">
        <v>114</v>
      </c>
      <c r="C101" s="133">
        <v>1401</v>
      </c>
      <c r="D101" s="133">
        <v>1402</v>
      </c>
      <c r="E101" s="133">
        <f t="shared" si="14"/>
        <v>1</v>
      </c>
      <c r="F101" s="114">
        <f t="shared" si="15"/>
        <v>7.1377587437544611E-4</v>
      </c>
    </row>
    <row r="102" spans="1:6" x14ac:dyDescent="0.2">
      <c r="A102" s="115">
        <v>3</v>
      </c>
      <c r="B102" s="116" t="s">
        <v>115</v>
      </c>
      <c r="C102" s="133">
        <v>2263</v>
      </c>
      <c r="D102" s="133">
        <v>2251</v>
      </c>
      <c r="E102" s="133">
        <f t="shared" si="14"/>
        <v>-12</v>
      </c>
      <c r="F102" s="114">
        <f t="shared" si="15"/>
        <v>-5.3026955368979233E-3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57</v>
      </c>
      <c r="D104" s="133">
        <v>62</v>
      </c>
      <c r="E104" s="133">
        <f t="shared" si="14"/>
        <v>5</v>
      </c>
      <c r="F104" s="114">
        <f t="shared" si="15"/>
        <v>8.771929824561403E-2</v>
      </c>
    </row>
    <row r="105" spans="1:6" x14ac:dyDescent="0.2">
      <c r="A105" s="115">
        <v>6</v>
      </c>
      <c r="B105" s="116" t="s">
        <v>118</v>
      </c>
      <c r="C105" s="133">
        <v>299</v>
      </c>
      <c r="D105" s="133">
        <v>264</v>
      </c>
      <c r="E105" s="133">
        <f t="shared" si="14"/>
        <v>-35</v>
      </c>
      <c r="F105" s="114">
        <f t="shared" si="15"/>
        <v>-0.11705685618729098</v>
      </c>
    </row>
    <row r="106" spans="1:6" x14ac:dyDescent="0.2">
      <c r="A106" s="115">
        <v>7</v>
      </c>
      <c r="B106" s="116" t="s">
        <v>119</v>
      </c>
      <c r="C106" s="133">
        <v>3711</v>
      </c>
      <c r="D106" s="133">
        <v>3384</v>
      </c>
      <c r="E106" s="133">
        <f t="shared" si="14"/>
        <v>-327</v>
      </c>
      <c r="F106" s="114">
        <f t="shared" si="15"/>
        <v>-8.8116410670978168E-2</v>
      </c>
    </row>
    <row r="107" spans="1:6" x14ac:dyDescent="0.2">
      <c r="A107" s="115">
        <v>8</v>
      </c>
      <c r="B107" s="116" t="s">
        <v>120</v>
      </c>
      <c r="C107" s="133">
        <v>67</v>
      </c>
      <c r="D107" s="133">
        <v>60</v>
      </c>
      <c r="E107" s="133">
        <f t="shared" si="14"/>
        <v>-7</v>
      </c>
      <c r="F107" s="114">
        <f t="shared" si="15"/>
        <v>-0.1044776119402985</v>
      </c>
    </row>
    <row r="108" spans="1:6" x14ac:dyDescent="0.2">
      <c r="A108" s="115">
        <v>9</v>
      </c>
      <c r="B108" s="116" t="s">
        <v>121</v>
      </c>
      <c r="C108" s="133">
        <v>139</v>
      </c>
      <c r="D108" s="133">
        <v>92</v>
      </c>
      <c r="E108" s="133">
        <f t="shared" si="14"/>
        <v>-47</v>
      </c>
      <c r="F108" s="114">
        <f t="shared" si="15"/>
        <v>-0.33812949640287771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14296</v>
      </c>
      <c r="D111" s="134">
        <f>SUM(D100:D110)</f>
        <v>13617</v>
      </c>
      <c r="E111" s="134">
        <f t="shared" si="14"/>
        <v>-679</v>
      </c>
      <c r="F111" s="120">
        <f t="shared" si="15"/>
        <v>-4.7495803021824289E-2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29402</v>
      </c>
      <c r="D113" s="133">
        <v>28224</v>
      </c>
      <c r="E113" s="133">
        <f t="shared" ref="E113:E124" si="16">D113-C113</f>
        <v>-1178</v>
      </c>
      <c r="F113" s="114">
        <f t="shared" ref="F113:F124" si="17">IF(C113=0,0,E113/C113)</f>
        <v>-4.006530168015781E-2</v>
      </c>
    </row>
    <row r="114" spans="1:6" x14ac:dyDescent="0.2">
      <c r="A114" s="115">
        <v>2</v>
      </c>
      <c r="B114" s="116" t="s">
        <v>114</v>
      </c>
      <c r="C114" s="133">
        <v>6184</v>
      </c>
      <c r="D114" s="133">
        <v>6607</v>
      </c>
      <c r="E114" s="133">
        <f t="shared" si="16"/>
        <v>423</v>
      </c>
      <c r="F114" s="114">
        <f t="shared" si="17"/>
        <v>6.8402328589909439E-2</v>
      </c>
    </row>
    <row r="115" spans="1:6" x14ac:dyDescent="0.2">
      <c r="A115" s="115">
        <v>3</v>
      </c>
      <c r="B115" s="116" t="s">
        <v>115</v>
      </c>
      <c r="C115" s="133">
        <v>9624</v>
      </c>
      <c r="D115" s="133">
        <v>10039</v>
      </c>
      <c r="E115" s="133">
        <f t="shared" si="16"/>
        <v>415</v>
      </c>
      <c r="F115" s="114">
        <f t="shared" si="17"/>
        <v>4.3121363258520368E-2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174</v>
      </c>
      <c r="D117" s="133">
        <v>180</v>
      </c>
      <c r="E117" s="133">
        <f t="shared" si="16"/>
        <v>6</v>
      </c>
      <c r="F117" s="114">
        <f t="shared" si="17"/>
        <v>3.4482758620689655E-2</v>
      </c>
    </row>
    <row r="118" spans="1:6" x14ac:dyDescent="0.2">
      <c r="A118" s="115">
        <v>6</v>
      </c>
      <c r="B118" s="116" t="s">
        <v>118</v>
      </c>
      <c r="C118" s="133">
        <v>1011</v>
      </c>
      <c r="D118" s="133">
        <v>966</v>
      </c>
      <c r="E118" s="133">
        <f t="shared" si="16"/>
        <v>-45</v>
      </c>
      <c r="F118" s="114">
        <f t="shared" si="17"/>
        <v>-4.4510385756676561E-2</v>
      </c>
    </row>
    <row r="119" spans="1:6" x14ac:dyDescent="0.2">
      <c r="A119" s="115">
        <v>7</v>
      </c>
      <c r="B119" s="116" t="s">
        <v>119</v>
      </c>
      <c r="C119" s="133">
        <v>12362</v>
      </c>
      <c r="D119" s="133">
        <v>11616</v>
      </c>
      <c r="E119" s="133">
        <f t="shared" si="16"/>
        <v>-746</v>
      </c>
      <c r="F119" s="114">
        <f t="shared" si="17"/>
        <v>-6.0346222294127165E-2</v>
      </c>
    </row>
    <row r="120" spans="1:6" x14ac:dyDescent="0.2">
      <c r="A120" s="115">
        <v>8</v>
      </c>
      <c r="B120" s="116" t="s">
        <v>120</v>
      </c>
      <c r="C120" s="133">
        <v>234</v>
      </c>
      <c r="D120" s="133">
        <v>198</v>
      </c>
      <c r="E120" s="133">
        <f t="shared" si="16"/>
        <v>-36</v>
      </c>
      <c r="F120" s="114">
        <f t="shared" si="17"/>
        <v>-0.15384615384615385</v>
      </c>
    </row>
    <row r="121" spans="1:6" x14ac:dyDescent="0.2">
      <c r="A121" s="115">
        <v>9</v>
      </c>
      <c r="B121" s="116" t="s">
        <v>121</v>
      </c>
      <c r="C121" s="133">
        <v>308</v>
      </c>
      <c r="D121" s="133">
        <v>394</v>
      </c>
      <c r="E121" s="133">
        <f t="shared" si="16"/>
        <v>86</v>
      </c>
      <c r="F121" s="114">
        <f t="shared" si="17"/>
        <v>0.2792207792207792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59299</v>
      </c>
      <c r="D124" s="134">
        <f>SUM(D113:D123)</f>
        <v>58224</v>
      </c>
      <c r="E124" s="134">
        <f t="shared" si="16"/>
        <v>-1075</v>
      </c>
      <c r="F124" s="120">
        <f t="shared" si="17"/>
        <v>-1.8128467596418153E-2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217335</v>
      </c>
      <c r="D126" s="133">
        <v>222466</v>
      </c>
      <c r="E126" s="133">
        <f t="shared" ref="E126:E137" si="18">D126-C126</f>
        <v>5131</v>
      </c>
      <c r="F126" s="114">
        <f t="shared" ref="F126:F137" si="19">IF(C126=0,0,E126/C126)</f>
        <v>2.3608714657096189E-2</v>
      </c>
    </row>
    <row r="127" spans="1:6" x14ac:dyDescent="0.2">
      <c r="A127" s="115">
        <v>2</v>
      </c>
      <c r="B127" s="116" t="s">
        <v>114</v>
      </c>
      <c r="C127" s="133">
        <v>46789</v>
      </c>
      <c r="D127" s="133">
        <v>52629</v>
      </c>
      <c r="E127" s="133">
        <f t="shared" si="18"/>
        <v>5840</v>
      </c>
      <c r="F127" s="114">
        <f t="shared" si="19"/>
        <v>0.12481566180085063</v>
      </c>
    </row>
    <row r="128" spans="1:6" x14ac:dyDescent="0.2">
      <c r="A128" s="115">
        <v>3</v>
      </c>
      <c r="B128" s="116" t="s">
        <v>115</v>
      </c>
      <c r="C128" s="133">
        <v>111729</v>
      </c>
      <c r="D128" s="133">
        <v>119492</v>
      </c>
      <c r="E128" s="133">
        <f t="shared" si="18"/>
        <v>7763</v>
      </c>
      <c r="F128" s="114">
        <f t="shared" si="19"/>
        <v>6.9480618281735268E-2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2797</v>
      </c>
      <c r="D130" s="133">
        <v>2975</v>
      </c>
      <c r="E130" s="133">
        <f t="shared" si="18"/>
        <v>178</v>
      </c>
      <c r="F130" s="114">
        <f t="shared" si="19"/>
        <v>6.3639613872005715E-2</v>
      </c>
    </row>
    <row r="131" spans="1:6" x14ac:dyDescent="0.2">
      <c r="A131" s="115">
        <v>6</v>
      </c>
      <c r="B131" s="116" t="s">
        <v>118</v>
      </c>
      <c r="C131" s="133">
        <v>19542</v>
      </c>
      <c r="D131" s="133">
        <v>27821</v>
      </c>
      <c r="E131" s="133">
        <f t="shared" si="18"/>
        <v>8279</v>
      </c>
      <c r="F131" s="114">
        <f t="shared" si="19"/>
        <v>0.42365162214717017</v>
      </c>
    </row>
    <row r="132" spans="1:6" x14ac:dyDescent="0.2">
      <c r="A132" s="115">
        <v>7</v>
      </c>
      <c r="B132" s="116" t="s">
        <v>119</v>
      </c>
      <c r="C132" s="133">
        <v>217156</v>
      </c>
      <c r="D132" s="133">
        <v>214702</v>
      </c>
      <c r="E132" s="133">
        <f t="shared" si="18"/>
        <v>-2454</v>
      </c>
      <c r="F132" s="114">
        <f t="shared" si="19"/>
        <v>-1.1300631803864503E-2</v>
      </c>
    </row>
    <row r="133" spans="1:6" x14ac:dyDescent="0.2">
      <c r="A133" s="115">
        <v>8</v>
      </c>
      <c r="B133" s="116" t="s">
        <v>120</v>
      </c>
      <c r="C133" s="133">
        <v>15386</v>
      </c>
      <c r="D133" s="133">
        <v>15811</v>
      </c>
      <c r="E133" s="133">
        <f t="shared" si="18"/>
        <v>425</v>
      </c>
      <c r="F133" s="114">
        <f t="shared" si="19"/>
        <v>2.7622513973742362E-2</v>
      </c>
    </row>
    <row r="134" spans="1:6" x14ac:dyDescent="0.2">
      <c r="A134" s="115">
        <v>9</v>
      </c>
      <c r="B134" s="116" t="s">
        <v>121</v>
      </c>
      <c r="C134" s="133">
        <v>8231</v>
      </c>
      <c r="D134" s="133">
        <v>7116</v>
      </c>
      <c r="E134" s="133">
        <f t="shared" si="18"/>
        <v>-1115</v>
      </c>
      <c r="F134" s="114">
        <f t="shared" si="19"/>
        <v>-0.13546349167780342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638965</v>
      </c>
      <c r="D137" s="134">
        <f>SUM(D126:D136)</f>
        <v>663012</v>
      </c>
      <c r="E137" s="134">
        <f t="shared" si="18"/>
        <v>24047</v>
      </c>
      <c r="F137" s="120">
        <f t="shared" si="19"/>
        <v>3.7634299218267039E-2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66664570</v>
      </c>
      <c r="D142" s="113">
        <v>77834601</v>
      </c>
      <c r="E142" s="113">
        <f t="shared" ref="E142:E153" si="20">D142-C142</f>
        <v>11170031</v>
      </c>
      <c r="F142" s="114">
        <f t="shared" ref="F142:F153" si="21">IF(C142=0,0,E142/C142)</f>
        <v>0.16755573462785406</v>
      </c>
    </row>
    <row r="143" spans="1:6" x14ac:dyDescent="0.2">
      <c r="A143" s="115">
        <v>2</v>
      </c>
      <c r="B143" s="116" t="s">
        <v>114</v>
      </c>
      <c r="C143" s="113">
        <v>16621394</v>
      </c>
      <c r="D143" s="113">
        <v>20564756</v>
      </c>
      <c r="E143" s="113">
        <f t="shared" si="20"/>
        <v>3943362</v>
      </c>
      <c r="F143" s="114">
        <f t="shared" si="21"/>
        <v>0.23724616599546344</v>
      </c>
    </row>
    <row r="144" spans="1:6" x14ac:dyDescent="0.2">
      <c r="A144" s="115">
        <v>3</v>
      </c>
      <c r="B144" s="116" t="s">
        <v>115</v>
      </c>
      <c r="C144" s="113">
        <v>59670269</v>
      </c>
      <c r="D144" s="113">
        <v>65510836</v>
      </c>
      <c r="E144" s="113">
        <f t="shared" si="20"/>
        <v>5840567</v>
      </c>
      <c r="F144" s="114">
        <f t="shared" si="21"/>
        <v>9.7880688287160234E-2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1535427</v>
      </c>
      <c r="D146" s="113">
        <v>1741044</v>
      </c>
      <c r="E146" s="113">
        <f t="shared" si="20"/>
        <v>205617</v>
      </c>
      <c r="F146" s="114">
        <f t="shared" si="21"/>
        <v>0.13391519101852448</v>
      </c>
    </row>
    <row r="147" spans="1:6" x14ac:dyDescent="0.2">
      <c r="A147" s="115">
        <v>6</v>
      </c>
      <c r="B147" s="116" t="s">
        <v>118</v>
      </c>
      <c r="C147" s="113">
        <v>7495450</v>
      </c>
      <c r="D147" s="113">
        <v>8107525</v>
      </c>
      <c r="E147" s="113">
        <f t="shared" si="20"/>
        <v>612075</v>
      </c>
      <c r="F147" s="114">
        <f t="shared" si="21"/>
        <v>8.1659540121006749E-2</v>
      </c>
    </row>
    <row r="148" spans="1:6" x14ac:dyDescent="0.2">
      <c r="A148" s="115">
        <v>7</v>
      </c>
      <c r="B148" s="116" t="s">
        <v>119</v>
      </c>
      <c r="C148" s="113">
        <v>94467190</v>
      </c>
      <c r="D148" s="113">
        <v>92604897</v>
      </c>
      <c r="E148" s="113">
        <f t="shared" si="20"/>
        <v>-1862293</v>
      </c>
      <c r="F148" s="114">
        <f t="shared" si="21"/>
        <v>-1.9713648728198647E-2</v>
      </c>
    </row>
    <row r="149" spans="1:6" x14ac:dyDescent="0.2">
      <c r="A149" s="115">
        <v>8</v>
      </c>
      <c r="B149" s="116" t="s">
        <v>120</v>
      </c>
      <c r="C149" s="113">
        <v>3687086</v>
      </c>
      <c r="D149" s="113">
        <v>3755044</v>
      </c>
      <c r="E149" s="113">
        <f t="shared" si="20"/>
        <v>67958</v>
      </c>
      <c r="F149" s="114">
        <f t="shared" si="21"/>
        <v>1.8431357445961392E-2</v>
      </c>
    </row>
    <row r="150" spans="1:6" x14ac:dyDescent="0.2">
      <c r="A150" s="115">
        <v>9</v>
      </c>
      <c r="B150" s="116" t="s">
        <v>121</v>
      </c>
      <c r="C150" s="113">
        <v>10338122</v>
      </c>
      <c r="D150" s="113">
        <v>7679262</v>
      </c>
      <c r="E150" s="113">
        <f t="shared" si="20"/>
        <v>-2658860</v>
      </c>
      <c r="F150" s="114">
        <f t="shared" si="21"/>
        <v>-0.25718984550578916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260479508</v>
      </c>
      <c r="D153" s="119">
        <f>SUM(D142:D152)</f>
        <v>277797965</v>
      </c>
      <c r="E153" s="119">
        <f t="shared" si="20"/>
        <v>17318457</v>
      </c>
      <c r="F153" s="120">
        <f t="shared" si="21"/>
        <v>6.6486830894966223E-2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8951059</v>
      </c>
      <c r="D155" s="113">
        <v>9869607</v>
      </c>
      <c r="E155" s="113">
        <f t="shared" ref="E155:E166" si="22">D155-C155</f>
        <v>918548</v>
      </c>
      <c r="F155" s="114">
        <f t="shared" ref="F155:F166" si="23">IF(C155=0,0,E155/C155)</f>
        <v>0.10261891916922902</v>
      </c>
    </row>
    <row r="156" spans="1:6" x14ac:dyDescent="0.2">
      <c r="A156" s="115">
        <v>2</v>
      </c>
      <c r="B156" s="116" t="s">
        <v>114</v>
      </c>
      <c r="C156" s="113">
        <v>2446705</v>
      </c>
      <c r="D156" s="113">
        <v>2858725</v>
      </c>
      <c r="E156" s="113">
        <f t="shared" si="22"/>
        <v>412020</v>
      </c>
      <c r="F156" s="114">
        <f t="shared" si="23"/>
        <v>0.16839790657230846</v>
      </c>
    </row>
    <row r="157" spans="1:6" x14ac:dyDescent="0.2">
      <c r="A157" s="115">
        <v>3</v>
      </c>
      <c r="B157" s="116" t="s">
        <v>115</v>
      </c>
      <c r="C157" s="113">
        <v>8484648</v>
      </c>
      <c r="D157" s="113">
        <v>8281194</v>
      </c>
      <c r="E157" s="113">
        <f t="shared" si="22"/>
        <v>-203454</v>
      </c>
      <c r="F157" s="114">
        <f t="shared" si="23"/>
        <v>-2.3979073734113659E-2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247333</v>
      </c>
      <c r="D159" s="113">
        <v>277421</v>
      </c>
      <c r="E159" s="113">
        <f t="shared" si="22"/>
        <v>30088</v>
      </c>
      <c r="F159" s="114">
        <f t="shared" si="23"/>
        <v>0.12164975963579466</v>
      </c>
    </row>
    <row r="160" spans="1:6" x14ac:dyDescent="0.2">
      <c r="A160" s="115">
        <v>6</v>
      </c>
      <c r="B160" s="116" t="s">
        <v>118</v>
      </c>
      <c r="C160" s="113">
        <v>1680023</v>
      </c>
      <c r="D160" s="113">
        <v>1770968</v>
      </c>
      <c r="E160" s="113">
        <f t="shared" si="22"/>
        <v>90945</v>
      </c>
      <c r="F160" s="114">
        <f t="shared" si="23"/>
        <v>5.4133187462314505E-2</v>
      </c>
    </row>
    <row r="161" spans="1:6" x14ac:dyDescent="0.2">
      <c r="A161" s="115">
        <v>7</v>
      </c>
      <c r="B161" s="116" t="s">
        <v>119</v>
      </c>
      <c r="C161" s="113">
        <v>35331716</v>
      </c>
      <c r="D161" s="113">
        <v>35326756</v>
      </c>
      <c r="E161" s="113">
        <f t="shared" si="22"/>
        <v>-4960</v>
      </c>
      <c r="F161" s="114">
        <f t="shared" si="23"/>
        <v>-1.4038378435963879E-4</v>
      </c>
    </row>
    <row r="162" spans="1:6" x14ac:dyDescent="0.2">
      <c r="A162" s="115">
        <v>8</v>
      </c>
      <c r="B162" s="116" t="s">
        <v>120</v>
      </c>
      <c r="C162" s="113">
        <v>2055544</v>
      </c>
      <c r="D162" s="113">
        <v>1897872</v>
      </c>
      <c r="E162" s="113">
        <f t="shared" si="22"/>
        <v>-157672</v>
      </c>
      <c r="F162" s="114">
        <f t="shared" si="23"/>
        <v>-7.6705728507879184E-2</v>
      </c>
    </row>
    <row r="163" spans="1:6" x14ac:dyDescent="0.2">
      <c r="A163" s="115">
        <v>9</v>
      </c>
      <c r="B163" s="116" t="s">
        <v>121</v>
      </c>
      <c r="C163" s="113">
        <v>306286</v>
      </c>
      <c r="D163" s="113">
        <v>222043</v>
      </c>
      <c r="E163" s="113">
        <f t="shared" si="22"/>
        <v>-84243</v>
      </c>
      <c r="F163" s="114">
        <f t="shared" si="23"/>
        <v>-0.2750468516353996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59503314</v>
      </c>
      <c r="D166" s="119">
        <f>SUM(D155:D165)</f>
        <v>60504586</v>
      </c>
      <c r="E166" s="119">
        <f t="shared" si="22"/>
        <v>1001272</v>
      </c>
      <c r="F166" s="120">
        <f t="shared" si="23"/>
        <v>1.6827163609744494E-2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15549</v>
      </c>
      <c r="D168" s="133">
        <v>15635</v>
      </c>
      <c r="E168" s="133">
        <f t="shared" ref="E168:E179" si="24">D168-C168</f>
        <v>86</v>
      </c>
      <c r="F168" s="114">
        <f t="shared" ref="F168:F179" si="25">IF(C168=0,0,E168/C168)</f>
        <v>5.5309023088301497E-3</v>
      </c>
    </row>
    <row r="169" spans="1:6" x14ac:dyDescent="0.2">
      <c r="A169" s="115">
        <v>2</v>
      </c>
      <c r="B169" s="116" t="s">
        <v>114</v>
      </c>
      <c r="C169" s="133">
        <v>3815</v>
      </c>
      <c r="D169" s="133">
        <v>4346</v>
      </c>
      <c r="E169" s="133">
        <f t="shared" si="24"/>
        <v>531</v>
      </c>
      <c r="F169" s="114">
        <f t="shared" si="25"/>
        <v>0.13918741808650065</v>
      </c>
    </row>
    <row r="170" spans="1:6" x14ac:dyDescent="0.2">
      <c r="A170" s="115">
        <v>3</v>
      </c>
      <c r="B170" s="116" t="s">
        <v>115</v>
      </c>
      <c r="C170" s="133">
        <v>21676</v>
      </c>
      <c r="D170" s="133">
        <v>23044</v>
      </c>
      <c r="E170" s="133">
        <f t="shared" si="24"/>
        <v>1368</v>
      </c>
      <c r="F170" s="114">
        <f t="shared" si="25"/>
        <v>6.3111275143015316E-2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647</v>
      </c>
      <c r="D172" s="133">
        <v>675</v>
      </c>
      <c r="E172" s="133">
        <f t="shared" si="24"/>
        <v>28</v>
      </c>
      <c r="F172" s="114">
        <f t="shared" si="25"/>
        <v>4.3276661514683151E-2</v>
      </c>
    </row>
    <row r="173" spans="1:6" x14ac:dyDescent="0.2">
      <c r="A173" s="115">
        <v>6</v>
      </c>
      <c r="B173" s="116" t="s">
        <v>118</v>
      </c>
      <c r="C173" s="133">
        <v>2328</v>
      </c>
      <c r="D173" s="133">
        <v>2439</v>
      </c>
      <c r="E173" s="133">
        <f t="shared" si="24"/>
        <v>111</v>
      </c>
      <c r="F173" s="114">
        <f t="shared" si="25"/>
        <v>4.7680412371134018E-2</v>
      </c>
    </row>
    <row r="174" spans="1:6" x14ac:dyDescent="0.2">
      <c r="A174" s="115">
        <v>7</v>
      </c>
      <c r="B174" s="116" t="s">
        <v>119</v>
      </c>
      <c r="C174" s="133">
        <v>30820</v>
      </c>
      <c r="D174" s="133">
        <v>28630</v>
      </c>
      <c r="E174" s="133">
        <f t="shared" si="24"/>
        <v>-2190</v>
      </c>
      <c r="F174" s="114">
        <f t="shared" si="25"/>
        <v>-7.1057754704737186E-2</v>
      </c>
    </row>
    <row r="175" spans="1:6" x14ac:dyDescent="0.2">
      <c r="A175" s="115">
        <v>8</v>
      </c>
      <c r="B175" s="116" t="s">
        <v>120</v>
      </c>
      <c r="C175" s="133">
        <v>1895</v>
      </c>
      <c r="D175" s="133">
        <v>1897</v>
      </c>
      <c r="E175" s="133">
        <f t="shared" si="24"/>
        <v>2</v>
      </c>
      <c r="F175" s="114">
        <f t="shared" si="25"/>
        <v>1.0554089709762533E-3</v>
      </c>
    </row>
    <row r="176" spans="1:6" x14ac:dyDescent="0.2">
      <c r="A176" s="115">
        <v>9</v>
      </c>
      <c r="B176" s="116" t="s">
        <v>121</v>
      </c>
      <c r="C176" s="133">
        <v>3825</v>
      </c>
      <c r="D176" s="133">
        <v>2897</v>
      </c>
      <c r="E176" s="133">
        <f t="shared" si="24"/>
        <v>-928</v>
      </c>
      <c r="F176" s="114">
        <f t="shared" si="25"/>
        <v>-0.24261437908496733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80555</v>
      </c>
      <c r="D179" s="134">
        <f>SUM(D168:D178)</f>
        <v>79563</v>
      </c>
      <c r="E179" s="134">
        <f t="shared" si="24"/>
        <v>-992</v>
      </c>
      <c r="F179" s="120">
        <f t="shared" si="25"/>
        <v>-1.2314567686673701E-2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FILING&amp;RMIDDLESEX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45660781</v>
      </c>
      <c r="D15" s="157">
        <v>48109273</v>
      </c>
      <c r="E15" s="157">
        <f>+D15-C15</f>
        <v>2448492</v>
      </c>
      <c r="F15" s="161">
        <f>IF(C15=0,0,E15/C15)</f>
        <v>5.3623524310720837E-2</v>
      </c>
    </row>
    <row r="16" spans="1:6" ht="15" customHeight="1" x14ac:dyDescent="0.2">
      <c r="A16" s="147">
        <v>2</v>
      </c>
      <c r="B16" s="160" t="s">
        <v>157</v>
      </c>
      <c r="C16" s="157">
        <v>28083459</v>
      </c>
      <c r="D16" s="157">
        <v>29654826</v>
      </c>
      <c r="E16" s="157">
        <f>+D16-C16</f>
        <v>1571367</v>
      </c>
      <c r="F16" s="161">
        <f>IF(C16=0,0,E16/C16)</f>
        <v>5.5953470688920481E-2</v>
      </c>
    </row>
    <row r="17" spans="1:6" ht="15" customHeight="1" x14ac:dyDescent="0.2">
      <c r="A17" s="147">
        <v>3</v>
      </c>
      <c r="B17" s="160" t="s">
        <v>158</v>
      </c>
      <c r="C17" s="157">
        <v>91101334</v>
      </c>
      <c r="D17" s="157">
        <v>90314138</v>
      </c>
      <c r="E17" s="157">
        <f>+D17-C17</f>
        <v>-787196</v>
      </c>
      <c r="F17" s="161">
        <f>IF(C17=0,0,E17/C17)</f>
        <v>-8.6408833486455866E-3</v>
      </c>
    </row>
    <row r="18" spans="1:6" ht="15.75" customHeight="1" x14ac:dyDescent="0.25">
      <c r="A18" s="147"/>
      <c r="B18" s="162" t="s">
        <v>159</v>
      </c>
      <c r="C18" s="158">
        <f>SUM(C15:C17)</f>
        <v>164845574</v>
      </c>
      <c r="D18" s="158">
        <f>SUM(D15:D17)</f>
        <v>168078237</v>
      </c>
      <c r="E18" s="158">
        <f>+D18-C18</f>
        <v>3232663</v>
      </c>
      <c r="F18" s="159">
        <f>IF(C18=0,0,E18/C18)</f>
        <v>1.9610250500265176E-2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10194297</v>
      </c>
      <c r="D21" s="157">
        <v>12181092</v>
      </c>
      <c r="E21" s="157">
        <f>+D21-C21</f>
        <v>1986795</v>
      </c>
      <c r="F21" s="161">
        <f>IF(C21=0,0,E21/C21)</f>
        <v>0.19489279152843988</v>
      </c>
    </row>
    <row r="22" spans="1:6" ht="15" customHeight="1" x14ac:dyDescent="0.2">
      <c r="A22" s="147">
        <v>2</v>
      </c>
      <c r="B22" s="160" t="s">
        <v>162</v>
      </c>
      <c r="C22" s="157">
        <v>6269956</v>
      </c>
      <c r="D22" s="157">
        <v>7508493</v>
      </c>
      <c r="E22" s="157">
        <f>+D22-C22</f>
        <v>1238537</v>
      </c>
      <c r="F22" s="161">
        <f>IF(C22=0,0,E22/C22)</f>
        <v>0.19753519801414873</v>
      </c>
    </row>
    <row r="23" spans="1:6" ht="15" customHeight="1" x14ac:dyDescent="0.2">
      <c r="A23" s="147">
        <v>3</v>
      </c>
      <c r="B23" s="160" t="s">
        <v>163</v>
      </c>
      <c r="C23" s="157">
        <v>20339427</v>
      </c>
      <c r="D23" s="157">
        <v>22867210</v>
      </c>
      <c r="E23" s="157">
        <f>+D23-C23</f>
        <v>2527783</v>
      </c>
      <c r="F23" s="161">
        <f>IF(C23=0,0,E23/C23)</f>
        <v>0.12427995144602648</v>
      </c>
    </row>
    <row r="24" spans="1:6" ht="15.75" customHeight="1" x14ac:dyDescent="0.25">
      <c r="A24" s="147"/>
      <c r="B24" s="162" t="s">
        <v>164</v>
      </c>
      <c r="C24" s="158">
        <f>SUM(C21:C23)</f>
        <v>36803680</v>
      </c>
      <c r="D24" s="158">
        <f>SUM(D21:D23)</f>
        <v>42556795</v>
      </c>
      <c r="E24" s="158">
        <f>+D24-C24</f>
        <v>5753115</v>
      </c>
      <c r="F24" s="159">
        <f>IF(C24=0,0,E24/C24)</f>
        <v>0.15631901483764668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599453</v>
      </c>
      <c r="D27" s="157">
        <v>532781</v>
      </c>
      <c r="E27" s="157">
        <f>+D27-C27</f>
        <v>-66672</v>
      </c>
      <c r="F27" s="161">
        <f>IF(C27=0,0,E27/C27)</f>
        <v>-0.11122139684011924</v>
      </c>
    </row>
    <row r="28" spans="1:6" ht="15" customHeight="1" x14ac:dyDescent="0.2">
      <c r="A28" s="147">
        <v>2</v>
      </c>
      <c r="B28" s="160" t="s">
        <v>167</v>
      </c>
      <c r="C28" s="157">
        <v>3624974</v>
      </c>
      <c r="D28" s="157">
        <v>4053027</v>
      </c>
      <c r="E28" s="157">
        <f>+D28-C28</f>
        <v>428053</v>
      </c>
      <c r="F28" s="161">
        <f>IF(C28=0,0,E28/C28)</f>
        <v>0.11808443315731368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4224427</v>
      </c>
      <c r="D30" s="158">
        <f>SUM(D27:D29)</f>
        <v>4585808</v>
      </c>
      <c r="E30" s="158">
        <f>+D30-C30</f>
        <v>361381</v>
      </c>
      <c r="F30" s="159">
        <f>IF(C30=0,0,E30/C30)</f>
        <v>8.5545566298103864E-2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26443627</v>
      </c>
      <c r="D33" s="157">
        <v>30045580</v>
      </c>
      <c r="E33" s="157">
        <f>+D33-C33</f>
        <v>3601953</v>
      </c>
      <c r="F33" s="161">
        <f>IF(C33=0,0,E33/C33)</f>
        <v>0.13621251729197359</v>
      </c>
    </row>
    <row r="34" spans="1:6" ht="15" customHeight="1" x14ac:dyDescent="0.2">
      <c r="A34" s="147">
        <v>2</v>
      </c>
      <c r="B34" s="160" t="s">
        <v>173</v>
      </c>
      <c r="C34" s="157">
        <v>9810330</v>
      </c>
      <c r="D34" s="157">
        <v>11024998</v>
      </c>
      <c r="E34" s="157">
        <f>+D34-C34</f>
        <v>1214668</v>
      </c>
      <c r="F34" s="161">
        <f>IF(C34=0,0,E34/C34)</f>
        <v>0.12381520295443681</v>
      </c>
    </row>
    <row r="35" spans="1:6" ht="15.75" customHeight="1" x14ac:dyDescent="0.25">
      <c r="A35" s="147"/>
      <c r="B35" s="162" t="s">
        <v>174</v>
      </c>
      <c r="C35" s="158">
        <f>SUM(C33:C34)</f>
        <v>36253957</v>
      </c>
      <c r="D35" s="158">
        <f>SUM(D33:D34)</f>
        <v>41070578</v>
      </c>
      <c r="E35" s="158">
        <f>+D35-C35</f>
        <v>4816621</v>
      </c>
      <c r="F35" s="159">
        <f>IF(C35=0,0,E35/C35)</f>
        <v>0.13285780087398461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10461349</v>
      </c>
      <c r="D38" s="157">
        <v>10729732</v>
      </c>
      <c r="E38" s="157">
        <f>+D38-C38</f>
        <v>268383</v>
      </c>
      <c r="F38" s="161">
        <f>IF(C38=0,0,E38/C38)</f>
        <v>2.5654721967501515E-2</v>
      </c>
    </row>
    <row r="39" spans="1:6" ht="15" customHeight="1" x14ac:dyDescent="0.2">
      <c r="A39" s="147">
        <v>2</v>
      </c>
      <c r="B39" s="160" t="s">
        <v>178</v>
      </c>
      <c r="C39" s="157">
        <v>11820262</v>
      </c>
      <c r="D39" s="157">
        <v>12583510</v>
      </c>
      <c r="E39" s="157">
        <f>+D39-C39</f>
        <v>763248</v>
      </c>
      <c r="F39" s="161">
        <f>IF(C39=0,0,E39/C39)</f>
        <v>6.4571157559790135E-2</v>
      </c>
    </row>
    <row r="40" spans="1:6" ht="15" customHeight="1" x14ac:dyDescent="0.2">
      <c r="A40" s="147">
        <v>3</v>
      </c>
      <c r="B40" s="160" t="s">
        <v>179</v>
      </c>
      <c r="C40" s="157">
        <v>27871</v>
      </c>
      <c r="D40" s="157">
        <v>237913</v>
      </c>
      <c r="E40" s="157">
        <f>+D40-C40</f>
        <v>210042</v>
      </c>
      <c r="F40" s="161">
        <f>IF(C40=0,0,E40/C40)</f>
        <v>7.5362204441893006</v>
      </c>
    </row>
    <row r="41" spans="1:6" ht="15.75" customHeight="1" x14ac:dyDescent="0.25">
      <c r="A41" s="147"/>
      <c r="B41" s="162" t="s">
        <v>180</v>
      </c>
      <c r="C41" s="158">
        <f>SUM(C38:C40)</f>
        <v>22309482</v>
      </c>
      <c r="D41" s="158">
        <f>SUM(D38:D40)</f>
        <v>23551155</v>
      </c>
      <c r="E41" s="158">
        <f>+D41-C41</f>
        <v>1241673</v>
      </c>
      <c r="F41" s="159">
        <f>IF(C41=0,0,E41/C41)</f>
        <v>5.5656738242510516E-2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2896503</v>
      </c>
      <c r="D47" s="157">
        <v>2603790</v>
      </c>
      <c r="E47" s="157">
        <f>+D47-C47</f>
        <v>-292713</v>
      </c>
      <c r="F47" s="161">
        <f>IF(C47=0,0,E47/C47)</f>
        <v>-0.10105737850090264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3379448</v>
      </c>
      <c r="D50" s="157">
        <v>5883856</v>
      </c>
      <c r="E50" s="157">
        <f>+D50-C50</f>
        <v>2504408</v>
      </c>
      <c r="F50" s="161">
        <f>IF(C50=0,0,E50/C50)</f>
        <v>0.74107013926534748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378725</v>
      </c>
      <c r="D53" s="157">
        <v>370385</v>
      </c>
      <c r="E53" s="157">
        <f t="shared" ref="E53:E59" si="0">+D53-C53</f>
        <v>-8340</v>
      </c>
      <c r="F53" s="161">
        <f t="shared" ref="F53:F59" si="1">IF(C53=0,0,E53/C53)</f>
        <v>-2.2021255528417716E-2</v>
      </c>
    </row>
    <row r="54" spans="1:6" ht="15" customHeight="1" x14ac:dyDescent="0.2">
      <c r="A54" s="147">
        <v>2</v>
      </c>
      <c r="B54" s="160" t="s">
        <v>189</v>
      </c>
      <c r="C54" s="157">
        <v>860074</v>
      </c>
      <c r="D54" s="157">
        <v>1074262</v>
      </c>
      <c r="E54" s="157">
        <f t="shared" si="0"/>
        <v>214188</v>
      </c>
      <c r="F54" s="161">
        <f t="shared" si="1"/>
        <v>0.24903438541334816</v>
      </c>
    </row>
    <row r="55" spans="1:6" ht="15" customHeight="1" x14ac:dyDescent="0.2">
      <c r="A55" s="147">
        <v>3</v>
      </c>
      <c r="B55" s="160" t="s">
        <v>190</v>
      </c>
      <c r="C55" s="157">
        <v>100641</v>
      </c>
      <c r="D55" s="157">
        <v>65348</v>
      </c>
      <c r="E55" s="157">
        <f t="shared" si="0"/>
        <v>-35293</v>
      </c>
      <c r="F55" s="161">
        <f t="shared" si="1"/>
        <v>-0.35068212756232547</v>
      </c>
    </row>
    <row r="56" spans="1:6" ht="15" customHeight="1" x14ac:dyDescent="0.2">
      <c r="A56" s="147">
        <v>4</v>
      </c>
      <c r="B56" s="160" t="s">
        <v>191</v>
      </c>
      <c r="C56" s="157">
        <v>2707487</v>
      </c>
      <c r="D56" s="157">
        <v>2925231</v>
      </c>
      <c r="E56" s="157">
        <f t="shared" si="0"/>
        <v>217744</v>
      </c>
      <c r="F56" s="161">
        <f t="shared" si="1"/>
        <v>8.0422916158046184E-2</v>
      </c>
    </row>
    <row r="57" spans="1:6" ht="15" customHeight="1" x14ac:dyDescent="0.2">
      <c r="A57" s="147">
        <v>5</v>
      </c>
      <c r="B57" s="160" t="s">
        <v>192</v>
      </c>
      <c r="C57" s="157">
        <v>1532992</v>
      </c>
      <c r="D57" s="157">
        <v>1637498</v>
      </c>
      <c r="E57" s="157">
        <f t="shared" si="0"/>
        <v>104506</v>
      </c>
      <c r="F57" s="161">
        <f t="shared" si="1"/>
        <v>6.8171262472341676E-2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5579919</v>
      </c>
      <c r="D59" s="158">
        <f>SUM(D53:D58)</f>
        <v>6072724</v>
      </c>
      <c r="E59" s="158">
        <f t="shared" si="0"/>
        <v>492805</v>
      </c>
      <c r="F59" s="159">
        <f t="shared" si="1"/>
        <v>8.831759027326383E-2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219741</v>
      </c>
      <c r="D62" s="157">
        <v>176843</v>
      </c>
      <c r="E62" s="157">
        <f t="shared" ref="E62:E90" si="2">+D62-C62</f>
        <v>-42898</v>
      </c>
      <c r="F62" s="161">
        <f t="shared" ref="F62:F90" si="3">IF(C62=0,0,E62/C62)</f>
        <v>-0.19522073714054272</v>
      </c>
    </row>
    <row r="63" spans="1:6" ht="15" customHeight="1" x14ac:dyDescent="0.2">
      <c r="A63" s="147">
        <v>2</v>
      </c>
      <c r="B63" s="160" t="s">
        <v>198</v>
      </c>
      <c r="C63" s="157">
        <v>689601</v>
      </c>
      <c r="D63" s="157">
        <v>651119</v>
      </c>
      <c r="E63" s="157">
        <f t="shared" si="2"/>
        <v>-38482</v>
      </c>
      <c r="F63" s="161">
        <f t="shared" si="3"/>
        <v>-5.5803283347906976E-2</v>
      </c>
    </row>
    <row r="64" spans="1:6" ht="15" customHeight="1" x14ac:dyDescent="0.2">
      <c r="A64" s="147">
        <v>3</v>
      </c>
      <c r="B64" s="160" t="s">
        <v>199</v>
      </c>
      <c r="C64" s="157">
        <v>3597979</v>
      </c>
      <c r="D64" s="157">
        <v>1493636</v>
      </c>
      <c r="E64" s="157">
        <f t="shared" si="2"/>
        <v>-2104343</v>
      </c>
      <c r="F64" s="161">
        <f t="shared" si="3"/>
        <v>-0.58486806065293873</v>
      </c>
    </row>
    <row r="65" spans="1:6" ht="15" customHeight="1" x14ac:dyDescent="0.2">
      <c r="A65" s="147">
        <v>4</v>
      </c>
      <c r="B65" s="160" t="s">
        <v>200</v>
      </c>
      <c r="C65" s="157">
        <v>769384</v>
      </c>
      <c r="D65" s="157">
        <v>868780</v>
      </c>
      <c r="E65" s="157">
        <f t="shared" si="2"/>
        <v>99396</v>
      </c>
      <c r="F65" s="161">
        <f t="shared" si="3"/>
        <v>0.1291890655381448</v>
      </c>
    </row>
    <row r="66" spans="1:6" ht="15" customHeight="1" x14ac:dyDescent="0.2">
      <c r="A66" s="147">
        <v>5</v>
      </c>
      <c r="B66" s="160" t="s">
        <v>201</v>
      </c>
      <c r="C66" s="157">
        <v>1971166</v>
      </c>
      <c r="D66" s="157">
        <v>1968551</v>
      </c>
      <c r="E66" s="157">
        <f t="shared" si="2"/>
        <v>-2615</v>
      </c>
      <c r="F66" s="161">
        <f t="shared" si="3"/>
        <v>-1.3266259665598941E-3</v>
      </c>
    </row>
    <row r="67" spans="1:6" ht="15" customHeight="1" x14ac:dyDescent="0.2">
      <c r="A67" s="147">
        <v>6</v>
      </c>
      <c r="B67" s="160" t="s">
        <v>202</v>
      </c>
      <c r="C67" s="157">
        <v>3931224</v>
      </c>
      <c r="D67" s="157">
        <v>4321619</v>
      </c>
      <c r="E67" s="157">
        <f t="shared" si="2"/>
        <v>390395</v>
      </c>
      <c r="F67" s="161">
        <f t="shared" si="3"/>
        <v>9.9306221166740941E-2</v>
      </c>
    </row>
    <row r="68" spans="1:6" ht="15" customHeight="1" x14ac:dyDescent="0.2">
      <c r="A68" s="147">
        <v>7</v>
      </c>
      <c r="B68" s="160" t="s">
        <v>203</v>
      </c>
      <c r="C68" s="157">
        <v>1739842</v>
      </c>
      <c r="D68" s="157">
        <v>1940494</v>
      </c>
      <c r="E68" s="157">
        <f t="shared" si="2"/>
        <v>200652</v>
      </c>
      <c r="F68" s="161">
        <f t="shared" si="3"/>
        <v>0.11532771366595357</v>
      </c>
    </row>
    <row r="69" spans="1:6" ht="15" customHeight="1" x14ac:dyDescent="0.2">
      <c r="A69" s="147">
        <v>8</v>
      </c>
      <c r="B69" s="160" t="s">
        <v>204</v>
      </c>
      <c r="C69" s="157">
        <v>557123</v>
      </c>
      <c r="D69" s="157">
        <v>583596</v>
      </c>
      <c r="E69" s="157">
        <f t="shared" si="2"/>
        <v>26473</v>
      </c>
      <c r="F69" s="161">
        <f t="shared" si="3"/>
        <v>4.7517334592181618E-2</v>
      </c>
    </row>
    <row r="70" spans="1:6" ht="15" customHeight="1" x14ac:dyDescent="0.2">
      <c r="A70" s="147">
        <v>9</v>
      </c>
      <c r="B70" s="160" t="s">
        <v>205</v>
      </c>
      <c r="C70" s="157">
        <v>1320681</v>
      </c>
      <c r="D70" s="157">
        <v>1277886</v>
      </c>
      <c r="E70" s="157">
        <f t="shared" si="2"/>
        <v>-42795</v>
      </c>
      <c r="F70" s="161">
        <f t="shared" si="3"/>
        <v>-3.2403737162872794E-2</v>
      </c>
    </row>
    <row r="71" spans="1:6" ht="15" customHeight="1" x14ac:dyDescent="0.2">
      <c r="A71" s="147">
        <v>10</v>
      </c>
      <c r="B71" s="160" t="s">
        <v>206</v>
      </c>
      <c r="C71" s="157">
        <v>97707</v>
      </c>
      <c r="D71" s="157">
        <v>159203</v>
      </c>
      <c r="E71" s="157">
        <f t="shared" si="2"/>
        <v>61496</v>
      </c>
      <c r="F71" s="161">
        <f t="shared" si="3"/>
        <v>0.6293919575874809</v>
      </c>
    </row>
    <row r="72" spans="1:6" ht="15" customHeight="1" x14ac:dyDescent="0.2">
      <c r="A72" s="147">
        <v>11</v>
      </c>
      <c r="B72" s="160" t="s">
        <v>207</v>
      </c>
      <c r="C72" s="157">
        <v>108499</v>
      </c>
      <c r="D72" s="157">
        <v>122764</v>
      </c>
      <c r="E72" s="157">
        <f t="shared" si="2"/>
        <v>14265</v>
      </c>
      <c r="F72" s="161">
        <f t="shared" si="3"/>
        <v>0.13147586613701509</v>
      </c>
    </row>
    <row r="73" spans="1:6" ht="15" customHeight="1" x14ac:dyDescent="0.2">
      <c r="A73" s="147">
        <v>12</v>
      </c>
      <c r="B73" s="160" t="s">
        <v>208</v>
      </c>
      <c r="C73" s="157">
        <v>1678733</v>
      </c>
      <c r="D73" s="157">
        <v>1942979</v>
      </c>
      <c r="E73" s="157">
        <f t="shared" si="2"/>
        <v>264246</v>
      </c>
      <c r="F73" s="161">
        <f t="shared" si="3"/>
        <v>0.15740799757912663</v>
      </c>
    </row>
    <row r="74" spans="1:6" ht="15" customHeight="1" x14ac:dyDescent="0.2">
      <c r="A74" s="147">
        <v>13</v>
      </c>
      <c r="B74" s="160" t="s">
        <v>209</v>
      </c>
      <c r="C74" s="157">
        <v>538669</v>
      </c>
      <c r="D74" s="157">
        <v>543369</v>
      </c>
      <c r="E74" s="157">
        <f t="shared" si="2"/>
        <v>4700</v>
      </c>
      <c r="F74" s="161">
        <f t="shared" si="3"/>
        <v>8.7252097299083484E-3</v>
      </c>
    </row>
    <row r="75" spans="1:6" ht="15" customHeight="1" x14ac:dyDescent="0.2">
      <c r="A75" s="147">
        <v>14</v>
      </c>
      <c r="B75" s="160" t="s">
        <v>210</v>
      </c>
      <c r="C75" s="157">
        <v>248412</v>
      </c>
      <c r="D75" s="157">
        <v>290897</v>
      </c>
      <c r="E75" s="157">
        <f t="shared" si="2"/>
        <v>42485</v>
      </c>
      <c r="F75" s="161">
        <f t="shared" si="3"/>
        <v>0.17102635943513195</v>
      </c>
    </row>
    <row r="76" spans="1:6" ht="15" customHeight="1" x14ac:dyDescent="0.2">
      <c r="A76" s="147">
        <v>15</v>
      </c>
      <c r="B76" s="160" t="s">
        <v>211</v>
      </c>
      <c r="C76" s="157">
        <v>311953</v>
      </c>
      <c r="D76" s="157">
        <v>355568</v>
      </c>
      <c r="E76" s="157">
        <f t="shared" si="2"/>
        <v>43615</v>
      </c>
      <c r="F76" s="161">
        <f t="shared" si="3"/>
        <v>0.13981272819944029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4104775</v>
      </c>
      <c r="D78" s="157">
        <v>4131826</v>
      </c>
      <c r="E78" s="157">
        <f t="shared" si="2"/>
        <v>27051</v>
      </c>
      <c r="F78" s="161">
        <f t="shared" si="3"/>
        <v>6.5901297878690063E-3</v>
      </c>
    </row>
    <row r="79" spans="1:6" ht="15" customHeight="1" x14ac:dyDescent="0.2">
      <c r="A79" s="147">
        <v>18</v>
      </c>
      <c r="B79" s="160" t="s">
        <v>214</v>
      </c>
      <c r="C79" s="157">
        <v>341331</v>
      </c>
      <c r="D79" s="157">
        <v>313698</v>
      </c>
      <c r="E79" s="157">
        <f t="shared" si="2"/>
        <v>-27633</v>
      </c>
      <c r="F79" s="161">
        <f t="shared" si="3"/>
        <v>-8.0956608101813196E-2</v>
      </c>
    </row>
    <row r="80" spans="1:6" ht="15" customHeight="1" x14ac:dyDescent="0.2">
      <c r="A80" s="147">
        <v>19</v>
      </c>
      <c r="B80" s="160" t="s">
        <v>215</v>
      </c>
      <c r="C80" s="157">
        <v>1620267</v>
      </c>
      <c r="D80" s="157">
        <v>1636801</v>
      </c>
      <c r="E80" s="157">
        <f t="shared" si="2"/>
        <v>16534</v>
      </c>
      <c r="F80" s="161">
        <f t="shared" si="3"/>
        <v>1.0204490988213671E-2</v>
      </c>
    </row>
    <row r="81" spans="1:6" ht="15" customHeight="1" x14ac:dyDescent="0.2">
      <c r="A81" s="147">
        <v>20</v>
      </c>
      <c r="B81" s="160" t="s">
        <v>216</v>
      </c>
      <c r="C81" s="157">
        <v>2987587</v>
      </c>
      <c r="D81" s="157">
        <v>1953250</v>
      </c>
      <c r="E81" s="157">
        <f t="shared" si="2"/>
        <v>-1034337</v>
      </c>
      <c r="F81" s="161">
        <f t="shared" si="3"/>
        <v>-0.34621150781550464</v>
      </c>
    </row>
    <row r="82" spans="1:6" ht="15" customHeight="1" x14ac:dyDescent="0.2">
      <c r="A82" s="147">
        <v>21</v>
      </c>
      <c r="B82" s="160" t="s">
        <v>217</v>
      </c>
      <c r="C82" s="157">
        <v>562352</v>
      </c>
      <c r="D82" s="157">
        <v>687308</v>
      </c>
      <c r="E82" s="157">
        <f t="shared" si="2"/>
        <v>124956</v>
      </c>
      <c r="F82" s="161">
        <f t="shared" si="3"/>
        <v>0.22220246393717813</v>
      </c>
    </row>
    <row r="83" spans="1:6" ht="15" customHeight="1" x14ac:dyDescent="0.2">
      <c r="A83" s="147">
        <v>22</v>
      </c>
      <c r="B83" s="160" t="s">
        <v>218</v>
      </c>
      <c r="C83" s="157">
        <v>1017654</v>
      </c>
      <c r="D83" s="157">
        <v>1179513</v>
      </c>
      <c r="E83" s="157">
        <f t="shared" si="2"/>
        <v>161859</v>
      </c>
      <c r="F83" s="161">
        <f t="shared" si="3"/>
        <v>0.1590511116744984</v>
      </c>
    </row>
    <row r="84" spans="1:6" ht="15" customHeight="1" x14ac:dyDescent="0.2">
      <c r="A84" s="147">
        <v>23</v>
      </c>
      <c r="B84" s="160" t="s">
        <v>219</v>
      </c>
      <c r="C84" s="157">
        <v>496371</v>
      </c>
      <c r="D84" s="157">
        <v>477415</v>
      </c>
      <c r="E84" s="157">
        <f t="shared" si="2"/>
        <v>-18956</v>
      </c>
      <c r="F84" s="161">
        <f t="shared" si="3"/>
        <v>-3.8189177047007181E-2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385609</v>
      </c>
      <c r="D86" s="157">
        <v>407137</v>
      </c>
      <c r="E86" s="157">
        <f t="shared" si="2"/>
        <v>21528</v>
      </c>
      <c r="F86" s="161">
        <f t="shared" si="3"/>
        <v>5.5828572465891617E-2</v>
      </c>
    </row>
    <row r="87" spans="1:6" ht="15" customHeight="1" x14ac:dyDescent="0.2">
      <c r="A87" s="147">
        <v>26</v>
      </c>
      <c r="B87" s="160" t="s">
        <v>222</v>
      </c>
      <c r="C87" s="157">
        <v>4605290</v>
      </c>
      <c r="D87" s="157">
        <v>4021073</v>
      </c>
      <c r="E87" s="157">
        <f t="shared" si="2"/>
        <v>-584217</v>
      </c>
      <c r="F87" s="161">
        <f t="shared" si="3"/>
        <v>-0.12685780917162653</v>
      </c>
    </row>
    <row r="88" spans="1:6" ht="15" customHeight="1" x14ac:dyDescent="0.2">
      <c r="A88" s="147">
        <v>27</v>
      </c>
      <c r="B88" s="160" t="s">
        <v>223</v>
      </c>
      <c r="C88" s="157">
        <v>20097240</v>
      </c>
      <c r="D88" s="157">
        <v>22153076</v>
      </c>
      <c r="E88" s="157">
        <f t="shared" si="2"/>
        <v>2055836</v>
      </c>
      <c r="F88" s="161">
        <f t="shared" si="3"/>
        <v>0.10229444441127239</v>
      </c>
    </row>
    <row r="89" spans="1:6" ht="15" customHeight="1" x14ac:dyDescent="0.2">
      <c r="A89" s="147">
        <v>28</v>
      </c>
      <c r="B89" s="160" t="s">
        <v>224</v>
      </c>
      <c r="C89" s="157">
        <v>15568434</v>
      </c>
      <c r="D89" s="157">
        <v>17689977</v>
      </c>
      <c r="E89" s="157">
        <f t="shared" si="2"/>
        <v>2121543</v>
      </c>
      <c r="F89" s="161">
        <f t="shared" si="3"/>
        <v>0.13627208748163111</v>
      </c>
    </row>
    <row r="90" spans="1:6" ht="15.75" customHeight="1" x14ac:dyDescent="0.25">
      <c r="A90" s="147"/>
      <c r="B90" s="162" t="s">
        <v>225</v>
      </c>
      <c r="C90" s="158">
        <f>SUM(C62:C89)</f>
        <v>69567624</v>
      </c>
      <c r="D90" s="158">
        <f>SUM(D62:D89)</f>
        <v>71348378</v>
      </c>
      <c r="E90" s="158">
        <f t="shared" si="2"/>
        <v>1780754</v>
      </c>
      <c r="F90" s="159">
        <f t="shared" si="3"/>
        <v>2.5597453206106336E-2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345860614</v>
      </c>
      <c r="D95" s="158">
        <f>+D93+D90+D59+D50+D47+D44+D41+D35+D30+D24+D18</f>
        <v>365751321</v>
      </c>
      <c r="E95" s="158">
        <f>+D95-C95</f>
        <v>19890707</v>
      </c>
      <c r="F95" s="159">
        <f>IF(C95=0,0,E95/C95)</f>
        <v>5.7510760678867005E-2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44572906</v>
      </c>
      <c r="D103" s="157">
        <v>44491015</v>
      </c>
      <c r="E103" s="157">
        <f t="shared" ref="E103:E121" si="4">D103-C103</f>
        <v>-81891</v>
      </c>
      <c r="F103" s="161">
        <f t="shared" ref="F103:F121" si="5">IF(C103=0,0,E103/C103)</f>
        <v>-1.8372371772215166E-3</v>
      </c>
    </row>
    <row r="104" spans="1:6" ht="15" customHeight="1" x14ac:dyDescent="0.2">
      <c r="A104" s="147">
        <v>2</v>
      </c>
      <c r="B104" s="169" t="s">
        <v>234</v>
      </c>
      <c r="C104" s="157">
        <v>1412470</v>
      </c>
      <c r="D104" s="157">
        <v>1658594</v>
      </c>
      <c r="E104" s="157">
        <f t="shared" si="4"/>
        <v>246124</v>
      </c>
      <c r="F104" s="161">
        <f t="shared" si="5"/>
        <v>0.17425078054755144</v>
      </c>
    </row>
    <row r="105" spans="1:6" ht="15" customHeight="1" x14ac:dyDescent="0.2">
      <c r="A105" s="147">
        <v>3</v>
      </c>
      <c r="B105" s="169" t="s">
        <v>235</v>
      </c>
      <c r="C105" s="157">
        <v>5161107</v>
      </c>
      <c r="D105" s="157">
        <v>4007909</v>
      </c>
      <c r="E105" s="157">
        <f t="shared" si="4"/>
        <v>-1153198</v>
      </c>
      <c r="F105" s="161">
        <f t="shared" si="5"/>
        <v>-0.22344004881123372</v>
      </c>
    </row>
    <row r="106" spans="1:6" ht="15" customHeight="1" x14ac:dyDescent="0.2">
      <c r="A106" s="147">
        <v>4</v>
      </c>
      <c r="B106" s="169" t="s">
        <v>236</v>
      </c>
      <c r="C106" s="157">
        <v>2786686</v>
      </c>
      <c r="D106" s="157">
        <v>3754775</v>
      </c>
      <c r="E106" s="157">
        <f t="shared" si="4"/>
        <v>968089</v>
      </c>
      <c r="F106" s="161">
        <f t="shared" si="5"/>
        <v>0.34739794867451879</v>
      </c>
    </row>
    <row r="107" spans="1:6" ht="15" customHeight="1" x14ac:dyDescent="0.2">
      <c r="A107" s="147">
        <v>5</v>
      </c>
      <c r="B107" s="169" t="s">
        <v>237</v>
      </c>
      <c r="C107" s="157">
        <v>15538303</v>
      </c>
      <c r="D107" s="157">
        <v>16607446</v>
      </c>
      <c r="E107" s="157">
        <f t="shared" si="4"/>
        <v>1069143</v>
      </c>
      <c r="F107" s="161">
        <f t="shared" si="5"/>
        <v>6.8806934708378384E-2</v>
      </c>
    </row>
    <row r="108" spans="1:6" ht="15" customHeight="1" x14ac:dyDescent="0.2">
      <c r="A108" s="147">
        <v>6</v>
      </c>
      <c r="B108" s="169" t="s">
        <v>238</v>
      </c>
      <c r="C108" s="157">
        <v>1951817</v>
      </c>
      <c r="D108" s="157">
        <v>2097934</v>
      </c>
      <c r="E108" s="157">
        <f t="shared" si="4"/>
        <v>146117</v>
      </c>
      <c r="F108" s="161">
        <f t="shared" si="5"/>
        <v>7.4862038807941525E-2</v>
      </c>
    </row>
    <row r="109" spans="1:6" ht="15" customHeight="1" x14ac:dyDescent="0.2">
      <c r="A109" s="147">
        <v>7</v>
      </c>
      <c r="B109" s="169" t="s">
        <v>239</v>
      </c>
      <c r="C109" s="157">
        <v>39362893</v>
      </c>
      <c r="D109" s="157">
        <v>44976703</v>
      </c>
      <c r="E109" s="157">
        <f t="shared" si="4"/>
        <v>5613810</v>
      </c>
      <c r="F109" s="161">
        <f t="shared" si="5"/>
        <v>0.14261680410532834</v>
      </c>
    </row>
    <row r="110" spans="1:6" ht="15" customHeight="1" x14ac:dyDescent="0.2">
      <c r="A110" s="147">
        <v>8</v>
      </c>
      <c r="B110" s="169" t="s">
        <v>240</v>
      </c>
      <c r="C110" s="157">
        <v>4099858</v>
      </c>
      <c r="D110" s="157">
        <v>4332294</v>
      </c>
      <c r="E110" s="157">
        <f t="shared" si="4"/>
        <v>232436</v>
      </c>
      <c r="F110" s="161">
        <f t="shared" si="5"/>
        <v>5.6693670853966163E-2</v>
      </c>
    </row>
    <row r="111" spans="1:6" ht="15" customHeight="1" x14ac:dyDescent="0.2">
      <c r="A111" s="147">
        <v>9</v>
      </c>
      <c r="B111" s="169" t="s">
        <v>241</v>
      </c>
      <c r="C111" s="157">
        <v>1649890</v>
      </c>
      <c r="D111" s="157">
        <v>1578138</v>
      </c>
      <c r="E111" s="157">
        <f t="shared" si="4"/>
        <v>-71752</v>
      </c>
      <c r="F111" s="161">
        <f t="shared" si="5"/>
        <v>-4.3488959870051941E-2</v>
      </c>
    </row>
    <row r="112" spans="1:6" ht="15" customHeight="1" x14ac:dyDescent="0.2">
      <c r="A112" s="147">
        <v>10</v>
      </c>
      <c r="B112" s="169" t="s">
        <v>242</v>
      </c>
      <c r="C112" s="157">
        <v>4107082</v>
      </c>
      <c r="D112" s="157">
        <v>4021334</v>
      </c>
      <c r="E112" s="157">
        <f t="shared" si="4"/>
        <v>-85748</v>
      </c>
      <c r="F112" s="161">
        <f t="shared" si="5"/>
        <v>-2.0878083271773002E-2</v>
      </c>
    </row>
    <row r="113" spans="1:6" ht="15" customHeight="1" x14ac:dyDescent="0.2">
      <c r="A113" s="147">
        <v>11</v>
      </c>
      <c r="B113" s="169" t="s">
        <v>243</v>
      </c>
      <c r="C113" s="157">
        <v>2995638</v>
      </c>
      <c r="D113" s="157">
        <v>2968297</v>
      </c>
      <c r="E113" s="157">
        <f t="shared" si="4"/>
        <v>-27341</v>
      </c>
      <c r="F113" s="161">
        <f t="shared" si="5"/>
        <v>-9.1269372334040356E-3</v>
      </c>
    </row>
    <row r="114" spans="1:6" ht="15" customHeight="1" x14ac:dyDescent="0.2">
      <c r="A114" s="147">
        <v>12</v>
      </c>
      <c r="B114" s="169" t="s">
        <v>244</v>
      </c>
      <c r="C114" s="157">
        <v>140098</v>
      </c>
      <c r="D114" s="157">
        <v>829408</v>
      </c>
      <c r="E114" s="157">
        <f t="shared" si="4"/>
        <v>689310</v>
      </c>
      <c r="F114" s="161">
        <f t="shared" si="5"/>
        <v>4.9201987180402291</v>
      </c>
    </row>
    <row r="115" spans="1:6" ht="15" customHeight="1" x14ac:dyDescent="0.2">
      <c r="A115" s="147">
        <v>13</v>
      </c>
      <c r="B115" s="169" t="s">
        <v>245</v>
      </c>
      <c r="C115" s="157">
        <v>14025518</v>
      </c>
      <c r="D115" s="157">
        <v>15927229</v>
      </c>
      <c r="E115" s="157">
        <f t="shared" si="4"/>
        <v>1901711</v>
      </c>
      <c r="F115" s="161">
        <f t="shared" si="5"/>
        <v>0.13558935933774424</v>
      </c>
    </row>
    <row r="116" spans="1:6" ht="15" customHeight="1" x14ac:dyDescent="0.2">
      <c r="A116" s="147">
        <v>14</v>
      </c>
      <c r="B116" s="169" t="s">
        <v>246</v>
      </c>
      <c r="C116" s="157">
        <v>2263796</v>
      </c>
      <c r="D116" s="157">
        <v>2308772</v>
      </c>
      <c r="E116" s="157">
        <f t="shared" si="4"/>
        <v>44976</v>
      </c>
      <c r="F116" s="161">
        <f t="shared" si="5"/>
        <v>1.9867514564033156E-2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3327667</v>
      </c>
      <c r="D118" s="157">
        <v>3425925</v>
      </c>
      <c r="E118" s="157">
        <f t="shared" si="4"/>
        <v>98258</v>
      </c>
      <c r="F118" s="161">
        <f t="shared" si="5"/>
        <v>2.9527593956967448E-2</v>
      </c>
    </row>
    <row r="119" spans="1:6" ht="15" customHeight="1" x14ac:dyDescent="0.2">
      <c r="A119" s="147">
        <v>17</v>
      </c>
      <c r="B119" s="169" t="s">
        <v>248</v>
      </c>
      <c r="C119" s="157">
        <v>12595208</v>
      </c>
      <c r="D119" s="157">
        <v>13567708</v>
      </c>
      <c r="E119" s="157">
        <f t="shared" si="4"/>
        <v>972500</v>
      </c>
      <c r="F119" s="161">
        <f t="shared" si="5"/>
        <v>7.7211904718048327E-2</v>
      </c>
    </row>
    <row r="120" spans="1:6" ht="15" customHeight="1" x14ac:dyDescent="0.2">
      <c r="A120" s="147">
        <v>18</v>
      </c>
      <c r="B120" s="169" t="s">
        <v>249</v>
      </c>
      <c r="C120" s="157">
        <v>810403</v>
      </c>
      <c r="D120" s="157">
        <v>863056</v>
      </c>
      <c r="E120" s="157">
        <f t="shared" si="4"/>
        <v>52653</v>
      </c>
      <c r="F120" s="161">
        <f t="shared" si="5"/>
        <v>6.4971378437641517E-2</v>
      </c>
    </row>
    <row r="121" spans="1:6" ht="15.75" customHeight="1" x14ac:dyDescent="0.25">
      <c r="A121" s="147"/>
      <c r="B121" s="165" t="s">
        <v>250</v>
      </c>
      <c r="C121" s="158">
        <f>SUM(C103:C120)</f>
        <v>156801340</v>
      </c>
      <c r="D121" s="158">
        <f>SUM(D103:D120)</f>
        <v>167416537</v>
      </c>
      <c r="E121" s="158">
        <f t="shared" si="4"/>
        <v>10615197</v>
      </c>
      <c r="F121" s="159">
        <f t="shared" si="5"/>
        <v>6.7698381914338232E-2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4963039</v>
      </c>
      <c r="D124" s="157">
        <v>5096725</v>
      </c>
      <c r="E124" s="157">
        <f t="shared" ref="E124:E130" si="6">D124-C124</f>
        <v>133686</v>
      </c>
      <c r="F124" s="161">
        <f t="shared" ref="F124:F130" si="7">IF(C124=0,0,E124/C124)</f>
        <v>2.6936318654759716E-2</v>
      </c>
    </row>
    <row r="125" spans="1:6" ht="15" customHeight="1" x14ac:dyDescent="0.2">
      <c r="A125" s="147">
        <v>2</v>
      </c>
      <c r="B125" s="169" t="s">
        <v>253</v>
      </c>
      <c r="C125" s="157">
        <v>5132542</v>
      </c>
      <c r="D125" s="157">
        <v>5392398</v>
      </c>
      <c r="E125" s="157">
        <f t="shared" si="6"/>
        <v>259856</v>
      </c>
      <c r="F125" s="161">
        <f t="shared" si="7"/>
        <v>5.0629103473483511E-2</v>
      </c>
    </row>
    <row r="126" spans="1:6" ht="15" customHeight="1" x14ac:dyDescent="0.2">
      <c r="A126" s="147">
        <v>3</v>
      </c>
      <c r="B126" s="169" t="s">
        <v>254</v>
      </c>
      <c r="C126" s="157">
        <v>3004397</v>
      </c>
      <c r="D126" s="157">
        <v>3203153</v>
      </c>
      <c r="E126" s="157">
        <f t="shared" si="6"/>
        <v>198756</v>
      </c>
      <c r="F126" s="161">
        <f t="shared" si="7"/>
        <v>6.6155038764850321E-2</v>
      </c>
    </row>
    <row r="127" spans="1:6" ht="15" customHeight="1" x14ac:dyDescent="0.2">
      <c r="A127" s="147">
        <v>4</v>
      </c>
      <c r="B127" s="169" t="s">
        <v>255</v>
      </c>
      <c r="C127" s="157">
        <v>4566398</v>
      </c>
      <c r="D127" s="157">
        <v>4270482</v>
      </c>
      <c r="E127" s="157">
        <f t="shared" si="6"/>
        <v>-295916</v>
      </c>
      <c r="F127" s="161">
        <f t="shared" si="7"/>
        <v>-6.4802936581524431E-2</v>
      </c>
    </row>
    <row r="128" spans="1:6" ht="15" customHeight="1" x14ac:dyDescent="0.2">
      <c r="A128" s="147">
        <v>5</v>
      </c>
      <c r="B128" s="169" t="s">
        <v>256</v>
      </c>
      <c r="C128" s="157">
        <v>449423</v>
      </c>
      <c r="D128" s="157">
        <v>435824</v>
      </c>
      <c r="E128" s="157">
        <f t="shared" si="6"/>
        <v>-13599</v>
      </c>
      <c r="F128" s="161">
        <f t="shared" si="7"/>
        <v>-3.0258798503859392E-2</v>
      </c>
    </row>
    <row r="129" spans="1:6" ht="15" customHeight="1" x14ac:dyDescent="0.2">
      <c r="A129" s="147">
        <v>6</v>
      </c>
      <c r="B129" s="169" t="s">
        <v>257</v>
      </c>
      <c r="C129" s="157">
        <v>416372</v>
      </c>
      <c r="D129" s="157">
        <v>491456</v>
      </c>
      <c r="E129" s="157">
        <f t="shared" si="6"/>
        <v>75084</v>
      </c>
      <c r="F129" s="161">
        <f t="shared" si="7"/>
        <v>0.18032912875985896</v>
      </c>
    </row>
    <row r="130" spans="1:6" ht="15.75" customHeight="1" x14ac:dyDescent="0.25">
      <c r="A130" s="147"/>
      <c r="B130" s="165" t="s">
        <v>258</v>
      </c>
      <c r="C130" s="158">
        <f>SUM(C124:C129)</f>
        <v>18532171</v>
      </c>
      <c r="D130" s="158">
        <f>SUM(D124:D129)</f>
        <v>18890038</v>
      </c>
      <c r="E130" s="158">
        <f t="shared" si="6"/>
        <v>357867</v>
      </c>
      <c r="F130" s="159">
        <f t="shared" si="7"/>
        <v>1.931058158269746E-2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20956594</v>
      </c>
      <c r="D133" s="157">
        <v>23720282</v>
      </c>
      <c r="E133" s="157">
        <f t="shared" ref="E133:E167" si="8">D133-C133</f>
        <v>2763688</v>
      </c>
      <c r="F133" s="161">
        <f t="shared" ref="F133:F167" si="9">IF(C133=0,0,E133/C133)</f>
        <v>0.13187677348714205</v>
      </c>
    </row>
    <row r="134" spans="1:6" ht="15" customHeight="1" x14ac:dyDescent="0.2">
      <c r="A134" s="147">
        <v>2</v>
      </c>
      <c r="B134" s="169" t="s">
        <v>261</v>
      </c>
      <c r="C134" s="157">
        <v>2017381</v>
      </c>
      <c r="D134" s="157">
        <v>2005280</v>
      </c>
      <c r="E134" s="157">
        <f t="shared" si="8"/>
        <v>-12101</v>
      </c>
      <c r="F134" s="161">
        <f t="shared" si="9"/>
        <v>-5.9983711554733588E-3</v>
      </c>
    </row>
    <row r="135" spans="1:6" ht="15" customHeight="1" x14ac:dyDescent="0.2">
      <c r="A135" s="147">
        <v>3</v>
      </c>
      <c r="B135" s="169" t="s">
        <v>262</v>
      </c>
      <c r="C135" s="157">
        <v>1108441</v>
      </c>
      <c r="D135" s="157">
        <v>1138391</v>
      </c>
      <c r="E135" s="157">
        <f t="shared" si="8"/>
        <v>29950</v>
      </c>
      <c r="F135" s="161">
        <f t="shared" si="9"/>
        <v>2.7019931597622247E-2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9262603</v>
      </c>
      <c r="D137" s="157">
        <v>9646791</v>
      </c>
      <c r="E137" s="157">
        <f t="shared" si="8"/>
        <v>384188</v>
      </c>
      <c r="F137" s="161">
        <f t="shared" si="9"/>
        <v>4.1477325542290867E-2</v>
      </c>
    </row>
    <row r="138" spans="1:6" ht="15" customHeight="1" x14ac:dyDescent="0.2">
      <c r="A138" s="147">
        <v>6</v>
      </c>
      <c r="B138" s="169" t="s">
        <v>265</v>
      </c>
      <c r="C138" s="157">
        <v>1831579</v>
      </c>
      <c r="D138" s="157">
        <v>1996303</v>
      </c>
      <c r="E138" s="157">
        <f t="shared" si="8"/>
        <v>164724</v>
      </c>
      <c r="F138" s="161">
        <f t="shared" si="9"/>
        <v>8.9935514657025442E-2</v>
      </c>
    </row>
    <row r="139" spans="1:6" ht="15" customHeight="1" x14ac:dyDescent="0.2">
      <c r="A139" s="147">
        <v>7</v>
      </c>
      <c r="B139" s="169" t="s">
        <v>266</v>
      </c>
      <c r="C139" s="157">
        <v>3453269</v>
      </c>
      <c r="D139" s="157">
        <v>3514904</v>
      </c>
      <c r="E139" s="157">
        <f t="shared" si="8"/>
        <v>61635</v>
      </c>
      <c r="F139" s="161">
        <f t="shared" si="9"/>
        <v>1.7848305475188873E-2</v>
      </c>
    </row>
    <row r="140" spans="1:6" ht="15" customHeight="1" x14ac:dyDescent="0.2">
      <c r="A140" s="147">
        <v>8</v>
      </c>
      <c r="B140" s="169" t="s">
        <v>267</v>
      </c>
      <c r="C140" s="157">
        <v>751456</v>
      </c>
      <c r="D140" s="157">
        <v>804062</v>
      </c>
      <c r="E140" s="157">
        <f t="shared" si="8"/>
        <v>52606</v>
      </c>
      <c r="F140" s="161">
        <f t="shared" si="9"/>
        <v>7.0005429459609081E-2</v>
      </c>
    </row>
    <row r="141" spans="1:6" ht="15" customHeight="1" x14ac:dyDescent="0.2">
      <c r="A141" s="147">
        <v>9</v>
      </c>
      <c r="B141" s="169" t="s">
        <v>268</v>
      </c>
      <c r="C141" s="157">
        <v>2746368</v>
      </c>
      <c r="D141" s="157">
        <v>2643993</v>
      </c>
      <c r="E141" s="157">
        <f t="shared" si="8"/>
        <v>-102375</v>
      </c>
      <c r="F141" s="161">
        <f t="shared" si="9"/>
        <v>-3.7276504823825503E-2</v>
      </c>
    </row>
    <row r="142" spans="1:6" ht="15" customHeight="1" x14ac:dyDescent="0.2">
      <c r="A142" s="147">
        <v>10</v>
      </c>
      <c r="B142" s="169" t="s">
        <v>269</v>
      </c>
      <c r="C142" s="157">
        <v>14248231</v>
      </c>
      <c r="D142" s="157">
        <v>14079103</v>
      </c>
      <c r="E142" s="157">
        <f t="shared" si="8"/>
        <v>-169128</v>
      </c>
      <c r="F142" s="161">
        <f t="shared" si="9"/>
        <v>-1.1870105137964144E-2</v>
      </c>
    </row>
    <row r="143" spans="1:6" ht="15" customHeight="1" x14ac:dyDescent="0.2">
      <c r="A143" s="147">
        <v>11</v>
      </c>
      <c r="B143" s="169" t="s">
        <v>270</v>
      </c>
      <c r="C143" s="157">
        <v>1731523</v>
      </c>
      <c r="D143" s="157">
        <v>1474396</v>
      </c>
      <c r="E143" s="157">
        <f t="shared" si="8"/>
        <v>-257127</v>
      </c>
      <c r="F143" s="161">
        <f t="shared" si="9"/>
        <v>-0.14849759431436949</v>
      </c>
    </row>
    <row r="144" spans="1:6" ht="15" customHeight="1" x14ac:dyDescent="0.2">
      <c r="A144" s="147">
        <v>12</v>
      </c>
      <c r="B144" s="169" t="s">
        <v>271</v>
      </c>
      <c r="C144" s="157">
        <v>846557</v>
      </c>
      <c r="D144" s="157">
        <v>745724</v>
      </c>
      <c r="E144" s="157">
        <f t="shared" si="8"/>
        <v>-100833</v>
      </c>
      <c r="F144" s="161">
        <f t="shared" si="9"/>
        <v>-0.11910952245389266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325529</v>
      </c>
      <c r="D146" s="157">
        <v>506896</v>
      </c>
      <c r="E146" s="157">
        <f t="shared" si="8"/>
        <v>181367</v>
      </c>
      <c r="F146" s="161">
        <f t="shared" si="9"/>
        <v>0.55714544633504237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172115</v>
      </c>
      <c r="D148" s="157">
        <v>203424</v>
      </c>
      <c r="E148" s="157">
        <f t="shared" si="8"/>
        <v>31309</v>
      </c>
      <c r="F148" s="161">
        <f t="shared" si="9"/>
        <v>0.18190744560323041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1200177</v>
      </c>
      <c r="D150" s="157">
        <v>1265919</v>
      </c>
      <c r="E150" s="157">
        <f t="shared" si="8"/>
        <v>65742</v>
      </c>
      <c r="F150" s="161">
        <f t="shared" si="9"/>
        <v>5.4776920404240377E-2</v>
      </c>
    </row>
    <row r="151" spans="1:6" ht="15" customHeight="1" x14ac:dyDescent="0.2">
      <c r="A151" s="147">
        <v>19</v>
      </c>
      <c r="B151" s="169" t="s">
        <v>278</v>
      </c>
      <c r="C151" s="157">
        <v>59661</v>
      </c>
      <c r="D151" s="157">
        <v>51183</v>
      </c>
      <c r="E151" s="157">
        <f t="shared" si="8"/>
        <v>-8478</v>
      </c>
      <c r="F151" s="161">
        <f t="shared" si="9"/>
        <v>-0.14210288127922763</v>
      </c>
    </row>
    <row r="152" spans="1:6" ht="15" customHeight="1" x14ac:dyDescent="0.2">
      <c r="A152" s="147">
        <v>20</v>
      </c>
      <c r="B152" s="169" t="s">
        <v>279</v>
      </c>
      <c r="C152" s="157">
        <v>789457</v>
      </c>
      <c r="D152" s="157">
        <v>900803</v>
      </c>
      <c r="E152" s="157">
        <f t="shared" si="8"/>
        <v>111346</v>
      </c>
      <c r="F152" s="161">
        <f t="shared" si="9"/>
        <v>0.1410412473383604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9201935</v>
      </c>
      <c r="D154" s="157">
        <v>9242527</v>
      </c>
      <c r="E154" s="157">
        <f t="shared" si="8"/>
        <v>40592</v>
      </c>
      <c r="F154" s="161">
        <f t="shared" si="9"/>
        <v>4.4112461129099476E-3</v>
      </c>
    </row>
    <row r="155" spans="1:6" ht="15" customHeight="1" x14ac:dyDescent="0.2">
      <c r="A155" s="147">
        <v>23</v>
      </c>
      <c r="B155" s="169" t="s">
        <v>282</v>
      </c>
      <c r="C155" s="157">
        <v>169738</v>
      </c>
      <c r="D155" s="157">
        <v>167786</v>
      </c>
      <c r="E155" s="157">
        <f t="shared" si="8"/>
        <v>-1952</v>
      </c>
      <c r="F155" s="161">
        <f t="shared" si="9"/>
        <v>-1.1500076588624822E-2</v>
      </c>
    </row>
    <row r="156" spans="1:6" ht="15" customHeight="1" x14ac:dyDescent="0.2">
      <c r="A156" s="147">
        <v>24</v>
      </c>
      <c r="B156" s="169" t="s">
        <v>283</v>
      </c>
      <c r="C156" s="157">
        <v>23075456</v>
      </c>
      <c r="D156" s="157">
        <v>23533864</v>
      </c>
      <c r="E156" s="157">
        <f t="shared" si="8"/>
        <v>458408</v>
      </c>
      <c r="F156" s="161">
        <f t="shared" si="9"/>
        <v>1.9865609589686983E-2</v>
      </c>
    </row>
    <row r="157" spans="1:6" ht="15" customHeight="1" x14ac:dyDescent="0.2">
      <c r="A157" s="147">
        <v>25</v>
      </c>
      <c r="B157" s="169" t="s">
        <v>284</v>
      </c>
      <c r="C157" s="157">
        <v>2777968</v>
      </c>
      <c r="D157" s="157">
        <v>2855733</v>
      </c>
      <c r="E157" s="157">
        <f t="shared" si="8"/>
        <v>77765</v>
      </c>
      <c r="F157" s="161">
        <f t="shared" si="9"/>
        <v>2.799348300628373E-2</v>
      </c>
    </row>
    <row r="158" spans="1:6" ht="15" customHeight="1" x14ac:dyDescent="0.2">
      <c r="A158" s="147">
        <v>26</v>
      </c>
      <c r="B158" s="169" t="s">
        <v>285</v>
      </c>
      <c r="C158" s="157">
        <v>359282</v>
      </c>
      <c r="D158" s="157">
        <v>349490</v>
      </c>
      <c r="E158" s="157">
        <f t="shared" si="8"/>
        <v>-9792</v>
      </c>
      <c r="F158" s="161">
        <f t="shared" si="9"/>
        <v>-2.7254357301506896E-2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975459</v>
      </c>
      <c r="D160" s="157">
        <v>1373696</v>
      </c>
      <c r="E160" s="157">
        <f t="shared" si="8"/>
        <v>398237</v>
      </c>
      <c r="F160" s="161">
        <f t="shared" si="9"/>
        <v>0.40825601076006268</v>
      </c>
    </row>
    <row r="161" spans="1:6" ht="15" customHeight="1" x14ac:dyDescent="0.2">
      <c r="A161" s="147">
        <v>29</v>
      </c>
      <c r="B161" s="169" t="s">
        <v>288</v>
      </c>
      <c r="C161" s="157">
        <v>666724</v>
      </c>
      <c r="D161" s="157">
        <v>888558</v>
      </c>
      <c r="E161" s="157">
        <f t="shared" si="8"/>
        <v>221834</v>
      </c>
      <c r="F161" s="161">
        <f t="shared" si="9"/>
        <v>0.33272238587481479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894347</v>
      </c>
      <c r="D163" s="157">
        <v>977291</v>
      </c>
      <c r="E163" s="157">
        <f t="shared" si="8"/>
        <v>82944</v>
      </c>
      <c r="F163" s="161">
        <f t="shared" si="9"/>
        <v>9.2742526111229753E-2</v>
      </c>
    </row>
    <row r="164" spans="1:6" ht="15" customHeight="1" x14ac:dyDescent="0.2">
      <c r="A164" s="147">
        <v>32</v>
      </c>
      <c r="B164" s="169" t="s">
        <v>291</v>
      </c>
      <c r="C164" s="157">
        <v>3660501</v>
      </c>
      <c r="D164" s="157">
        <v>4451750</v>
      </c>
      <c r="E164" s="157">
        <f t="shared" si="8"/>
        <v>791249</v>
      </c>
      <c r="F164" s="161">
        <f t="shared" si="9"/>
        <v>0.21615866243445911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5189697</v>
      </c>
      <c r="D166" s="157">
        <v>5879620</v>
      </c>
      <c r="E166" s="157">
        <f t="shared" si="8"/>
        <v>689923</v>
      </c>
      <c r="F166" s="161">
        <f t="shared" si="9"/>
        <v>0.13294090194475708</v>
      </c>
    </row>
    <row r="167" spans="1:6" ht="15.75" customHeight="1" x14ac:dyDescent="0.25">
      <c r="A167" s="147"/>
      <c r="B167" s="165" t="s">
        <v>294</v>
      </c>
      <c r="C167" s="158">
        <f>SUM(C133:C166)</f>
        <v>108472048</v>
      </c>
      <c r="D167" s="158">
        <f>SUM(D133:D166)</f>
        <v>114417769</v>
      </c>
      <c r="E167" s="158">
        <f t="shared" si="8"/>
        <v>5945721</v>
      </c>
      <c r="F167" s="159">
        <f t="shared" si="9"/>
        <v>5.4813393031908089E-2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25708282</v>
      </c>
      <c r="D170" s="157">
        <v>26892178</v>
      </c>
      <c r="E170" s="157">
        <f t="shared" ref="E170:E183" si="10">D170-C170</f>
        <v>1183896</v>
      </c>
      <c r="F170" s="161">
        <f t="shared" ref="F170:F183" si="11">IF(C170=0,0,E170/C170)</f>
        <v>4.6051151920614534E-2</v>
      </c>
    </row>
    <row r="171" spans="1:6" ht="15" customHeight="1" x14ac:dyDescent="0.2">
      <c r="A171" s="147">
        <v>2</v>
      </c>
      <c r="B171" s="169" t="s">
        <v>297</v>
      </c>
      <c r="C171" s="157">
        <v>6422495</v>
      </c>
      <c r="D171" s="157">
        <v>6378398</v>
      </c>
      <c r="E171" s="157">
        <f t="shared" si="10"/>
        <v>-44097</v>
      </c>
      <c r="F171" s="161">
        <f t="shared" si="11"/>
        <v>-6.8660232510885568E-3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2485377</v>
      </c>
      <c r="D173" s="157">
        <v>2547881</v>
      </c>
      <c r="E173" s="157">
        <f t="shared" si="10"/>
        <v>62504</v>
      </c>
      <c r="F173" s="161">
        <f t="shared" si="11"/>
        <v>2.5148699774722307E-2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4456289</v>
      </c>
      <c r="D175" s="157">
        <v>4482752</v>
      </c>
      <c r="E175" s="157">
        <f t="shared" si="10"/>
        <v>26463</v>
      </c>
      <c r="F175" s="161">
        <f t="shared" si="11"/>
        <v>5.9383491510537128E-3</v>
      </c>
    </row>
    <row r="176" spans="1:6" ht="15" customHeight="1" x14ac:dyDescent="0.2">
      <c r="A176" s="147">
        <v>7</v>
      </c>
      <c r="B176" s="169" t="s">
        <v>302</v>
      </c>
      <c r="C176" s="157">
        <v>1136406</v>
      </c>
      <c r="D176" s="157">
        <v>1219803</v>
      </c>
      <c r="E176" s="157">
        <f t="shared" si="10"/>
        <v>83397</v>
      </c>
      <c r="F176" s="161">
        <f t="shared" si="11"/>
        <v>7.3386624146651813E-2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1561842</v>
      </c>
      <c r="D179" s="157">
        <v>1959999</v>
      </c>
      <c r="E179" s="157">
        <f t="shared" si="10"/>
        <v>398157</v>
      </c>
      <c r="F179" s="161">
        <f t="shared" si="11"/>
        <v>0.25492783520996359</v>
      </c>
    </row>
    <row r="180" spans="1:6" ht="15" customHeight="1" x14ac:dyDescent="0.2">
      <c r="A180" s="147">
        <v>11</v>
      </c>
      <c r="B180" s="169" t="s">
        <v>306</v>
      </c>
      <c r="C180" s="157">
        <v>11099976</v>
      </c>
      <c r="D180" s="157">
        <v>11811024</v>
      </c>
      <c r="E180" s="157">
        <f t="shared" si="10"/>
        <v>711048</v>
      </c>
      <c r="F180" s="161">
        <f t="shared" si="11"/>
        <v>6.4058516883279751E-2</v>
      </c>
    </row>
    <row r="181" spans="1:6" ht="15" customHeight="1" x14ac:dyDescent="0.2">
      <c r="A181" s="147">
        <v>12</v>
      </c>
      <c r="B181" s="169" t="s">
        <v>307</v>
      </c>
      <c r="C181" s="157">
        <v>8999314</v>
      </c>
      <c r="D181" s="157">
        <v>9550498</v>
      </c>
      <c r="E181" s="157">
        <f t="shared" si="10"/>
        <v>551184</v>
      </c>
      <c r="F181" s="161">
        <f t="shared" si="11"/>
        <v>6.1247335074651243E-2</v>
      </c>
    </row>
    <row r="182" spans="1:6" ht="15" customHeight="1" x14ac:dyDescent="0.2">
      <c r="A182" s="147">
        <v>13</v>
      </c>
      <c r="B182" s="169" t="s">
        <v>308</v>
      </c>
      <c r="C182" s="157">
        <v>185074</v>
      </c>
      <c r="D182" s="157">
        <v>184444</v>
      </c>
      <c r="E182" s="157">
        <f t="shared" si="10"/>
        <v>-630</v>
      </c>
      <c r="F182" s="161">
        <f t="shared" si="11"/>
        <v>-3.4040437878902494E-3</v>
      </c>
    </row>
    <row r="183" spans="1:6" ht="15.75" customHeight="1" x14ac:dyDescent="0.25">
      <c r="A183" s="147"/>
      <c r="B183" s="165" t="s">
        <v>309</v>
      </c>
      <c r="C183" s="158">
        <f>SUM(C170:C182)</f>
        <v>62055055</v>
      </c>
      <c r="D183" s="158">
        <f>SUM(D170:D182)</f>
        <v>65026977</v>
      </c>
      <c r="E183" s="158">
        <f t="shared" si="10"/>
        <v>2971922</v>
      </c>
      <c r="F183" s="159">
        <f t="shared" si="11"/>
        <v>4.7891698750408003E-2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345860614</v>
      </c>
      <c r="D188" s="158">
        <f>+D186+D183+D167+D130+D121</f>
        <v>365751321</v>
      </c>
      <c r="E188" s="158">
        <f>D188-C188</f>
        <v>19890707</v>
      </c>
      <c r="F188" s="159">
        <f>IF(C188=0,0,E188/C188)</f>
        <v>5.7510760678867005E-2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FILING&amp;RMIDDLESEX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347171019</v>
      </c>
      <c r="D11" s="183">
        <v>354010685</v>
      </c>
      <c r="E11" s="76">
        <v>357636636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12173148</v>
      </c>
      <c r="D12" s="185">
        <v>12557059</v>
      </c>
      <c r="E12" s="185">
        <v>13366834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359344167</v>
      </c>
      <c r="D13" s="76">
        <f>+D11+D12</f>
        <v>366567744</v>
      </c>
      <c r="E13" s="76">
        <f>+E11+E12</f>
        <v>371003470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342279038</v>
      </c>
      <c r="D14" s="185">
        <v>345860614</v>
      </c>
      <c r="E14" s="185">
        <v>365751321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17065129</v>
      </c>
      <c r="D15" s="76">
        <f>+D13-D14</f>
        <v>20707130</v>
      </c>
      <c r="E15" s="76">
        <f>+E13-E14</f>
        <v>5252149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7063038</v>
      </c>
      <c r="D16" s="185">
        <v>14976476</v>
      </c>
      <c r="E16" s="185">
        <v>7212000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24128167</v>
      </c>
      <c r="D17" s="76">
        <f>D15+D16</f>
        <v>35683606</v>
      </c>
      <c r="E17" s="76">
        <f>E15+E16</f>
        <v>12464149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4.6574217884170703E-2</v>
      </c>
      <c r="D20" s="189">
        <f>IF(+D27=0,0,+D24/+D27)</f>
        <v>5.4271900646273713E-2</v>
      </c>
      <c r="E20" s="189">
        <f>IF(+E27=0,0,+E24/+E27)</f>
        <v>1.3886658311464626E-2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1.9276471378339845E-2</v>
      </c>
      <c r="D21" s="189">
        <f>IF(D27=0,0,+D26/D27)</f>
        <v>3.9252268059518765E-2</v>
      </c>
      <c r="E21" s="189">
        <f>IF(E27=0,0,+E26/E27)</f>
        <v>1.9068495532454027E-2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6.5850689262510545E-2</v>
      </c>
      <c r="D22" s="189">
        <f>IF(D27=0,0,+D28/D27)</f>
        <v>9.3524168705792471E-2</v>
      </c>
      <c r="E22" s="189">
        <f>IF(E27=0,0,+E28/E27)</f>
        <v>3.2955153843918651E-2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17065129</v>
      </c>
      <c r="D24" s="76">
        <f>+D15</f>
        <v>20707130</v>
      </c>
      <c r="E24" s="76">
        <f>+E15</f>
        <v>5252149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359344167</v>
      </c>
      <c r="D25" s="76">
        <f>+D13</f>
        <v>366567744</v>
      </c>
      <c r="E25" s="76">
        <f>+E13</f>
        <v>371003470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7063038</v>
      </c>
      <c r="D26" s="76">
        <f>+D16</f>
        <v>14976476</v>
      </c>
      <c r="E26" s="76">
        <f>+E16</f>
        <v>7212000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366407205</v>
      </c>
      <c r="D27" s="76">
        <f>+D25+D26</f>
        <v>381544220</v>
      </c>
      <c r="E27" s="76">
        <f>+E25+E26</f>
        <v>378215470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24128167</v>
      </c>
      <c r="D28" s="76">
        <f>+D17</f>
        <v>35683606</v>
      </c>
      <c r="E28" s="76">
        <f>+E17</f>
        <v>12464149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247940000</v>
      </c>
      <c r="D31" s="76">
        <v>270689000</v>
      </c>
      <c r="E31" s="76">
        <v>245189354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264166000</v>
      </c>
      <c r="D32" s="76">
        <v>287700000</v>
      </c>
      <c r="E32" s="76">
        <v>261956057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103161000</v>
      </c>
      <c r="D33" s="76">
        <f>+D32-C32</f>
        <v>23534000</v>
      </c>
      <c r="E33" s="76">
        <f>+E32-D32</f>
        <v>-25743943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1.6407</v>
      </c>
      <c r="D34" s="193">
        <f>IF(C32=0,0,+D33/C32)</f>
        <v>8.9087921988446658E-2</v>
      </c>
      <c r="E34" s="193">
        <f>IF(D32=0,0,+E33/D32)</f>
        <v>-8.9481901286061871E-2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0.27857128269070819</v>
      </c>
      <c r="D38" s="195">
        <f>IF((D40+D41)=0,0,+D39/(D40+D41))</f>
        <v>0.26919775861919981</v>
      </c>
      <c r="E38" s="195">
        <f>IF((E40+E41)=0,0,+E39/(E40+E41))</f>
        <v>0.28612640694505476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342279038</v>
      </c>
      <c r="D39" s="76">
        <v>345860614</v>
      </c>
      <c r="E39" s="196">
        <v>365751321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1216521478</v>
      </c>
      <c r="D40" s="76">
        <v>1272225607</v>
      </c>
      <c r="E40" s="196">
        <v>1264918959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12173148</v>
      </c>
      <c r="D41" s="76">
        <v>12557059</v>
      </c>
      <c r="E41" s="196">
        <v>13366834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1.5541499812600965</v>
      </c>
      <c r="D43" s="197">
        <f>IF(D38=0,0,IF((D46-D47)=0,0,((+D44-D45)/(D46-D47)/D38)))</f>
        <v>1.5712278223671057</v>
      </c>
      <c r="E43" s="197">
        <f>IF(E38=0,0,IF((E46-E47)=0,0,((+E44-E45)/(E46-E47)/E38)))</f>
        <v>1.513591873030113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194592913</v>
      </c>
      <c r="D44" s="76">
        <v>194452401</v>
      </c>
      <c r="E44" s="196">
        <v>193979498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8285172</v>
      </c>
      <c r="D45" s="76">
        <v>3834318</v>
      </c>
      <c r="E45" s="196">
        <v>3852524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451015896</v>
      </c>
      <c r="D46" s="76">
        <v>470219797</v>
      </c>
      <c r="E46" s="196">
        <v>453892243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20685891</v>
      </c>
      <c r="D47" s="76">
        <v>19555143</v>
      </c>
      <c r="E47" s="76">
        <v>14879620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0.77632130570323277</v>
      </c>
      <c r="D49" s="198">
        <f>IF(D38=0,0,IF(D51=0,0,(D50/D51)/D38))</f>
        <v>0.81240164368397405</v>
      </c>
      <c r="E49" s="198">
        <f>IF(E38=0,0,IF(E51=0,0,(E50/E51)/E38))</f>
        <v>0.77339567837968926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126605584</v>
      </c>
      <c r="D50" s="199">
        <v>131356288</v>
      </c>
      <c r="E50" s="199">
        <v>132927017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585430051</v>
      </c>
      <c r="D51" s="199">
        <v>600632232</v>
      </c>
      <c r="E51" s="199">
        <v>600694391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0.60576957520239738</v>
      </c>
      <c r="D53" s="198">
        <f>IF(D38=0,0,IF(D55=0,0,(D54/D55)/D38))</f>
        <v>0.59935407053502399</v>
      </c>
      <c r="E53" s="198">
        <f>IF(E38=0,0,IF(E55=0,0,(E54/E55)/E38))</f>
        <v>0.5745920998077384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29640372</v>
      </c>
      <c r="D54" s="199">
        <v>31692766</v>
      </c>
      <c r="E54" s="199">
        <v>33659551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175646641</v>
      </c>
      <c r="D55" s="199">
        <v>196428837</v>
      </c>
      <c r="E55" s="199">
        <v>204734356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5466908.2156901546</v>
      </c>
      <c r="D57" s="88">
        <f>+D60*D38</f>
        <v>6048581.5566053176</v>
      </c>
      <c r="E57" s="88">
        <f>+E60*E38</f>
        <v>4854713.0414176965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8529846</v>
      </c>
      <c r="D58" s="199">
        <v>8559951</v>
      </c>
      <c r="E58" s="199">
        <v>6695669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11094963</v>
      </c>
      <c r="D59" s="199">
        <v>13908964</v>
      </c>
      <c r="E59" s="199">
        <v>10271353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19624809</v>
      </c>
      <c r="D60" s="76">
        <v>22468915</v>
      </c>
      <c r="E60" s="201">
        <v>16967022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1.597208011228007E-2</v>
      </c>
      <c r="D62" s="202">
        <f>IF(D63=0,0,+D57/D63)</f>
        <v>1.7488494820648522E-2</v>
      </c>
      <c r="E62" s="202">
        <f>IF(E63=0,0,+E57/E63)</f>
        <v>1.327326181117934E-2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342279038</v>
      </c>
      <c r="D63" s="199">
        <v>345860614</v>
      </c>
      <c r="E63" s="199">
        <v>365751321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2.0550224705453664</v>
      </c>
      <c r="D67" s="203">
        <f>IF(D69=0,0,D68/D69)</f>
        <v>1.7684855859228754</v>
      </c>
      <c r="E67" s="203">
        <f>IF(E69=0,0,E68/E69)</f>
        <v>1.9526300755346047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118433000</v>
      </c>
      <c r="D68" s="204">
        <v>113367000</v>
      </c>
      <c r="E68" s="204">
        <v>110493564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57631000</v>
      </c>
      <c r="D69" s="204">
        <v>64104000</v>
      </c>
      <c r="E69" s="204">
        <v>56587044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68.550974490600368</v>
      </c>
      <c r="D71" s="203">
        <f>IF((D77/365)=0,0,+D74/(D77/365))</f>
        <v>65.511376421331761</v>
      </c>
      <c r="E71" s="203">
        <f>IF((E77/365)=0,0,+E74/(E77/365))</f>
        <v>61.879810864849205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39387000</v>
      </c>
      <c r="D72" s="183">
        <v>36581000</v>
      </c>
      <c r="E72" s="183">
        <v>47854470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20741000</v>
      </c>
      <c r="D73" s="206">
        <v>21491000</v>
      </c>
      <c r="E73" s="206">
        <v>10160000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60128000</v>
      </c>
      <c r="D74" s="204">
        <f>+D72+D73</f>
        <v>58072000</v>
      </c>
      <c r="E74" s="204">
        <f>+E72+E73</f>
        <v>58014470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342279038</v>
      </c>
      <c r="D75" s="204">
        <f>+D14</f>
        <v>345860614</v>
      </c>
      <c r="E75" s="204">
        <f>+E14</f>
        <v>365751321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22127207</v>
      </c>
      <c r="D76" s="204">
        <v>22309482</v>
      </c>
      <c r="E76" s="204">
        <v>23551155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320151831</v>
      </c>
      <c r="D77" s="204">
        <f>+D75-D76</f>
        <v>323551132</v>
      </c>
      <c r="E77" s="204">
        <f>+E75-E76</f>
        <v>342200166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49.356913631088545</v>
      </c>
      <c r="D79" s="203">
        <f>IF((D84/365)=0,0,+D83/(D84/365))</f>
        <v>45.685485453638215</v>
      </c>
      <c r="E79" s="203">
        <f>IF((E84/365)=0,0,+E83/(E84/365))</f>
        <v>42.661697010817427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44032000</v>
      </c>
      <c r="D80" s="212">
        <v>43502000</v>
      </c>
      <c r="E80" s="212">
        <v>42766700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2914000</v>
      </c>
      <c r="D81" s="212">
        <v>808000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965643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46946000</v>
      </c>
      <c r="D83" s="212">
        <f>+D80+D81-D82</f>
        <v>44310000</v>
      </c>
      <c r="E83" s="212">
        <f>+E80+E81-E82</f>
        <v>41801057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347171019</v>
      </c>
      <c r="D84" s="204">
        <f>+D11</f>
        <v>354010685</v>
      </c>
      <c r="E84" s="204">
        <f>+E11</f>
        <v>357636636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65.704184587343491</v>
      </c>
      <c r="D86" s="203">
        <f>IF((D90/365)=0,0,+D87/(D90/365))</f>
        <v>72.316112310804712</v>
      </c>
      <c r="E86" s="203">
        <f>IF((E90/365)=0,0,+E87/(E90/365))</f>
        <v>60.357279487701945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57631000</v>
      </c>
      <c r="D87" s="76">
        <f>+D69</f>
        <v>64104000</v>
      </c>
      <c r="E87" s="76">
        <f>+E69</f>
        <v>56587044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342279038</v>
      </c>
      <c r="D88" s="76">
        <f t="shared" si="0"/>
        <v>345860614</v>
      </c>
      <c r="E88" s="76">
        <f t="shared" si="0"/>
        <v>365751321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22127207</v>
      </c>
      <c r="D89" s="201">
        <f t="shared" si="0"/>
        <v>22309482</v>
      </c>
      <c r="E89" s="201">
        <f t="shared" si="0"/>
        <v>23551155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320151831</v>
      </c>
      <c r="D90" s="76">
        <f>+D88-D89</f>
        <v>323551132</v>
      </c>
      <c r="E90" s="76">
        <f>+E88-E89</f>
        <v>342200166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57.388591626096272</v>
      </c>
      <c r="D94" s="214">
        <f>IF(D96=0,0,(D95/D96)*100)</f>
        <v>59.465369741489958</v>
      </c>
      <c r="E94" s="214">
        <f>IF(E96=0,0,(E95/E96)*100)</f>
        <v>55.733226576513815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264166000</v>
      </c>
      <c r="D95" s="76">
        <f>+D32</f>
        <v>287700000</v>
      </c>
      <c r="E95" s="76">
        <f>+E32</f>
        <v>261956057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460311000</v>
      </c>
      <c r="D96" s="76">
        <v>483811000</v>
      </c>
      <c r="E96" s="76">
        <v>470017749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39.298715399908239</v>
      </c>
      <c r="D98" s="214">
        <f>IF(D104=0,0,(D101/D104)*100)</f>
        <v>48.010305232919123</v>
      </c>
      <c r="E98" s="214">
        <f>IF(E104=0,0,(E101/E104)*100)</f>
        <v>32.988601162852341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24128167</v>
      </c>
      <c r="D99" s="76">
        <f>+D28</f>
        <v>35683606</v>
      </c>
      <c r="E99" s="76">
        <f>+E28</f>
        <v>12464149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22127207</v>
      </c>
      <c r="D100" s="201">
        <f>+D76</f>
        <v>22309482</v>
      </c>
      <c r="E100" s="201">
        <f>+E76</f>
        <v>23551155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46255374</v>
      </c>
      <c r="D101" s="76">
        <f>+D99+D100</f>
        <v>57993088</v>
      </c>
      <c r="E101" s="76">
        <f>+E99+E100</f>
        <v>36015304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57631000</v>
      </c>
      <c r="D102" s="204">
        <f>+D69</f>
        <v>64104000</v>
      </c>
      <c r="E102" s="204">
        <f>+E69</f>
        <v>56587044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60071000</v>
      </c>
      <c r="D103" s="216">
        <v>56689000</v>
      </c>
      <c r="E103" s="216">
        <v>52587952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117702000</v>
      </c>
      <c r="D104" s="204">
        <f>+D102+D103</f>
        <v>120793000</v>
      </c>
      <c r="E104" s="204">
        <f>+E102+E103</f>
        <v>109174996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18.526880029114505</v>
      </c>
      <c r="D106" s="214">
        <f>IF(D109=0,0,(D107/D109)*100)</f>
        <v>16.460746423375891</v>
      </c>
      <c r="E106" s="214">
        <f>IF(E109=0,0,(E107/E109)*100)</f>
        <v>16.718789897537039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60071000</v>
      </c>
      <c r="D107" s="204">
        <f>+D103</f>
        <v>56689000</v>
      </c>
      <c r="E107" s="204">
        <f>+E103</f>
        <v>52587952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264166000</v>
      </c>
      <c r="D108" s="204">
        <f>+D32</f>
        <v>287700000</v>
      </c>
      <c r="E108" s="204">
        <f>+E32</f>
        <v>261956057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324237000</v>
      </c>
      <c r="D109" s="204">
        <f>+D107+D108</f>
        <v>344389000</v>
      </c>
      <c r="E109" s="204">
        <f>+E107+E108</f>
        <v>314544009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6.4538364015717571</v>
      </c>
      <c r="D111" s="214">
        <f>IF((+D113+D115)=0,0,((+D112+D113+D114)/(+D113+D115)))</f>
        <v>10.060233096951791</v>
      </c>
      <c r="E111" s="214">
        <f>IF((+E113+E115)=0,0,((+E112+E113+E114)/(+E113+E115)))</f>
        <v>6.5846247281135799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24128167</v>
      </c>
      <c r="D112" s="76">
        <f>+D17</f>
        <v>35683606</v>
      </c>
      <c r="E112" s="76">
        <f>+E17</f>
        <v>12464149</v>
      </c>
    </row>
    <row r="113" spans="1:8" ht="24" customHeight="1" x14ac:dyDescent="0.2">
      <c r="A113" s="85">
        <v>17</v>
      </c>
      <c r="B113" s="75" t="s">
        <v>88</v>
      </c>
      <c r="C113" s="218">
        <v>3016511</v>
      </c>
      <c r="D113" s="76">
        <v>2896503</v>
      </c>
      <c r="E113" s="76">
        <v>2603790</v>
      </c>
    </row>
    <row r="114" spans="1:8" ht="24" customHeight="1" x14ac:dyDescent="0.2">
      <c r="A114" s="85">
        <v>18</v>
      </c>
      <c r="B114" s="75" t="s">
        <v>374</v>
      </c>
      <c r="C114" s="218">
        <v>22127207</v>
      </c>
      <c r="D114" s="76">
        <v>22309482</v>
      </c>
      <c r="E114" s="76">
        <v>23551155</v>
      </c>
    </row>
    <row r="115" spans="1:8" ht="24" customHeight="1" x14ac:dyDescent="0.2">
      <c r="A115" s="85">
        <v>19</v>
      </c>
      <c r="B115" s="75" t="s">
        <v>104</v>
      </c>
      <c r="C115" s="218">
        <v>4618000</v>
      </c>
      <c r="D115" s="76">
        <v>3156000</v>
      </c>
      <c r="E115" s="76">
        <v>3261251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10.403075272898201</v>
      </c>
      <c r="D119" s="214">
        <f>IF(+D121=0,0,(+D120)/(+D121))</f>
        <v>11.316847249075527</v>
      </c>
      <c r="E119" s="214">
        <f>IF(+E121=0,0,(+E120)/(+E121))</f>
        <v>11.700217462795349</v>
      </c>
    </row>
    <row r="120" spans="1:8" ht="24" customHeight="1" x14ac:dyDescent="0.2">
      <c r="A120" s="85">
        <v>21</v>
      </c>
      <c r="B120" s="75" t="s">
        <v>378</v>
      </c>
      <c r="C120" s="218">
        <v>230191000</v>
      </c>
      <c r="D120" s="218">
        <v>252473000</v>
      </c>
      <c r="E120" s="218">
        <v>275553635</v>
      </c>
    </row>
    <row r="121" spans="1:8" ht="24" customHeight="1" x14ac:dyDescent="0.2">
      <c r="A121" s="85">
        <v>22</v>
      </c>
      <c r="B121" s="75" t="s">
        <v>374</v>
      </c>
      <c r="C121" s="218">
        <v>22127207</v>
      </c>
      <c r="D121" s="218">
        <v>22309482</v>
      </c>
      <c r="E121" s="218">
        <v>23551155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62546</v>
      </c>
      <c r="D124" s="218">
        <v>59299</v>
      </c>
      <c r="E124" s="218">
        <v>58224</v>
      </c>
    </row>
    <row r="125" spans="1:8" ht="24" customHeight="1" x14ac:dyDescent="0.2">
      <c r="A125" s="85">
        <v>2</v>
      </c>
      <c r="B125" s="75" t="s">
        <v>381</v>
      </c>
      <c r="C125" s="218">
        <v>15162</v>
      </c>
      <c r="D125" s="218">
        <v>14296</v>
      </c>
      <c r="E125" s="218">
        <v>13617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4.1251813744888537</v>
      </c>
      <c r="D126" s="219">
        <f>IF(D125=0,0,D124/D125)</f>
        <v>4.1479434806939004</v>
      </c>
      <c r="E126" s="219">
        <f>IF(E125=0,0,E124/E125)</f>
        <v>4.2758316809870012</v>
      </c>
    </row>
    <row r="127" spans="1:8" ht="24" customHeight="1" x14ac:dyDescent="0.2">
      <c r="A127" s="85">
        <v>4</v>
      </c>
      <c r="B127" s="75" t="s">
        <v>383</v>
      </c>
      <c r="C127" s="218">
        <v>189</v>
      </c>
      <c r="D127" s="218">
        <v>183</v>
      </c>
      <c r="E127" s="218">
        <v>192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237</v>
      </c>
      <c r="E128" s="218">
        <v>245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260</v>
      </c>
      <c r="D129" s="218">
        <v>297</v>
      </c>
      <c r="E129" s="218">
        <v>297</v>
      </c>
    </row>
    <row r="130" spans="1:7" ht="24" customHeight="1" x14ac:dyDescent="0.2">
      <c r="A130" s="85">
        <v>7</v>
      </c>
      <c r="B130" s="75" t="s">
        <v>386</v>
      </c>
      <c r="C130" s="193">
        <v>0.90659999999999996</v>
      </c>
      <c r="D130" s="193">
        <v>0.88770000000000004</v>
      </c>
      <c r="E130" s="193">
        <v>0.83079999999999998</v>
      </c>
    </row>
    <row r="131" spans="1:7" ht="24" customHeight="1" x14ac:dyDescent="0.2">
      <c r="A131" s="85">
        <v>8</v>
      </c>
      <c r="B131" s="75" t="s">
        <v>387</v>
      </c>
      <c r="C131" s="193">
        <v>0.65900000000000003</v>
      </c>
      <c r="D131" s="193">
        <v>0.68540000000000001</v>
      </c>
      <c r="E131" s="193">
        <v>0.65100000000000002</v>
      </c>
    </row>
    <row r="132" spans="1:7" ht="24" customHeight="1" x14ac:dyDescent="0.2">
      <c r="A132" s="85">
        <v>9</v>
      </c>
      <c r="B132" s="75" t="s">
        <v>388</v>
      </c>
      <c r="C132" s="219">
        <v>2119</v>
      </c>
      <c r="D132" s="219">
        <v>2081.1999999999998</v>
      </c>
      <c r="E132" s="219">
        <v>2107.1999999999998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0.35373810720339788</v>
      </c>
      <c r="D135" s="227">
        <f>IF(D149=0,0,D143/D149)</f>
        <v>0.35423328340537008</v>
      </c>
      <c r="E135" s="227">
        <f>IF(E149=0,0,E143/E149)</f>
        <v>0.34706778634029473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0.48123281141116031</v>
      </c>
      <c r="D136" s="227">
        <f>IF(D149=0,0,D144/D149)</f>
        <v>0.47211141537728851</v>
      </c>
      <c r="E136" s="227">
        <f>IF(E149=0,0,E144/E149)</f>
        <v>0.47488764930433774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0.14438433202903139</v>
      </c>
      <c r="D137" s="227">
        <f>IF(D149=0,0,D145/D149)</f>
        <v>0.15439780171002326</v>
      </c>
      <c r="E137" s="227">
        <f>IF(E149=0,0,E145/E149)</f>
        <v>0.16185570984077566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1.7004131348349282E-2</v>
      </c>
      <c r="D139" s="227">
        <f>IF(D149=0,0,D147/D149)</f>
        <v>1.5370813865405871E-2</v>
      </c>
      <c r="E139" s="227">
        <f>IF(E149=0,0,E147/E149)</f>
        <v>1.1763299058908326E-2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3.640618008061178E-3</v>
      </c>
      <c r="D140" s="227">
        <f>IF(D149=0,0,D148/D149)</f>
        <v>3.8866856419122525E-3</v>
      </c>
      <c r="E140" s="227">
        <f>IF(E149=0,0,E148/E149)</f>
        <v>4.425555455683545E-3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1.0000000000000002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430330005</v>
      </c>
      <c r="D143" s="229">
        <f>+D46-D147</f>
        <v>450664654</v>
      </c>
      <c r="E143" s="229">
        <f>+E46-E147</f>
        <v>439012623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585430051</v>
      </c>
      <c r="D144" s="229">
        <f>+D51</f>
        <v>600632232</v>
      </c>
      <c r="E144" s="229">
        <f>+E51</f>
        <v>600694391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175646641</v>
      </c>
      <c r="D145" s="229">
        <f>+D55</f>
        <v>196428837</v>
      </c>
      <c r="E145" s="229">
        <f>+E55</f>
        <v>204734356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20685891</v>
      </c>
      <c r="D147" s="229">
        <f>+D47</f>
        <v>19555143</v>
      </c>
      <c r="E147" s="229">
        <f>+E47</f>
        <v>14879620</v>
      </c>
    </row>
    <row r="148" spans="1:7" ht="20.100000000000001" customHeight="1" x14ac:dyDescent="0.2">
      <c r="A148" s="226">
        <v>13</v>
      </c>
      <c r="B148" s="224" t="s">
        <v>402</v>
      </c>
      <c r="C148" s="230">
        <v>4428890</v>
      </c>
      <c r="D148" s="229">
        <v>4944741</v>
      </c>
      <c r="E148" s="229">
        <v>5597969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1216521478</v>
      </c>
      <c r="D149" s="229">
        <f>SUM(D143:D148)</f>
        <v>1272225607</v>
      </c>
      <c r="E149" s="229">
        <f>SUM(E143:E148)</f>
        <v>1264918959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0.52990051307966957</v>
      </c>
      <c r="D152" s="227">
        <f>IF(D166=0,0,D160/D166)</f>
        <v>0.53221047408787392</v>
      </c>
      <c r="E152" s="227">
        <f>IF(E166=0,0,E160/E166)</f>
        <v>0.52588216907041996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0.36009434476665786</v>
      </c>
      <c r="D153" s="227">
        <f>IF(D166=0,0,D161/D166)</f>
        <v>0.36675005440540126</v>
      </c>
      <c r="E153" s="227">
        <f>IF(E166=0,0,E161/E166)</f>
        <v>0.36766980800957044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8.4303788164509341E-2</v>
      </c>
      <c r="D154" s="227">
        <f>IF(D166=0,0,D162/D166)</f>
        <v>8.8486998466016736E-2</v>
      </c>
      <c r="E154" s="227">
        <f>IF(E166=0,0,E162/E166)</f>
        <v>9.3100717470086192E-2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2.3564865690434793E-2</v>
      </c>
      <c r="D156" s="227">
        <f>IF(D166=0,0,D164/D166)</f>
        <v>1.070551213435332E-2</v>
      </c>
      <c r="E156" s="227">
        <f>IF(E166=0,0,E164/E166)</f>
        <v>1.0655898186839341E-2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2.1364882987284419E-3</v>
      </c>
      <c r="D157" s="227">
        <f>IF(D166=0,0,D165/D166)</f>
        <v>1.8469609063547854E-3</v>
      </c>
      <c r="E157" s="227">
        <f>IF(E166=0,0,E165/E166)</f>
        <v>2.6914072630841064E-3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186307741</v>
      </c>
      <c r="D160" s="229">
        <f>+D44-D164</f>
        <v>190618083</v>
      </c>
      <c r="E160" s="229">
        <f>+E44-E164</f>
        <v>190126974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126605584</v>
      </c>
      <c r="D161" s="229">
        <f>+D50</f>
        <v>131356288</v>
      </c>
      <c r="E161" s="229">
        <f>+E50</f>
        <v>132927017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29640372</v>
      </c>
      <c r="D162" s="229">
        <f>+D54</f>
        <v>31692766</v>
      </c>
      <c r="E162" s="229">
        <f>+E54</f>
        <v>33659551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8285172</v>
      </c>
      <c r="D164" s="229">
        <f>+D45</f>
        <v>3834318</v>
      </c>
      <c r="E164" s="229">
        <f>+E45</f>
        <v>3852524</v>
      </c>
    </row>
    <row r="165" spans="1:6" ht="20.100000000000001" customHeight="1" x14ac:dyDescent="0.2">
      <c r="A165" s="226">
        <v>13</v>
      </c>
      <c r="B165" s="224" t="s">
        <v>417</v>
      </c>
      <c r="C165" s="230">
        <v>751168</v>
      </c>
      <c r="D165" s="229">
        <v>661513</v>
      </c>
      <c r="E165" s="229">
        <v>973049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351590037</v>
      </c>
      <c r="D166" s="229">
        <f>SUM(D160:D165)</f>
        <v>358162968</v>
      </c>
      <c r="E166" s="229">
        <f>SUM(E160:E165)</f>
        <v>361539115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4525</v>
      </c>
      <c r="D169" s="218">
        <v>4216</v>
      </c>
      <c r="E169" s="218">
        <v>3800</v>
      </c>
    </row>
    <row r="170" spans="1:6" ht="20.100000000000001" customHeight="1" x14ac:dyDescent="0.2">
      <c r="A170" s="226">
        <v>2</v>
      </c>
      <c r="B170" s="224" t="s">
        <v>420</v>
      </c>
      <c r="C170" s="218">
        <v>8270</v>
      </c>
      <c r="D170" s="218">
        <v>7760</v>
      </c>
      <c r="E170" s="218">
        <v>7504</v>
      </c>
    </row>
    <row r="171" spans="1:6" ht="20.100000000000001" customHeight="1" x14ac:dyDescent="0.2">
      <c r="A171" s="226">
        <v>3</v>
      </c>
      <c r="B171" s="224" t="s">
        <v>421</v>
      </c>
      <c r="C171" s="218">
        <v>2323</v>
      </c>
      <c r="D171" s="218">
        <v>2263</v>
      </c>
      <c r="E171" s="218">
        <v>2251</v>
      </c>
    </row>
    <row r="172" spans="1:6" ht="20.100000000000001" customHeight="1" x14ac:dyDescent="0.2">
      <c r="A172" s="226">
        <v>4</v>
      </c>
      <c r="B172" s="224" t="s">
        <v>422</v>
      </c>
      <c r="C172" s="218">
        <v>2323</v>
      </c>
      <c r="D172" s="218">
        <v>2263</v>
      </c>
      <c r="E172" s="218">
        <v>2251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44</v>
      </c>
      <c r="D174" s="218">
        <v>57</v>
      </c>
      <c r="E174" s="218">
        <v>62</v>
      </c>
    </row>
    <row r="175" spans="1:6" ht="20.100000000000001" customHeight="1" x14ac:dyDescent="0.2">
      <c r="A175" s="226">
        <v>7</v>
      </c>
      <c r="B175" s="224" t="s">
        <v>425</v>
      </c>
      <c r="C175" s="218">
        <v>168</v>
      </c>
      <c r="D175" s="218">
        <v>139</v>
      </c>
      <c r="E175" s="218">
        <v>92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15162</v>
      </c>
      <c r="D176" s="218">
        <f>+D169+D170+D171+D174</f>
        <v>14296</v>
      </c>
      <c r="E176" s="218">
        <f>+E169+E170+E171+E174</f>
        <v>13617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1.1292</v>
      </c>
      <c r="D179" s="231">
        <v>1.1889099999999999</v>
      </c>
      <c r="E179" s="231">
        <v>1.2761899999999999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1.3407</v>
      </c>
      <c r="D180" s="231">
        <v>1.37202</v>
      </c>
      <c r="E180" s="231">
        <v>1.42635</v>
      </c>
    </row>
    <row r="181" spans="1:6" ht="20.100000000000001" customHeight="1" x14ac:dyDescent="0.2">
      <c r="A181" s="226">
        <v>3</v>
      </c>
      <c r="B181" s="224" t="s">
        <v>421</v>
      </c>
      <c r="C181" s="231">
        <v>0.98280000000000001</v>
      </c>
      <c r="D181" s="231">
        <v>1.04375</v>
      </c>
      <c r="E181" s="231">
        <v>1.0746199999999999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0.98280000000000001</v>
      </c>
      <c r="D182" s="231">
        <v>1.04375</v>
      </c>
      <c r="E182" s="231">
        <v>1.0746199999999999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1.2712000000000001</v>
      </c>
      <c r="D184" s="231">
        <v>1.0518000000000001</v>
      </c>
      <c r="E184" s="231">
        <v>1.22936</v>
      </c>
    </row>
    <row r="185" spans="1:6" ht="20.100000000000001" customHeight="1" x14ac:dyDescent="0.2">
      <c r="A185" s="226">
        <v>7</v>
      </c>
      <c r="B185" s="224" t="s">
        <v>425</v>
      </c>
      <c r="C185" s="231">
        <v>1.1074999999999999</v>
      </c>
      <c r="D185" s="231">
        <v>1.12178</v>
      </c>
      <c r="E185" s="231">
        <v>1.331</v>
      </c>
    </row>
    <row r="186" spans="1:6" ht="20.100000000000001" customHeight="1" x14ac:dyDescent="0.2">
      <c r="A186" s="226">
        <v>8</v>
      </c>
      <c r="B186" s="224" t="s">
        <v>429</v>
      </c>
      <c r="C186" s="231">
        <v>1.222542</v>
      </c>
      <c r="D186" s="231">
        <v>1.264778</v>
      </c>
      <c r="E186" s="231">
        <v>1.3254049999999999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9971</v>
      </c>
      <c r="D189" s="218">
        <v>9060</v>
      </c>
      <c r="E189" s="218">
        <v>8263</v>
      </c>
    </row>
    <row r="190" spans="1:6" ht="20.100000000000001" customHeight="1" x14ac:dyDescent="0.2">
      <c r="A190" s="226">
        <v>2</v>
      </c>
      <c r="B190" s="224" t="s">
        <v>433</v>
      </c>
      <c r="C190" s="218">
        <v>81193</v>
      </c>
      <c r="D190" s="218">
        <v>80555</v>
      </c>
      <c r="E190" s="218">
        <v>79563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91164</v>
      </c>
      <c r="D191" s="218">
        <f>+D190+D189</f>
        <v>89615</v>
      </c>
      <c r="E191" s="218">
        <f>+E190+E189</f>
        <v>87826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FILING&amp;RMIDDLESEX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2805319</v>
      </c>
      <c r="D14" s="258">
        <v>1890185</v>
      </c>
      <c r="E14" s="258">
        <f t="shared" ref="E14:E24" si="0">D14-C14</f>
        <v>-915134</v>
      </c>
      <c r="F14" s="259">
        <f t="shared" ref="F14:F24" si="1">IF(C14=0,0,E14/C14)</f>
        <v>-0.32621388155856784</v>
      </c>
    </row>
    <row r="15" spans="1:7" ht="20.25" customHeight="1" x14ac:dyDescent="0.3">
      <c r="A15" s="256">
        <v>2</v>
      </c>
      <c r="B15" s="257" t="s">
        <v>442</v>
      </c>
      <c r="C15" s="258">
        <v>639235</v>
      </c>
      <c r="D15" s="258">
        <v>400731</v>
      </c>
      <c r="E15" s="258">
        <f t="shared" si="0"/>
        <v>-238504</v>
      </c>
      <c r="F15" s="259">
        <f t="shared" si="1"/>
        <v>-0.373108481231472</v>
      </c>
    </row>
    <row r="16" spans="1:7" ht="20.25" customHeight="1" x14ac:dyDescent="0.3">
      <c r="A16" s="256">
        <v>3</v>
      </c>
      <c r="B16" s="257" t="s">
        <v>443</v>
      </c>
      <c r="C16" s="258">
        <v>2416064</v>
      </c>
      <c r="D16" s="258">
        <v>2335958</v>
      </c>
      <c r="E16" s="258">
        <f t="shared" si="0"/>
        <v>-80106</v>
      </c>
      <c r="F16" s="259">
        <f t="shared" si="1"/>
        <v>-3.3155578660167939E-2</v>
      </c>
    </row>
    <row r="17" spans="1:6" ht="20.25" customHeight="1" x14ac:dyDescent="0.3">
      <c r="A17" s="256">
        <v>4</v>
      </c>
      <c r="B17" s="257" t="s">
        <v>444</v>
      </c>
      <c r="C17" s="258">
        <v>405475</v>
      </c>
      <c r="D17" s="258">
        <v>402183</v>
      </c>
      <c r="E17" s="258">
        <f t="shared" si="0"/>
        <v>-3292</v>
      </c>
      <c r="F17" s="259">
        <f t="shared" si="1"/>
        <v>-8.1188729268142305E-3</v>
      </c>
    </row>
    <row r="18" spans="1:6" ht="20.25" customHeight="1" x14ac:dyDescent="0.3">
      <c r="A18" s="256">
        <v>5</v>
      </c>
      <c r="B18" s="257" t="s">
        <v>381</v>
      </c>
      <c r="C18" s="260">
        <v>69</v>
      </c>
      <c r="D18" s="260">
        <v>45</v>
      </c>
      <c r="E18" s="260">
        <f t="shared" si="0"/>
        <v>-24</v>
      </c>
      <c r="F18" s="259">
        <f t="shared" si="1"/>
        <v>-0.34782608695652173</v>
      </c>
    </row>
    <row r="19" spans="1:6" ht="20.25" customHeight="1" x14ac:dyDescent="0.3">
      <c r="A19" s="256">
        <v>6</v>
      </c>
      <c r="B19" s="257" t="s">
        <v>380</v>
      </c>
      <c r="C19" s="260">
        <v>275</v>
      </c>
      <c r="D19" s="260">
        <v>191</v>
      </c>
      <c r="E19" s="260">
        <f t="shared" si="0"/>
        <v>-84</v>
      </c>
      <c r="F19" s="259">
        <f t="shared" si="1"/>
        <v>-0.30545454545454548</v>
      </c>
    </row>
    <row r="20" spans="1:6" ht="20.25" customHeight="1" x14ac:dyDescent="0.3">
      <c r="A20" s="256">
        <v>7</v>
      </c>
      <c r="B20" s="257" t="s">
        <v>445</v>
      </c>
      <c r="C20" s="260">
        <v>1929</v>
      </c>
      <c r="D20" s="260">
        <v>1813</v>
      </c>
      <c r="E20" s="260">
        <f t="shared" si="0"/>
        <v>-116</v>
      </c>
      <c r="F20" s="259">
        <f t="shared" si="1"/>
        <v>-6.0134784862623122E-2</v>
      </c>
    </row>
    <row r="21" spans="1:6" ht="20.25" customHeight="1" x14ac:dyDescent="0.3">
      <c r="A21" s="256">
        <v>8</v>
      </c>
      <c r="B21" s="257" t="s">
        <v>446</v>
      </c>
      <c r="C21" s="260">
        <v>171</v>
      </c>
      <c r="D21" s="260">
        <v>222</v>
      </c>
      <c r="E21" s="260">
        <f t="shared" si="0"/>
        <v>51</v>
      </c>
      <c r="F21" s="259">
        <f t="shared" si="1"/>
        <v>0.2982456140350877</v>
      </c>
    </row>
    <row r="22" spans="1:6" ht="20.25" customHeight="1" x14ac:dyDescent="0.3">
      <c r="A22" s="256">
        <v>9</v>
      </c>
      <c r="B22" s="257" t="s">
        <v>447</v>
      </c>
      <c r="C22" s="260">
        <v>63</v>
      </c>
      <c r="D22" s="260">
        <v>41</v>
      </c>
      <c r="E22" s="260">
        <f t="shared" si="0"/>
        <v>-22</v>
      </c>
      <c r="F22" s="259">
        <f t="shared" si="1"/>
        <v>-0.34920634920634919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5221383</v>
      </c>
      <c r="D23" s="263">
        <f>+D14+D16</f>
        <v>4226143</v>
      </c>
      <c r="E23" s="263">
        <f t="shared" si="0"/>
        <v>-995240</v>
      </c>
      <c r="F23" s="264">
        <f t="shared" si="1"/>
        <v>-0.1906085035324932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1044710</v>
      </c>
      <c r="D24" s="263">
        <f>+D15+D17</f>
        <v>802914</v>
      </c>
      <c r="E24" s="263">
        <f t="shared" si="0"/>
        <v>-241796</v>
      </c>
      <c r="F24" s="264">
        <f t="shared" si="1"/>
        <v>-0.23144796163528636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61673</v>
      </c>
      <c r="E27" s="258">
        <f t="shared" ref="E27:E37" si="2">D27-C27</f>
        <v>61673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13075</v>
      </c>
      <c r="E28" s="258">
        <f t="shared" si="2"/>
        <v>13075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14812</v>
      </c>
      <c r="E29" s="258">
        <f t="shared" si="2"/>
        <v>14812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2550</v>
      </c>
      <c r="E30" s="258">
        <f t="shared" si="2"/>
        <v>2550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1</v>
      </c>
      <c r="E31" s="260">
        <f t="shared" si="2"/>
        <v>1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8</v>
      </c>
      <c r="E32" s="260">
        <f t="shared" si="2"/>
        <v>8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11</v>
      </c>
      <c r="E33" s="260">
        <f t="shared" si="2"/>
        <v>11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76485</v>
      </c>
      <c r="E36" s="263">
        <f t="shared" si="2"/>
        <v>76485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15625</v>
      </c>
      <c r="E37" s="263">
        <f t="shared" si="2"/>
        <v>15625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43416862</v>
      </c>
      <c r="D40" s="258">
        <v>43939771</v>
      </c>
      <c r="E40" s="258">
        <f t="shared" ref="E40:E50" si="4">D40-C40</f>
        <v>522909</v>
      </c>
      <c r="F40" s="259">
        <f t="shared" ref="F40:F50" si="5">IF(C40=0,0,E40/C40)</f>
        <v>1.2043915103767748E-2</v>
      </c>
    </row>
    <row r="41" spans="1:6" ht="20.25" customHeight="1" x14ac:dyDescent="0.3">
      <c r="A41" s="256">
        <v>2</v>
      </c>
      <c r="B41" s="257" t="s">
        <v>442</v>
      </c>
      <c r="C41" s="258">
        <v>9893192</v>
      </c>
      <c r="D41" s="258">
        <v>9315496</v>
      </c>
      <c r="E41" s="258">
        <f t="shared" si="4"/>
        <v>-577696</v>
      </c>
      <c r="F41" s="259">
        <f t="shared" si="5"/>
        <v>-5.8393287020003251E-2</v>
      </c>
    </row>
    <row r="42" spans="1:6" ht="20.25" customHeight="1" x14ac:dyDescent="0.3">
      <c r="A42" s="256">
        <v>3</v>
      </c>
      <c r="B42" s="257" t="s">
        <v>443</v>
      </c>
      <c r="C42" s="258">
        <v>38020358</v>
      </c>
      <c r="D42" s="258">
        <v>44794953</v>
      </c>
      <c r="E42" s="258">
        <f t="shared" si="4"/>
        <v>6774595</v>
      </c>
      <c r="F42" s="259">
        <f t="shared" si="5"/>
        <v>0.1781833564007998</v>
      </c>
    </row>
    <row r="43" spans="1:6" ht="20.25" customHeight="1" x14ac:dyDescent="0.3">
      <c r="A43" s="256">
        <v>4</v>
      </c>
      <c r="B43" s="257" t="s">
        <v>444</v>
      </c>
      <c r="C43" s="258">
        <v>6380764</v>
      </c>
      <c r="D43" s="258">
        <v>7712369</v>
      </c>
      <c r="E43" s="258">
        <f t="shared" si="4"/>
        <v>1331605</v>
      </c>
      <c r="F43" s="259">
        <f t="shared" si="5"/>
        <v>0.20869052671435584</v>
      </c>
    </row>
    <row r="44" spans="1:6" ht="20.25" customHeight="1" x14ac:dyDescent="0.3">
      <c r="A44" s="256">
        <v>5</v>
      </c>
      <c r="B44" s="257" t="s">
        <v>381</v>
      </c>
      <c r="C44" s="260">
        <v>943</v>
      </c>
      <c r="D44" s="260">
        <v>949</v>
      </c>
      <c r="E44" s="260">
        <f t="shared" si="4"/>
        <v>6</v>
      </c>
      <c r="F44" s="259">
        <f t="shared" si="5"/>
        <v>6.3626723223753979E-3</v>
      </c>
    </row>
    <row r="45" spans="1:6" ht="20.25" customHeight="1" x14ac:dyDescent="0.3">
      <c r="A45" s="256">
        <v>6</v>
      </c>
      <c r="B45" s="257" t="s">
        <v>380</v>
      </c>
      <c r="C45" s="260">
        <v>4077</v>
      </c>
      <c r="D45" s="260">
        <v>4370</v>
      </c>
      <c r="E45" s="260">
        <f t="shared" si="4"/>
        <v>293</v>
      </c>
      <c r="F45" s="259">
        <f t="shared" si="5"/>
        <v>7.1866568555310276E-2</v>
      </c>
    </row>
    <row r="46" spans="1:6" ht="20.25" customHeight="1" x14ac:dyDescent="0.3">
      <c r="A46" s="256">
        <v>7</v>
      </c>
      <c r="B46" s="257" t="s">
        <v>445</v>
      </c>
      <c r="C46" s="260">
        <v>30357</v>
      </c>
      <c r="D46" s="260">
        <v>34762</v>
      </c>
      <c r="E46" s="260">
        <f t="shared" si="4"/>
        <v>4405</v>
      </c>
      <c r="F46" s="259">
        <f t="shared" si="5"/>
        <v>0.14510656520736567</v>
      </c>
    </row>
    <row r="47" spans="1:6" ht="20.25" customHeight="1" x14ac:dyDescent="0.3">
      <c r="A47" s="256">
        <v>8</v>
      </c>
      <c r="B47" s="257" t="s">
        <v>446</v>
      </c>
      <c r="C47" s="260">
        <v>2695</v>
      </c>
      <c r="D47" s="260">
        <v>2735</v>
      </c>
      <c r="E47" s="260">
        <f t="shared" si="4"/>
        <v>40</v>
      </c>
      <c r="F47" s="259">
        <f t="shared" si="5"/>
        <v>1.4842300556586271E-2</v>
      </c>
    </row>
    <row r="48" spans="1:6" ht="20.25" customHeight="1" x14ac:dyDescent="0.3">
      <c r="A48" s="256">
        <v>9</v>
      </c>
      <c r="B48" s="257" t="s">
        <v>447</v>
      </c>
      <c r="C48" s="260">
        <v>795</v>
      </c>
      <c r="D48" s="260">
        <v>791</v>
      </c>
      <c r="E48" s="260">
        <f t="shared" si="4"/>
        <v>-4</v>
      </c>
      <c r="F48" s="259">
        <f t="shared" si="5"/>
        <v>-5.0314465408805029E-3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81437220</v>
      </c>
      <c r="D49" s="263">
        <f>+D40+D42</f>
        <v>88734724</v>
      </c>
      <c r="E49" s="263">
        <f t="shared" si="4"/>
        <v>7297504</v>
      </c>
      <c r="F49" s="264">
        <f t="shared" si="5"/>
        <v>8.9608952761403196E-2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16273956</v>
      </c>
      <c r="D50" s="263">
        <f>+D41+D43</f>
        <v>17027865</v>
      </c>
      <c r="E50" s="263">
        <f t="shared" si="4"/>
        <v>753909</v>
      </c>
      <c r="F50" s="264">
        <f t="shared" si="5"/>
        <v>4.6326105342794341E-2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790</v>
      </c>
      <c r="E55" s="258">
        <f t="shared" si="6"/>
        <v>790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136</v>
      </c>
      <c r="E56" s="258">
        <f t="shared" si="6"/>
        <v>136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1</v>
      </c>
      <c r="E59" s="260">
        <f t="shared" si="6"/>
        <v>1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790</v>
      </c>
      <c r="E62" s="263">
        <f t="shared" si="6"/>
        <v>790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136</v>
      </c>
      <c r="E63" s="263">
        <f t="shared" si="6"/>
        <v>136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19011609</v>
      </c>
      <c r="D66" s="258">
        <v>6277437</v>
      </c>
      <c r="E66" s="258">
        <f t="shared" ref="E66:E76" si="8">D66-C66</f>
        <v>-12734172</v>
      </c>
      <c r="F66" s="259">
        <f t="shared" ref="F66:F76" si="9">IF(C66=0,0,E66/C66)</f>
        <v>-0.66981032483889191</v>
      </c>
    </row>
    <row r="67" spans="1:6" ht="20.25" customHeight="1" x14ac:dyDescent="0.3">
      <c r="A67" s="256">
        <v>2</v>
      </c>
      <c r="B67" s="257" t="s">
        <v>442</v>
      </c>
      <c r="C67" s="258">
        <v>4332084</v>
      </c>
      <c r="D67" s="258">
        <v>1330854</v>
      </c>
      <c r="E67" s="258">
        <f t="shared" si="8"/>
        <v>-3001230</v>
      </c>
      <c r="F67" s="259">
        <f t="shared" si="9"/>
        <v>-0.69279127551543318</v>
      </c>
    </row>
    <row r="68" spans="1:6" ht="20.25" customHeight="1" x14ac:dyDescent="0.3">
      <c r="A68" s="256">
        <v>3</v>
      </c>
      <c r="B68" s="257" t="s">
        <v>443</v>
      </c>
      <c r="C68" s="258">
        <v>13386771</v>
      </c>
      <c r="D68" s="258">
        <v>4820817</v>
      </c>
      <c r="E68" s="258">
        <f t="shared" si="8"/>
        <v>-8565954</v>
      </c>
      <c r="F68" s="259">
        <f t="shared" si="9"/>
        <v>-0.6398820148637786</v>
      </c>
    </row>
    <row r="69" spans="1:6" ht="20.25" customHeight="1" x14ac:dyDescent="0.3">
      <c r="A69" s="256">
        <v>4</v>
      </c>
      <c r="B69" s="257" t="s">
        <v>444</v>
      </c>
      <c r="C69" s="258">
        <v>2246634</v>
      </c>
      <c r="D69" s="258">
        <v>830003</v>
      </c>
      <c r="E69" s="258">
        <f t="shared" si="8"/>
        <v>-1416631</v>
      </c>
      <c r="F69" s="259">
        <f t="shared" si="9"/>
        <v>-0.6305570911861923</v>
      </c>
    </row>
    <row r="70" spans="1:6" ht="20.25" customHeight="1" x14ac:dyDescent="0.3">
      <c r="A70" s="256">
        <v>5</v>
      </c>
      <c r="B70" s="257" t="s">
        <v>381</v>
      </c>
      <c r="C70" s="260">
        <v>389</v>
      </c>
      <c r="D70" s="260">
        <v>113</v>
      </c>
      <c r="E70" s="260">
        <f t="shared" si="8"/>
        <v>-276</v>
      </c>
      <c r="F70" s="259">
        <f t="shared" si="9"/>
        <v>-0.70951156812339333</v>
      </c>
    </row>
    <row r="71" spans="1:6" ht="20.25" customHeight="1" x14ac:dyDescent="0.3">
      <c r="A71" s="256">
        <v>6</v>
      </c>
      <c r="B71" s="257" t="s">
        <v>380</v>
      </c>
      <c r="C71" s="260">
        <v>1832</v>
      </c>
      <c r="D71" s="260">
        <v>512</v>
      </c>
      <c r="E71" s="260">
        <f t="shared" si="8"/>
        <v>-1320</v>
      </c>
      <c r="F71" s="259">
        <f t="shared" si="9"/>
        <v>-0.72052401746724892</v>
      </c>
    </row>
    <row r="72" spans="1:6" ht="20.25" customHeight="1" x14ac:dyDescent="0.3">
      <c r="A72" s="256">
        <v>7</v>
      </c>
      <c r="B72" s="257" t="s">
        <v>445</v>
      </c>
      <c r="C72" s="260">
        <v>10688</v>
      </c>
      <c r="D72" s="260">
        <v>3742</v>
      </c>
      <c r="E72" s="260">
        <f t="shared" si="8"/>
        <v>-6946</v>
      </c>
      <c r="F72" s="259">
        <f t="shared" si="9"/>
        <v>-0.64988772455089816</v>
      </c>
    </row>
    <row r="73" spans="1:6" ht="20.25" customHeight="1" x14ac:dyDescent="0.3">
      <c r="A73" s="256">
        <v>8</v>
      </c>
      <c r="B73" s="257" t="s">
        <v>446</v>
      </c>
      <c r="C73" s="260">
        <v>949</v>
      </c>
      <c r="D73" s="260">
        <v>1035</v>
      </c>
      <c r="E73" s="260">
        <f t="shared" si="8"/>
        <v>86</v>
      </c>
      <c r="F73" s="259">
        <f t="shared" si="9"/>
        <v>9.0621707060063228E-2</v>
      </c>
    </row>
    <row r="74" spans="1:6" ht="20.25" customHeight="1" x14ac:dyDescent="0.3">
      <c r="A74" s="256">
        <v>9</v>
      </c>
      <c r="B74" s="257" t="s">
        <v>447</v>
      </c>
      <c r="C74" s="260">
        <v>354</v>
      </c>
      <c r="D74" s="260">
        <v>340</v>
      </c>
      <c r="E74" s="260">
        <f t="shared" si="8"/>
        <v>-14</v>
      </c>
      <c r="F74" s="259">
        <f t="shared" si="9"/>
        <v>-3.954802259887006E-2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32398380</v>
      </c>
      <c r="D75" s="263">
        <f>+D66+D68</f>
        <v>11098254</v>
      </c>
      <c r="E75" s="263">
        <f t="shared" si="8"/>
        <v>-21300126</v>
      </c>
      <c r="F75" s="264">
        <f t="shared" si="9"/>
        <v>-0.65744416850472154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6578718</v>
      </c>
      <c r="D76" s="263">
        <f>+D67+D69</f>
        <v>2160857</v>
      </c>
      <c r="E76" s="263">
        <f t="shared" si="8"/>
        <v>-4417861</v>
      </c>
      <c r="F76" s="264">
        <f t="shared" si="9"/>
        <v>-0.67153828451075115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8760</v>
      </c>
      <c r="E81" s="258">
        <f t="shared" si="10"/>
        <v>8760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1508</v>
      </c>
      <c r="E82" s="258">
        <f t="shared" si="10"/>
        <v>1508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7</v>
      </c>
      <c r="E85" s="260">
        <f t="shared" si="10"/>
        <v>7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8760</v>
      </c>
      <c r="E88" s="263">
        <f t="shared" si="10"/>
        <v>8760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1508</v>
      </c>
      <c r="E89" s="263">
        <f t="shared" si="10"/>
        <v>1508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9373212</v>
      </c>
      <c r="E92" s="258">
        <f t="shared" ref="E92:E102" si="12">D92-C92</f>
        <v>9373212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1987177</v>
      </c>
      <c r="E93" s="258">
        <f t="shared" si="12"/>
        <v>1987177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5353921</v>
      </c>
      <c r="E94" s="258">
        <f t="shared" si="12"/>
        <v>5353921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921787</v>
      </c>
      <c r="E95" s="258">
        <f t="shared" si="12"/>
        <v>921787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174</v>
      </c>
      <c r="E96" s="260">
        <f t="shared" si="12"/>
        <v>174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1019</v>
      </c>
      <c r="E97" s="260">
        <f t="shared" si="12"/>
        <v>1019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4155</v>
      </c>
      <c r="E98" s="260">
        <f t="shared" si="12"/>
        <v>4155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267</v>
      </c>
      <c r="E99" s="260">
        <f t="shared" si="12"/>
        <v>267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20</v>
      </c>
      <c r="E100" s="260">
        <f t="shared" si="12"/>
        <v>20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14727133</v>
      </c>
      <c r="E101" s="263">
        <f t="shared" si="12"/>
        <v>14727133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2908964</v>
      </c>
      <c r="E102" s="263">
        <f t="shared" si="12"/>
        <v>2908964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372761</v>
      </c>
      <c r="E105" s="258">
        <f t="shared" ref="E105:E115" si="14">D105-C105</f>
        <v>372761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79028</v>
      </c>
      <c r="E106" s="258">
        <f t="shared" si="14"/>
        <v>79028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264795</v>
      </c>
      <c r="E107" s="258">
        <f t="shared" si="14"/>
        <v>264795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45590</v>
      </c>
      <c r="E108" s="258">
        <f t="shared" si="14"/>
        <v>45590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8</v>
      </c>
      <c r="E109" s="260">
        <f t="shared" si="14"/>
        <v>8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31</v>
      </c>
      <c r="E110" s="260">
        <f t="shared" si="14"/>
        <v>31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205</v>
      </c>
      <c r="E111" s="260">
        <f t="shared" si="14"/>
        <v>205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6</v>
      </c>
      <c r="E112" s="260">
        <f t="shared" si="14"/>
        <v>6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637556</v>
      </c>
      <c r="E114" s="263">
        <f t="shared" si="14"/>
        <v>637556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124618</v>
      </c>
      <c r="E115" s="263">
        <f t="shared" si="14"/>
        <v>124618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0</v>
      </c>
      <c r="D118" s="258">
        <v>3810466</v>
      </c>
      <c r="E118" s="258">
        <f t="shared" ref="E118:E128" si="16">D118-C118</f>
        <v>3810466</v>
      </c>
      <c r="F118" s="259">
        <f t="shared" ref="F118:F128" si="17">IF(C118=0,0,E118/C118)</f>
        <v>0</v>
      </c>
    </row>
    <row r="119" spans="1:6" ht="20.25" customHeight="1" x14ac:dyDescent="0.3">
      <c r="A119" s="256">
        <v>2</v>
      </c>
      <c r="B119" s="257" t="s">
        <v>442</v>
      </c>
      <c r="C119" s="258">
        <v>0</v>
      </c>
      <c r="D119" s="258">
        <v>807842</v>
      </c>
      <c r="E119" s="258">
        <f t="shared" si="16"/>
        <v>807842</v>
      </c>
      <c r="F119" s="259">
        <f t="shared" si="17"/>
        <v>0</v>
      </c>
    </row>
    <row r="120" spans="1:6" ht="20.25" customHeight="1" x14ac:dyDescent="0.3">
      <c r="A120" s="256">
        <v>3</v>
      </c>
      <c r="B120" s="257" t="s">
        <v>443</v>
      </c>
      <c r="C120" s="258">
        <v>0</v>
      </c>
      <c r="D120" s="258">
        <v>4178182</v>
      </c>
      <c r="E120" s="258">
        <f t="shared" si="16"/>
        <v>4178182</v>
      </c>
      <c r="F120" s="259">
        <f t="shared" si="17"/>
        <v>0</v>
      </c>
    </row>
    <row r="121" spans="1:6" ht="20.25" customHeight="1" x14ac:dyDescent="0.3">
      <c r="A121" s="256">
        <v>4</v>
      </c>
      <c r="B121" s="257" t="s">
        <v>444</v>
      </c>
      <c r="C121" s="258">
        <v>0</v>
      </c>
      <c r="D121" s="258">
        <v>719360</v>
      </c>
      <c r="E121" s="258">
        <f t="shared" si="16"/>
        <v>719360</v>
      </c>
      <c r="F121" s="259">
        <f t="shared" si="17"/>
        <v>0</v>
      </c>
    </row>
    <row r="122" spans="1:6" ht="20.25" customHeight="1" x14ac:dyDescent="0.3">
      <c r="A122" s="256">
        <v>5</v>
      </c>
      <c r="B122" s="257" t="s">
        <v>381</v>
      </c>
      <c r="C122" s="260">
        <v>0</v>
      </c>
      <c r="D122" s="260">
        <v>92</v>
      </c>
      <c r="E122" s="260">
        <f t="shared" si="16"/>
        <v>92</v>
      </c>
      <c r="F122" s="259">
        <f t="shared" si="17"/>
        <v>0</v>
      </c>
    </row>
    <row r="123" spans="1:6" ht="20.25" customHeight="1" x14ac:dyDescent="0.3">
      <c r="A123" s="256">
        <v>6</v>
      </c>
      <c r="B123" s="257" t="s">
        <v>380</v>
      </c>
      <c r="C123" s="260">
        <v>0</v>
      </c>
      <c r="D123" s="260">
        <v>388</v>
      </c>
      <c r="E123" s="260">
        <f t="shared" si="16"/>
        <v>388</v>
      </c>
      <c r="F123" s="259">
        <f t="shared" si="17"/>
        <v>0</v>
      </c>
    </row>
    <row r="124" spans="1:6" ht="20.25" customHeight="1" x14ac:dyDescent="0.3">
      <c r="A124" s="256">
        <v>7</v>
      </c>
      <c r="B124" s="257" t="s">
        <v>445</v>
      </c>
      <c r="C124" s="260">
        <v>0</v>
      </c>
      <c r="D124" s="260">
        <v>3242</v>
      </c>
      <c r="E124" s="260">
        <f t="shared" si="16"/>
        <v>3242</v>
      </c>
      <c r="F124" s="259">
        <f t="shared" si="17"/>
        <v>0</v>
      </c>
    </row>
    <row r="125" spans="1:6" ht="20.25" customHeight="1" x14ac:dyDescent="0.3">
      <c r="A125" s="256">
        <v>8</v>
      </c>
      <c r="B125" s="257" t="s">
        <v>446</v>
      </c>
      <c r="C125" s="260">
        <v>0</v>
      </c>
      <c r="D125" s="260">
        <v>75</v>
      </c>
      <c r="E125" s="260">
        <f t="shared" si="16"/>
        <v>75</v>
      </c>
      <c r="F125" s="259">
        <f t="shared" si="17"/>
        <v>0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6</v>
      </c>
      <c r="E126" s="260">
        <f t="shared" si="16"/>
        <v>6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0</v>
      </c>
      <c r="D127" s="263">
        <f>+D118+D120</f>
        <v>7988648</v>
      </c>
      <c r="E127" s="263">
        <f t="shared" si="16"/>
        <v>7988648</v>
      </c>
      <c r="F127" s="264">
        <f t="shared" si="17"/>
        <v>0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0</v>
      </c>
      <c r="D128" s="263">
        <f>+D119+D121</f>
        <v>1527202</v>
      </c>
      <c r="E128" s="263">
        <f t="shared" si="16"/>
        <v>1527202</v>
      </c>
      <c r="F128" s="264">
        <f t="shared" si="17"/>
        <v>0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812168</v>
      </c>
      <c r="E131" s="258">
        <f t="shared" ref="E131:E141" si="18">D131-C131</f>
        <v>812168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172185</v>
      </c>
      <c r="E132" s="258">
        <f t="shared" si="18"/>
        <v>172185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445128</v>
      </c>
      <c r="E133" s="258">
        <f t="shared" si="18"/>
        <v>445128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76638</v>
      </c>
      <c r="E134" s="258">
        <f t="shared" si="18"/>
        <v>76638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20</v>
      </c>
      <c r="E135" s="260">
        <f t="shared" si="18"/>
        <v>20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88</v>
      </c>
      <c r="E136" s="260">
        <f t="shared" si="18"/>
        <v>88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345</v>
      </c>
      <c r="E137" s="260">
        <f t="shared" si="18"/>
        <v>345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6</v>
      </c>
      <c r="E138" s="260">
        <f t="shared" si="18"/>
        <v>6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1257296</v>
      </c>
      <c r="E140" s="263">
        <f t="shared" si="18"/>
        <v>1257296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248823</v>
      </c>
      <c r="E141" s="263">
        <f t="shared" si="18"/>
        <v>248823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65233790</v>
      </c>
      <c r="D198" s="263">
        <f t="shared" si="28"/>
        <v>66537673</v>
      </c>
      <c r="E198" s="263">
        <f t="shared" ref="E198:E208" si="29">D198-C198</f>
        <v>1303883</v>
      </c>
      <c r="F198" s="273">
        <f t="shared" ref="F198:F208" si="30">IF(C198=0,0,E198/C198)</f>
        <v>1.9987846789217674E-2</v>
      </c>
    </row>
    <row r="199" spans="1:9" ht="20.25" customHeight="1" x14ac:dyDescent="0.3">
      <c r="A199" s="271"/>
      <c r="B199" s="272" t="s">
        <v>466</v>
      </c>
      <c r="C199" s="263">
        <f t="shared" si="28"/>
        <v>14864511</v>
      </c>
      <c r="D199" s="263">
        <f t="shared" si="28"/>
        <v>14106388</v>
      </c>
      <c r="E199" s="263">
        <f t="shared" si="29"/>
        <v>-758123</v>
      </c>
      <c r="F199" s="273">
        <f t="shared" si="30"/>
        <v>-5.1002215949115311E-2</v>
      </c>
    </row>
    <row r="200" spans="1:9" ht="20.25" customHeight="1" x14ac:dyDescent="0.3">
      <c r="A200" s="271"/>
      <c r="B200" s="272" t="s">
        <v>467</v>
      </c>
      <c r="C200" s="263">
        <f t="shared" si="28"/>
        <v>53823193</v>
      </c>
      <c r="D200" s="263">
        <f t="shared" si="28"/>
        <v>62218116</v>
      </c>
      <c r="E200" s="263">
        <f t="shared" si="29"/>
        <v>8394923</v>
      </c>
      <c r="F200" s="273">
        <f t="shared" si="30"/>
        <v>0.15597222186353754</v>
      </c>
    </row>
    <row r="201" spans="1:9" ht="20.25" customHeight="1" x14ac:dyDescent="0.3">
      <c r="A201" s="271"/>
      <c r="B201" s="272" t="s">
        <v>468</v>
      </c>
      <c r="C201" s="263">
        <f t="shared" si="28"/>
        <v>9032873</v>
      </c>
      <c r="D201" s="263">
        <f t="shared" si="28"/>
        <v>10712124</v>
      </c>
      <c r="E201" s="263">
        <f t="shared" si="29"/>
        <v>1679251</v>
      </c>
      <c r="F201" s="273">
        <f t="shared" si="30"/>
        <v>0.18590441822884038</v>
      </c>
    </row>
    <row r="202" spans="1:9" ht="20.25" customHeight="1" x14ac:dyDescent="0.3">
      <c r="A202" s="271"/>
      <c r="B202" s="272" t="s">
        <v>138</v>
      </c>
      <c r="C202" s="274">
        <f t="shared" si="28"/>
        <v>1401</v>
      </c>
      <c r="D202" s="274">
        <f t="shared" si="28"/>
        <v>1402</v>
      </c>
      <c r="E202" s="274">
        <f t="shared" si="29"/>
        <v>1</v>
      </c>
      <c r="F202" s="273">
        <f t="shared" si="30"/>
        <v>7.1377587437544611E-4</v>
      </c>
    </row>
    <row r="203" spans="1:9" ht="20.25" customHeight="1" x14ac:dyDescent="0.3">
      <c r="A203" s="271"/>
      <c r="B203" s="272" t="s">
        <v>140</v>
      </c>
      <c r="C203" s="274">
        <f t="shared" si="28"/>
        <v>6184</v>
      </c>
      <c r="D203" s="274">
        <f t="shared" si="28"/>
        <v>6607</v>
      </c>
      <c r="E203" s="274">
        <f t="shared" si="29"/>
        <v>423</v>
      </c>
      <c r="F203" s="273">
        <f t="shared" si="30"/>
        <v>6.8402328589909439E-2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42974</v>
      </c>
      <c r="D204" s="274">
        <f t="shared" si="28"/>
        <v>48283</v>
      </c>
      <c r="E204" s="274">
        <f t="shared" si="29"/>
        <v>5309</v>
      </c>
      <c r="F204" s="273">
        <f t="shared" si="30"/>
        <v>0.12353981477172243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3815</v>
      </c>
      <c r="D205" s="274">
        <f t="shared" si="28"/>
        <v>4346</v>
      </c>
      <c r="E205" s="274">
        <f t="shared" si="29"/>
        <v>531</v>
      </c>
      <c r="F205" s="273">
        <f t="shared" si="30"/>
        <v>0.13918741808650065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1212</v>
      </c>
      <c r="D206" s="274">
        <f t="shared" si="28"/>
        <v>1198</v>
      </c>
      <c r="E206" s="274">
        <f t="shared" si="29"/>
        <v>-14</v>
      </c>
      <c r="F206" s="273">
        <f t="shared" si="30"/>
        <v>-1.155115511551155E-2</v>
      </c>
    </row>
    <row r="207" spans="1:9" ht="20.25" customHeight="1" x14ac:dyDescent="0.3">
      <c r="A207" s="271"/>
      <c r="B207" s="262" t="s">
        <v>471</v>
      </c>
      <c r="C207" s="263">
        <f>+C198+C200</f>
        <v>119056983</v>
      </c>
      <c r="D207" s="263">
        <f>+D198+D200</f>
        <v>128755789</v>
      </c>
      <c r="E207" s="263">
        <f t="shared" si="29"/>
        <v>9698806</v>
      </c>
      <c r="F207" s="273">
        <f t="shared" si="30"/>
        <v>8.1463562704255657E-2</v>
      </c>
    </row>
    <row r="208" spans="1:9" ht="20.25" customHeight="1" x14ac:dyDescent="0.3">
      <c r="A208" s="271"/>
      <c r="B208" s="262" t="s">
        <v>472</v>
      </c>
      <c r="C208" s="263">
        <f>+C199+C201</f>
        <v>23897384</v>
      </c>
      <c r="D208" s="263">
        <f>+D199+D201</f>
        <v>24818512</v>
      </c>
      <c r="E208" s="263">
        <f t="shared" si="29"/>
        <v>921128</v>
      </c>
      <c r="F208" s="273">
        <f t="shared" si="30"/>
        <v>3.8545139501461753E-2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FILING&amp;RMIDDLESEX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FILING&amp;RMIDDLESEX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39755000</v>
      </c>
      <c r="D13" s="22">
        <v>50370000</v>
      </c>
      <c r="E13" s="22">
        <f t="shared" ref="E13:E22" si="0">D13-C13</f>
        <v>10615000</v>
      </c>
      <c r="F13" s="306">
        <f t="shared" ref="F13:F22" si="1">IF(C13=0,0,E13/C13)</f>
        <v>0.2670104389384983</v>
      </c>
    </row>
    <row r="14" spans="1:8" ht="24" customHeight="1" x14ac:dyDescent="0.2">
      <c r="A14" s="304">
        <v>2</v>
      </c>
      <c r="B14" s="305" t="s">
        <v>17</v>
      </c>
      <c r="C14" s="22">
        <v>21491000</v>
      </c>
      <c r="D14" s="22">
        <v>10160000</v>
      </c>
      <c r="E14" s="22">
        <f t="shared" si="0"/>
        <v>-11331000</v>
      </c>
      <c r="F14" s="306">
        <f t="shared" si="1"/>
        <v>-0.52724396258899076</v>
      </c>
    </row>
    <row r="15" spans="1:8" ht="35.1" customHeight="1" x14ac:dyDescent="0.2">
      <c r="A15" s="304">
        <v>3</v>
      </c>
      <c r="B15" s="305" t="s">
        <v>18</v>
      </c>
      <c r="C15" s="22">
        <v>44515000</v>
      </c>
      <c r="D15" s="22">
        <v>44169000</v>
      </c>
      <c r="E15" s="22">
        <f t="shared" si="0"/>
        <v>-346000</v>
      </c>
      <c r="F15" s="306">
        <f t="shared" si="1"/>
        <v>-7.772660900819948E-3</v>
      </c>
    </row>
    <row r="16" spans="1:8" ht="35.1" customHeight="1" x14ac:dyDescent="0.2">
      <c r="A16" s="304">
        <v>4</v>
      </c>
      <c r="B16" s="305" t="s">
        <v>19</v>
      </c>
      <c r="C16" s="22">
        <v>4365000</v>
      </c>
      <c r="D16" s="22">
        <v>2858000</v>
      </c>
      <c r="E16" s="22">
        <f t="shared" si="0"/>
        <v>-1507000</v>
      </c>
      <c r="F16" s="306">
        <f t="shared" si="1"/>
        <v>-0.34524627720504009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808000</v>
      </c>
      <c r="D18" s="22">
        <v>0</v>
      </c>
      <c r="E18" s="22">
        <f t="shared" si="0"/>
        <v>-808000</v>
      </c>
      <c r="F18" s="306">
        <f t="shared" si="1"/>
        <v>-1</v>
      </c>
    </row>
    <row r="19" spans="1:11" ht="24" customHeight="1" x14ac:dyDescent="0.2">
      <c r="A19" s="304">
        <v>7</v>
      </c>
      <c r="B19" s="305" t="s">
        <v>22</v>
      </c>
      <c r="C19" s="22">
        <v>1161000</v>
      </c>
      <c r="D19" s="22">
        <v>1190149</v>
      </c>
      <c r="E19" s="22">
        <f t="shared" si="0"/>
        <v>29149</v>
      </c>
      <c r="F19" s="306">
        <f t="shared" si="1"/>
        <v>2.5106804478897501E-2</v>
      </c>
    </row>
    <row r="20" spans="1:11" ht="24" customHeight="1" x14ac:dyDescent="0.2">
      <c r="A20" s="304">
        <v>8</v>
      </c>
      <c r="B20" s="305" t="s">
        <v>23</v>
      </c>
      <c r="C20" s="22">
        <v>2633000</v>
      </c>
      <c r="D20" s="22">
        <v>3106851</v>
      </c>
      <c r="E20" s="22">
        <f t="shared" si="0"/>
        <v>473851</v>
      </c>
      <c r="F20" s="306">
        <f t="shared" si="1"/>
        <v>0.17996619825294341</v>
      </c>
    </row>
    <row r="21" spans="1:11" ht="24" customHeight="1" x14ac:dyDescent="0.2">
      <c r="A21" s="304">
        <v>9</v>
      </c>
      <c r="B21" s="305" t="s">
        <v>24</v>
      </c>
      <c r="C21" s="22">
        <v>3273000</v>
      </c>
      <c r="D21" s="22">
        <v>2958000</v>
      </c>
      <c r="E21" s="22">
        <f t="shared" si="0"/>
        <v>-315000</v>
      </c>
      <c r="F21" s="306">
        <f t="shared" si="1"/>
        <v>-9.6241979835013744E-2</v>
      </c>
    </row>
    <row r="22" spans="1:11" ht="24" customHeight="1" x14ac:dyDescent="0.25">
      <c r="A22" s="307"/>
      <c r="B22" s="308" t="s">
        <v>25</v>
      </c>
      <c r="C22" s="309">
        <f>SUM(C13:C21)</f>
        <v>118001000</v>
      </c>
      <c r="D22" s="309">
        <f>SUM(D13:D21)</f>
        <v>114812000</v>
      </c>
      <c r="E22" s="309">
        <f t="shared" si="0"/>
        <v>-3189000</v>
      </c>
      <c r="F22" s="310">
        <f t="shared" si="1"/>
        <v>-2.7025194701739814E-2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10443000</v>
      </c>
      <c r="D25" s="22">
        <v>10937000</v>
      </c>
      <c r="E25" s="22">
        <f>D25-C25</f>
        <v>494000</v>
      </c>
      <c r="F25" s="306">
        <f>IF(C25=0,0,E25/C25)</f>
        <v>4.7304414440294935E-2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119801000</v>
      </c>
      <c r="D26" s="22">
        <v>120455000</v>
      </c>
      <c r="E26" s="22">
        <f>D26-C26</f>
        <v>654000</v>
      </c>
      <c r="F26" s="306">
        <f>IF(C26=0,0,E26/C26)</f>
        <v>5.4590529294413232E-3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16044000</v>
      </c>
      <c r="D28" s="22">
        <v>15948000</v>
      </c>
      <c r="E28" s="22">
        <f>D28-C28</f>
        <v>-96000</v>
      </c>
      <c r="F28" s="306">
        <f>IF(C28=0,0,E28/C28)</f>
        <v>-5.9835452505609572E-3</v>
      </c>
    </row>
    <row r="29" spans="1:11" ht="35.1" customHeight="1" x14ac:dyDescent="0.25">
      <c r="A29" s="307"/>
      <c r="B29" s="308" t="s">
        <v>32</v>
      </c>
      <c r="C29" s="309">
        <f>SUM(C25:C28)</f>
        <v>146288000</v>
      </c>
      <c r="D29" s="309">
        <f>SUM(D25:D28)</f>
        <v>147340000</v>
      </c>
      <c r="E29" s="309">
        <f>D29-C29</f>
        <v>1052000</v>
      </c>
      <c r="F29" s="310">
        <f>IF(C29=0,0,E29/C29)</f>
        <v>7.1912938860330304E-3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23461000</v>
      </c>
      <c r="D32" s="22">
        <v>9944000</v>
      </c>
      <c r="E32" s="22">
        <f>D32-C32</f>
        <v>-13517000</v>
      </c>
      <c r="F32" s="306">
        <f>IF(C32=0,0,E32/C32)</f>
        <v>-0.57614764929031159</v>
      </c>
    </row>
    <row r="33" spans="1:8" ht="24" customHeight="1" x14ac:dyDescent="0.2">
      <c r="A33" s="304">
        <v>7</v>
      </c>
      <c r="B33" s="305" t="s">
        <v>35</v>
      </c>
      <c r="C33" s="22">
        <v>7811000</v>
      </c>
      <c r="D33" s="22">
        <v>13281000</v>
      </c>
      <c r="E33" s="22">
        <f>D33-C33</f>
        <v>5470000</v>
      </c>
      <c r="F33" s="306">
        <f>IF(C33=0,0,E33/C33)</f>
        <v>0.70029445653565481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455719000</v>
      </c>
      <c r="D36" s="22">
        <v>475594000</v>
      </c>
      <c r="E36" s="22">
        <f>D36-C36</f>
        <v>19875000</v>
      </c>
      <c r="F36" s="306">
        <f>IF(C36=0,0,E36/C36)</f>
        <v>4.3612401501802643E-2</v>
      </c>
    </row>
    <row r="37" spans="1:8" ht="24" customHeight="1" x14ac:dyDescent="0.2">
      <c r="A37" s="304">
        <v>2</v>
      </c>
      <c r="B37" s="305" t="s">
        <v>39</v>
      </c>
      <c r="C37" s="22">
        <v>261664000</v>
      </c>
      <c r="D37" s="22">
        <v>285642000</v>
      </c>
      <c r="E37" s="22">
        <f>D37-C37</f>
        <v>23978000</v>
      </c>
      <c r="F37" s="22">
        <f>IF(C37=0,0,E37/C37)</f>
        <v>9.1636602666014436E-2</v>
      </c>
    </row>
    <row r="38" spans="1:8" ht="24" customHeight="1" x14ac:dyDescent="0.25">
      <c r="A38" s="307"/>
      <c r="B38" s="308" t="s">
        <v>40</v>
      </c>
      <c r="C38" s="309">
        <f>C36-C37</f>
        <v>194055000</v>
      </c>
      <c r="D38" s="309">
        <f>D36-D37</f>
        <v>189952000</v>
      </c>
      <c r="E38" s="309">
        <f>D38-C38</f>
        <v>-4103000</v>
      </c>
      <c r="F38" s="310">
        <f>IF(C38=0,0,E38/C38)</f>
        <v>-2.1143490247610214E-2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8049000</v>
      </c>
      <c r="D40" s="22">
        <v>10205000</v>
      </c>
      <c r="E40" s="22">
        <f>D40-C40</f>
        <v>2156000</v>
      </c>
      <c r="F40" s="306">
        <f>IF(C40=0,0,E40/C40)</f>
        <v>0.26785936141135547</v>
      </c>
    </row>
    <row r="41" spans="1:8" ht="24" customHeight="1" x14ac:dyDescent="0.25">
      <c r="A41" s="307"/>
      <c r="B41" s="308" t="s">
        <v>42</v>
      </c>
      <c r="C41" s="309">
        <f>+C38+C40</f>
        <v>202104000</v>
      </c>
      <c r="D41" s="309">
        <f>+D38+D40</f>
        <v>200157000</v>
      </c>
      <c r="E41" s="309">
        <f>D41-C41</f>
        <v>-1947000</v>
      </c>
      <c r="F41" s="310">
        <f>IF(C41=0,0,E41/C41)</f>
        <v>-9.6336539603372514E-3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497665000</v>
      </c>
      <c r="D43" s="309">
        <f>D22+D29+D31+D32+D33+D41</f>
        <v>485534000</v>
      </c>
      <c r="E43" s="309">
        <f>D43-C43</f>
        <v>-12131000</v>
      </c>
      <c r="F43" s="310">
        <f>IF(C43=0,0,E43/C43)</f>
        <v>-2.4375835150151206E-2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21761000</v>
      </c>
      <c r="D49" s="22">
        <v>19782000</v>
      </c>
      <c r="E49" s="22">
        <f t="shared" ref="E49:E56" si="2">D49-C49</f>
        <v>-1979000</v>
      </c>
      <c r="F49" s="306">
        <f t="shared" ref="F49:F56" si="3">IF(C49=0,0,E49/C49)</f>
        <v>-9.0942511833095901E-2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34614000</v>
      </c>
      <c r="D50" s="22">
        <v>31202000</v>
      </c>
      <c r="E50" s="22">
        <f t="shared" si="2"/>
        <v>-3412000</v>
      </c>
      <c r="F50" s="306">
        <f t="shared" si="3"/>
        <v>-9.8572831802160976E-2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3530000</v>
      </c>
      <c r="D53" s="22">
        <v>3681000</v>
      </c>
      <c r="E53" s="22">
        <f t="shared" si="2"/>
        <v>151000</v>
      </c>
      <c r="F53" s="306">
        <f t="shared" si="3"/>
        <v>4.2776203966005663E-2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85000</v>
      </c>
      <c r="D54" s="22">
        <v>85000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6545000</v>
      </c>
      <c r="D55" s="22">
        <v>5107000</v>
      </c>
      <c r="E55" s="22">
        <f t="shared" si="2"/>
        <v>-1438000</v>
      </c>
      <c r="F55" s="306">
        <f t="shared" si="3"/>
        <v>-0.21970970206264323</v>
      </c>
    </row>
    <row r="56" spans="1:6" ht="24" customHeight="1" x14ac:dyDescent="0.25">
      <c r="A56" s="307"/>
      <c r="B56" s="308" t="s">
        <v>54</v>
      </c>
      <c r="C56" s="309">
        <f>SUM(C49:C55)</f>
        <v>66535000</v>
      </c>
      <c r="D56" s="309">
        <f>SUM(D49:D55)</f>
        <v>59857000</v>
      </c>
      <c r="E56" s="309">
        <f t="shared" si="2"/>
        <v>-6678000</v>
      </c>
      <c r="F56" s="310">
        <f t="shared" si="3"/>
        <v>-0.10036822724881642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61230000</v>
      </c>
      <c r="D59" s="22">
        <v>56749000</v>
      </c>
      <c r="E59" s="22">
        <f>D59-C59</f>
        <v>-4481000</v>
      </c>
      <c r="F59" s="306">
        <f>IF(C59=0,0,E59/C59)</f>
        <v>-7.318308018944962E-2</v>
      </c>
    </row>
    <row r="60" spans="1:6" ht="24" customHeight="1" x14ac:dyDescent="0.2">
      <c r="A60" s="304">
        <v>2</v>
      </c>
      <c r="B60" s="305" t="s">
        <v>57</v>
      </c>
      <c r="C60" s="22">
        <v>784000</v>
      </c>
      <c r="D60" s="22">
        <v>805000</v>
      </c>
      <c r="E60" s="22">
        <f>D60-C60</f>
        <v>21000</v>
      </c>
      <c r="F60" s="306">
        <f>IF(C60=0,0,E60/C60)</f>
        <v>2.6785714285714284E-2</v>
      </c>
    </row>
    <row r="61" spans="1:6" ht="24" customHeight="1" x14ac:dyDescent="0.25">
      <c r="A61" s="307"/>
      <c r="B61" s="308" t="s">
        <v>58</v>
      </c>
      <c r="C61" s="309">
        <f>SUM(C59:C60)</f>
        <v>62014000</v>
      </c>
      <c r="D61" s="309">
        <f>SUM(D59:D60)</f>
        <v>57554000</v>
      </c>
      <c r="E61" s="309">
        <f>D61-C61</f>
        <v>-4460000</v>
      </c>
      <c r="F61" s="310">
        <f>IF(C61=0,0,E61/C61)</f>
        <v>-7.191924404166801E-2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45992000</v>
      </c>
      <c r="D63" s="22">
        <v>64264000</v>
      </c>
      <c r="E63" s="22">
        <f>D63-C63</f>
        <v>18272000</v>
      </c>
      <c r="F63" s="306">
        <f>IF(C63=0,0,E63/C63)</f>
        <v>0.39728648460601845</v>
      </c>
    </row>
    <row r="64" spans="1:6" ht="24" customHeight="1" x14ac:dyDescent="0.2">
      <c r="A64" s="304">
        <v>4</v>
      </c>
      <c r="B64" s="305" t="s">
        <v>60</v>
      </c>
      <c r="C64" s="22">
        <v>29524000</v>
      </c>
      <c r="D64" s="22">
        <v>34840000</v>
      </c>
      <c r="E64" s="22">
        <f>D64-C64</f>
        <v>5316000</v>
      </c>
      <c r="F64" s="306">
        <f>IF(C64=0,0,E64/C64)</f>
        <v>0.18005690285869125</v>
      </c>
    </row>
    <row r="65" spans="1:6" ht="24" customHeight="1" x14ac:dyDescent="0.25">
      <c r="A65" s="307"/>
      <c r="B65" s="308" t="s">
        <v>61</v>
      </c>
      <c r="C65" s="309">
        <f>SUM(C61:C64)</f>
        <v>137530000</v>
      </c>
      <c r="D65" s="309">
        <f>SUM(D61:D64)</f>
        <v>156658000</v>
      </c>
      <c r="E65" s="309">
        <f>D65-C65</f>
        <v>19128000</v>
      </c>
      <c r="F65" s="310">
        <f>IF(C65=0,0,E65/C65)</f>
        <v>0.13908238202573983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276492000</v>
      </c>
      <c r="D70" s="22">
        <v>252186000</v>
      </c>
      <c r="E70" s="22">
        <f>D70-C70</f>
        <v>-24306000</v>
      </c>
      <c r="F70" s="306">
        <f>IF(C70=0,0,E70/C70)</f>
        <v>-8.7908510915324853E-2</v>
      </c>
    </row>
    <row r="71" spans="1:6" ht="24" customHeight="1" x14ac:dyDescent="0.2">
      <c r="A71" s="304">
        <v>2</v>
      </c>
      <c r="B71" s="305" t="s">
        <v>65</v>
      </c>
      <c r="C71" s="22">
        <v>10131000</v>
      </c>
      <c r="D71" s="22">
        <v>9855000</v>
      </c>
      <c r="E71" s="22">
        <f>D71-C71</f>
        <v>-276000</v>
      </c>
      <c r="F71" s="306">
        <f>IF(C71=0,0,E71/C71)</f>
        <v>-2.7243115190997928E-2</v>
      </c>
    </row>
    <row r="72" spans="1:6" ht="24" customHeight="1" x14ac:dyDescent="0.2">
      <c r="A72" s="304">
        <v>3</v>
      </c>
      <c r="B72" s="305" t="s">
        <v>66</v>
      </c>
      <c r="C72" s="22">
        <v>6977000</v>
      </c>
      <c r="D72" s="22">
        <v>6978000</v>
      </c>
      <c r="E72" s="22">
        <f>D72-C72</f>
        <v>1000</v>
      </c>
      <c r="F72" s="306">
        <f>IF(C72=0,0,E72/C72)</f>
        <v>1.4332807797047442E-4</v>
      </c>
    </row>
    <row r="73" spans="1:6" ht="24" customHeight="1" x14ac:dyDescent="0.25">
      <c r="A73" s="304"/>
      <c r="B73" s="308" t="s">
        <v>67</v>
      </c>
      <c r="C73" s="309">
        <f>SUM(C70:C72)</f>
        <v>293600000</v>
      </c>
      <c r="D73" s="309">
        <f>SUM(D70:D72)</f>
        <v>269019000</v>
      </c>
      <c r="E73" s="309">
        <f>D73-C73</f>
        <v>-24581000</v>
      </c>
      <c r="F73" s="310">
        <f>IF(C73=0,0,E73/C73)</f>
        <v>-8.3722752043596735E-2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497665000</v>
      </c>
      <c r="D75" s="309">
        <f>D56+D65+D67+D73</f>
        <v>485534000</v>
      </c>
      <c r="E75" s="309">
        <f>D75-C75</f>
        <v>-12131000</v>
      </c>
      <c r="F75" s="310">
        <f>IF(C75=0,0,E75/C75)</f>
        <v>-2.4375835150151206E-2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FILING&amp;RMIDDLESEX HEALTH SYSTEM,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7"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1296965000</v>
      </c>
      <c r="D11" s="76">
        <v>1295537000</v>
      </c>
      <c r="E11" s="76">
        <f t="shared" ref="E11:E20" si="0">D11-C11</f>
        <v>-1428000</v>
      </c>
      <c r="F11" s="77">
        <f t="shared" ref="F11:F20" si="1">IF(C11=0,0,E11/C11)</f>
        <v>-1.1010320247655102E-3</v>
      </c>
    </row>
    <row r="12" spans="1:7" ht="23.1" customHeight="1" x14ac:dyDescent="0.2">
      <c r="A12" s="74">
        <v>2</v>
      </c>
      <c r="B12" s="75" t="s">
        <v>72</v>
      </c>
      <c r="C12" s="76">
        <v>903947000</v>
      </c>
      <c r="D12" s="76">
        <v>901336000</v>
      </c>
      <c r="E12" s="76">
        <f t="shared" si="0"/>
        <v>-2611000</v>
      </c>
      <c r="F12" s="77">
        <f t="shared" si="1"/>
        <v>-2.8884436808795204E-3</v>
      </c>
    </row>
    <row r="13" spans="1:7" ht="23.1" customHeight="1" x14ac:dyDescent="0.2">
      <c r="A13" s="74">
        <v>3</v>
      </c>
      <c r="B13" s="75" t="s">
        <v>73</v>
      </c>
      <c r="C13" s="76">
        <v>8560000</v>
      </c>
      <c r="D13" s="76">
        <v>6696000</v>
      </c>
      <c r="E13" s="76">
        <f t="shared" si="0"/>
        <v>-1864000</v>
      </c>
      <c r="F13" s="77">
        <f t="shared" si="1"/>
        <v>-0.21775700934579439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384458000</v>
      </c>
      <c r="D15" s="79">
        <f>D11-D12-D13-D14</f>
        <v>387505000</v>
      </c>
      <c r="E15" s="79">
        <f t="shared" si="0"/>
        <v>3047000</v>
      </c>
      <c r="F15" s="80">
        <f t="shared" si="1"/>
        <v>7.9254430913129649E-3</v>
      </c>
    </row>
    <row r="16" spans="1:7" ht="23.1" customHeight="1" x14ac:dyDescent="0.2">
      <c r="A16" s="74">
        <v>5</v>
      </c>
      <c r="B16" s="75" t="s">
        <v>76</v>
      </c>
      <c r="C16" s="76">
        <v>14214000</v>
      </c>
      <c r="D16" s="76">
        <v>10499000</v>
      </c>
      <c r="E16" s="76">
        <f t="shared" si="0"/>
        <v>-3715000</v>
      </c>
      <c r="F16" s="77">
        <f t="shared" si="1"/>
        <v>-0.26136203742788799</v>
      </c>
      <c r="G16" s="65"/>
    </row>
    <row r="17" spans="1:7" ht="31.5" customHeight="1" x14ac:dyDescent="0.25">
      <c r="A17" s="71"/>
      <c r="B17" s="81" t="s">
        <v>77</v>
      </c>
      <c r="C17" s="79">
        <f>C15-C16</f>
        <v>370244000</v>
      </c>
      <c r="D17" s="79">
        <f>D15-D16</f>
        <v>377006000</v>
      </c>
      <c r="E17" s="79">
        <f t="shared" si="0"/>
        <v>6762000</v>
      </c>
      <c r="F17" s="80">
        <f t="shared" si="1"/>
        <v>1.8263631551085232E-2</v>
      </c>
    </row>
    <row r="18" spans="1:7" ht="23.1" customHeight="1" x14ac:dyDescent="0.2">
      <c r="A18" s="74">
        <v>6</v>
      </c>
      <c r="B18" s="75" t="s">
        <v>78</v>
      </c>
      <c r="C18" s="76">
        <v>13560000</v>
      </c>
      <c r="D18" s="76">
        <v>14648000</v>
      </c>
      <c r="E18" s="76">
        <f t="shared" si="0"/>
        <v>1088000</v>
      </c>
      <c r="F18" s="77">
        <f t="shared" si="1"/>
        <v>8.0235988200589969E-2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383804000</v>
      </c>
      <c r="D20" s="79">
        <f>SUM(D17:D19)</f>
        <v>391654000</v>
      </c>
      <c r="E20" s="79">
        <f t="shared" si="0"/>
        <v>7850000</v>
      </c>
      <c r="F20" s="80">
        <f t="shared" si="1"/>
        <v>2.0453147960938396E-2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178252000</v>
      </c>
      <c r="D23" s="76">
        <v>183156000</v>
      </c>
      <c r="E23" s="76">
        <f t="shared" ref="E23:E32" si="2">D23-C23</f>
        <v>4904000</v>
      </c>
      <c r="F23" s="77">
        <f t="shared" ref="F23:F32" si="3">IF(C23=0,0,E23/C23)</f>
        <v>2.7511612772928212E-2</v>
      </c>
    </row>
    <row r="24" spans="1:7" ht="23.1" customHeight="1" x14ac:dyDescent="0.2">
      <c r="A24" s="74">
        <v>2</v>
      </c>
      <c r="B24" s="75" t="s">
        <v>83</v>
      </c>
      <c r="C24" s="76">
        <v>39185000</v>
      </c>
      <c r="D24" s="76">
        <v>45284000</v>
      </c>
      <c r="E24" s="76">
        <f t="shared" si="2"/>
        <v>6099000</v>
      </c>
      <c r="F24" s="77">
        <f t="shared" si="3"/>
        <v>0.15564629322444812</v>
      </c>
    </row>
    <row r="25" spans="1:7" ht="23.1" customHeight="1" x14ac:dyDescent="0.2">
      <c r="A25" s="74">
        <v>3</v>
      </c>
      <c r="B25" s="75" t="s">
        <v>84</v>
      </c>
      <c r="C25" s="76">
        <v>3624974</v>
      </c>
      <c r="D25" s="76">
        <v>4053027</v>
      </c>
      <c r="E25" s="76">
        <f t="shared" si="2"/>
        <v>428053</v>
      </c>
      <c r="F25" s="77">
        <f t="shared" si="3"/>
        <v>0.11808443315731368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37176000</v>
      </c>
      <c r="D26" s="76">
        <v>42409000</v>
      </c>
      <c r="E26" s="76">
        <f t="shared" si="2"/>
        <v>5233000</v>
      </c>
      <c r="F26" s="77">
        <f t="shared" si="3"/>
        <v>0.14076285775769312</v>
      </c>
    </row>
    <row r="27" spans="1:7" ht="23.1" customHeight="1" x14ac:dyDescent="0.2">
      <c r="A27" s="74">
        <v>5</v>
      </c>
      <c r="B27" s="75" t="s">
        <v>86</v>
      </c>
      <c r="C27" s="76">
        <v>23047000</v>
      </c>
      <c r="D27" s="76">
        <v>24444000</v>
      </c>
      <c r="E27" s="76">
        <f t="shared" si="2"/>
        <v>1397000</v>
      </c>
      <c r="F27" s="77">
        <f t="shared" si="3"/>
        <v>6.0615264459582589E-2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3167000</v>
      </c>
      <c r="D29" s="76">
        <v>2862000</v>
      </c>
      <c r="E29" s="76">
        <f t="shared" si="2"/>
        <v>-305000</v>
      </c>
      <c r="F29" s="77">
        <f t="shared" si="3"/>
        <v>-9.630565203662772E-2</v>
      </c>
    </row>
    <row r="30" spans="1:7" ht="23.1" customHeight="1" x14ac:dyDescent="0.2">
      <c r="A30" s="74">
        <v>8</v>
      </c>
      <c r="B30" s="75" t="s">
        <v>89</v>
      </c>
      <c r="C30" s="76">
        <v>3553148</v>
      </c>
      <c r="D30" s="76">
        <v>6082265</v>
      </c>
      <c r="E30" s="76">
        <f t="shared" si="2"/>
        <v>2529117</v>
      </c>
      <c r="F30" s="77">
        <f t="shared" si="3"/>
        <v>0.71179613120534246</v>
      </c>
    </row>
    <row r="31" spans="1:7" ht="23.1" customHeight="1" x14ac:dyDescent="0.2">
      <c r="A31" s="74">
        <v>9</v>
      </c>
      <c r="B31" s="75" t="s">
        <v>90</v>
      </c>
      <c r="C31" s="76">
        <v>78892878</v>
      </c>
      <c r="D31" s="76">
        <v>82309708</v>
      </c>
      <c r="E31" s="76">
        <f t="shared" si="2"/>
        <v>3416830</v>
      </c>
      <c r="F31" s="77">
        <f t="shared" si="3"/>
        <v>4.3309739568633814E-2</v>
      </c>
    </row>
    <row r="32" spans="1:7" ht="23.1" customHeight="1" x14ac:dyDescent="0.25">
      <c r="A32" s="71"/>
      <c r="B32" s="78" t="s">
        <v>91</v>
      </c>
      <c r="C32" s="79">
        <f>SUM(C23:C31)</f>
        <v>366898000</v>
      </c>
      <c r="D32" s="79">
        <f>SUM(D23:D31)</f>
        <v>390600000</v>
      </c>
      <c r="E32" s="79">
        <f t="shared" si="2"/>
        <v>23702000</v>
      </c>
      <c r="F32" s="80">
        <f t="shared" si="3"/>
        <v>6.4601060785286379E-2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16906000</v>
      </c>
      <c r="D34" s="79">
        <f>+D20-D32</f>
        <v>1054000</v>
      </c>
      <c r="E34" s="79">
        <f>D34-C34</f>
        <v>-15852000</v>
      </c>
      <c r="F34" s="80">
        <f>IF(C34=0,0,E34/C34)</f>
        <v>-0.93765527031823026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13454000</v>
      </c>
      <c r="D37" s="76">
        <v>5651000</v>
      </c>
      <c r="E37" s="76">
        <f>D37-C37</f>
        <v>-7803000</v>
      </c>
      <c r="F37" s="77">
        <f>IF(C37=0,0,E37/C37)</f>
        <v>-0.57997621525196963</v>
      </c>
    </row>
    <row r="38" spans="1:6" ht="23.1" customHeight="1" x14ac:dyDescent="0.2">
      <c r="A38" s="85">
        <v>2</v>
      </c>
      <c r="B38" s="75" t="s">
        <v>95</v>
      </c>
      <c r="C38" s="76">
        <v>564000</v>
      </c>
      <c r="D38" s="76">
        <v>2027000</v>
      </c>
      <c r="E38" s="76">
        <f>D38-C38</f>
        <v>1463000</v>
      </c>
      <c r="F38" s="77">
        <f>IF(C38=0,0,E38/C38)</f>
        <v>2.5939716312056738</v>
      </c>
    </row>
    <row r="39" spans="1:6" ht="23.1" customHeight="1" x14ac:dyDescent="0.2">
      <c r="A39" s="85">
        <v>3</v>
      </c>
      <c r="B39" s="75" t="s">
        <v>96</v>
      </c>
      <c r="C39" s="76">
        <v>980000</v>
      </c>
      <c r="D39" s="76">
        <v>-483000</v>
      </c>
      <c r="E39" s="76">
        <f>D39-C39</f>
        <v>-1463000</v>
      </c>
      <c r="F39" s="77">
        <f>IF(C39=0,0,E39/C39)</f>
        <v>-1.4928571428571429</v>
      </c>
    </row>
    <row r="40" spans="1:6" ht="23.1" customHeight="1" x14ac:dyDescent="0.25">
      <c r="A40" s="83"/>
      <c r="B40" s="78" t="s">
        <v>97</v>
      </c>
      <c r="C40" s="79">
        <f>SUM(C37:C39)</f>
        <v>14998000</v>
      </c>
      <c r="D40" s="79">
        <f>SUM(D37:D39)</f>
        <v>7195000</v>
      </c>
      <c r="E40" s="79">
        <f>D40-C40</f>
        <v>-7803000</v>
      </c>
      <c r="F40" s="80">
        <f>IF(C40=0,0,E40/C40)</f>
        <v>-0.52026936924923328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31904000</v>
      </c>
      <c r="D42" s="79">
        <f>D34+D40</f>
        <v>8249000</v>
      </c>
      <c r="E42" s="79">
        <f>D42-C42</f>
        <v>-23655000</v>
      </c>
      <c r="F42" s="80">
        <f>IF(C42=0,0,E42/C42)</f>
        <v>-0.74144307923771313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31904000</v>
      </c>
      <c r="D49" s="79">
        <f>D42+D47</f>
        <v>8249000</v>
      </c>
      <c r="E49" s="79">
        <f>D49-C49</f>
        <v>-23655000</v>
      </c>
      <c r="F49" s="80">
        <f>IF(C49=0,0,E49/C49)</f>
        <v>-0.74144307923771313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FILING&amp;R&amp;8MIDDLESEX HEALTH SYSTEM,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2016-07-29T20:53:50Z</dcterms:created>
  <dcterms:modified xsi:type="dcterms:W3CDTF">2016-07-29T21:19:39Z</dcterms:modified>
</cp:coreProperties>
</file>