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C70" i="18"/>
  <c r="C76" i="18"/>
  <c r="D69" i="18"/>
  <c r="C69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C259" i="18"/>
  <c r="D36" i="18"/>
  <c r="D44" i="18"/>
  <c r="C36" i="18"/>
  <c r="C44" i="18"/>
  <c r="D33" i="18"/>
  <c r="D32" i="18"/>
  <c r="C32" i="18"/>
  <c r="C294" i="18"/>
  <c r="E31" i="18"/>
  <c r="E30" i="18"/>
  <c r="E29" i="18"/>
  <c r="E28" i="18"/>
  <c r="E27" i="18"/>
  <c r="E26" i="18"/>
  <c r="E25" i="18"/>
  <c r="C22" i="18"/>
  <c r="C284" i="18"/>
  <c r="D21" i="18"/>
  <c r="D283" i="18"/>
  <c r="E283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E299" i="17"/>
  <c r="C299" i="17"/>
  <c r="D298" i="17"/>
  <c r="E298" i="17"/>
  <c r="F298" i="17"/>
  <c r="C298" i="17"/>
  <c r="D297" i="17"/>
  <c r="E297" i="17"/>
  <c r="F297" i="17"/>
  <c r="C297" i="17"/>
  <c r="D296" i="17"/>
  <c r="E296" i="17"/>
  <c r="F296" i="17"/>
  <c r="C296" i="17"/>
  <c r="D295" i="17"/>
  <c r="E295" i="17"/>
  <c r="F295" i="17"/>
  <c r="C295" i="17"/>
  <c r="D294" i="17"/>
  <c r="E294" i="17"/>
  <c r="F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E204" i="17"/>
  <c r="F204" i="17"/>
  <c r="C204" i="17"/>
  <c r="D203" i="17"/>
  <c r="E203" i="17"/>
  <c r="F203" i="17"/>
  <c r="C203" i="17"/>
  <c r="D198" i="17"/>
  <c r="E198" i="17"/>
  <c r="F198" i="17"/>
  <c r="C198" i="17"/>
  <c r="D191" i="17"/>
  <c r="E191" i="17"/>
  <c r="F191" i="17"/>
  <c r="C191" i="17"/>
  <c r="D189" i="17"/>
  <c r="E189" i="17"/>
  <c r="F189" i="17"/>
  <c r="C189" i="17"/>
  <c r="D188" i="17"/>
  <c r="E188" i="17"/>
  <c r="F188" i="17"/>
  <c r="C188" i="17"/>
  <c r="D180" i="17"/>
  <c r="E180" i="17"/>
  <c r="F180" i="17"/>
  <c r="C180" i="17"/>
  <c r="D179" i="17"/>
  <c r="D181" i="17"/>
  <c r="E181" i="17"/>
  <c r="C179" i="17"/>
  <c r="C181" i="17"/>
  <c r="D171" i="17"/>
  <c r="D172" i="17"/>
  <c r="C171" i="17"/>
  <c r="C172" i="17"/>
  <c r="D170" i="17"/>
  <c r="E170" i="17"/>
  <c r="F170" i="17"/>
  <c r="C170" i="17"/>
  <c r="F169" i="17"/>
  <c r="E169" i="17"/>
  <c r="F168" i="17"/>
  <c r="E168" i="17"/>
  <c r="D165" i="17"/>
  <c r="E165" i="17"/>
  <c r="F165" i="17"/>
  <c r="C165" i="17"/>
  <c r="D164" i="17"/>
  <c r="E164" i="17"/>
  <c r="F164" i="17"/>
  <c r="C164" i="17"/>
  <c r="F163" i="17"/>
  <c r="E163" i="17"/>
  <c r="D158" i="17"/>
  <c r="D159" i="17"/>
  <c r="E159" i="17"/>
  <c r="C158" i="17"/>
  <c r="C159" i="17"/>
  <c r="F157" i="17"/>
  <c r="E157" i="17"/>
  <c r="F156" i="17"/>
  <c r="E156" i="17"/>
  <c r="D155" i="17"/>
  <c r="E155" i="17"/>
  <c r="F155" i="17"/>
  <c r="C155" i="17"/>
  <c r="F154" i="17"/>
  <c r="E154" i="17"/>
  <c r="F153" i="17"/>
  <c r="E153" i="17"/>
  <c r="D145" i="17"/>
  <c r="E145" i="17"/>
  <c r="F145" i="17"/>
  <c r="C145" i="17"/>
  <c r="D144" i="17"/>
  <c r="D146" i="17"/>
  <c r="E146" i="17"/>
  <c r="C144" i="17"/>
  <c r="C146" i="17"/>
  <c r="D136" i="17"/>
  <c r="D137" i="17"/>
  <c r="C136" i="17"/>
  <c r="C137" i="17"/>
  <c r="D135" i="17"/>
  <c r="E135" i="17"/>
  <c r="F135" i="17"/>
  <c r="C135" i="17"/>
  <c r="F134" i="17"/>
  <c r="E134" i="17"/>
  <c r="F133" i="17"/>
  <c r="E133" i="17"/>
  <c r="D130" i="17"/>
  <c r="E130" i="17"/>
  <c r="F130" i="17"/>
  <c r="C130" i="17"/>
  <c r="D129" i="17"/>
  <c r="E129" i="17"/>
  <c r="F129" i="17"/>
  <c r="C129" i="17"/>
  <c r="F128" i="17"/>
  <c r="E128" i="17"/>
  <c r="D123" i="17"/>
  <c r="D192" i="17"/>
  <c r="C123" i="17"/>
  <c r="C193" i="17"/>
  <c r="F122" i="17"/>
  <c r="E122" i="17"/>
  <c r="F121" i="17"/>
  <c r="E121" i="17"/>
  <c r="D120" i="17"/>
  <c r="E120" i="17"/>
  <c r="F120" i="17"/>
  <c r="C120" i="17"/>
  <c r="F119" i="17"/>
  <c r="E119" i="17"/>
  <c r="F118" i="17"/>
  <c r="E118" i="17"/>
  <c r="D110" i="17"/>
  <c r="E110" i="17"/>
  <c r="F110" i="17"/>
  <c r="C110" i="17"/>
  <c r="D109" i="17"/>
  <c r="D111" i="17"/>
  <c r="E111" i="17"/>
  <c r="C109" i="17"/>
  <c r="C111" i="17"/>
  <c r="D101" i="17"/>
  <c r="C101" i="17"/>
  <c r="C102" i="17"/>
  <c r="D100" i="17"/>
  <c r="E100" i="17"/>
  <c r="F100" i="17"/>
  <c r="C100" i="17"/>
  <c r="F99" i="17"/>
  <c r="E99" i="17"/>
  <c r="F98" i="17"/>
  <c r="E98" i="17"/>
  <c r="F95" i="17"/>
  <c r="D95" i="17"/>
  <c r="E95" i="17"/>
  <c r="C95" i="17"/>
  <c r="D94" i="17"/>
  <c r="E94" i="17"/>
  <c r="F94" i="17"/>
  <c r="C94" i="17"/>
  <c r="E93" i="17"/>
  <c r="F93" i="17"/>
  <c r="D88" i="17"/>
  <c r="E88" i="17"/>
  <c r="F88" i="17"/>
  <c r="C88" i="17"/>
  <c r="C89" i="17"/>
  <c r="F87" i="17"/>
  <c r="E87" i="17"/>
  <c r="F86" i="17"/>
  <c r="E86" i="17"/>
  <c r="D85" i="17"/>
  <c r="E85" i="17"/>
  <c r="F85" i="17"/>
  <c r="C85" i="17"/>
  <c r="F84" i="17"/>
  <c r="E84" i="17"/>
  <c r="F83" i="17"/>
  <c r="E83" i="17"/>
  <c r="D76" i="17"/>
  <c r="D77" i="17"/>
  <c r="C76" i="17"/>
  <c r="E74" i="17"/>
  <c r="F74" i="17"/>
  <c r="E73" i="17"/>
  <c r="F73" i="17"/>
  <c r="D67" i="17"/>
  <c r="C67" i="17"/>
  <c r="D66" i="17"/>
  <c r="D68" i="17"/>
  <c r="C66" i="17"/>
  <c r="C60" i="17"/>
  <c r="D59" i="17"/>
  <c r="D60" i="17"/>
  <c r="D61" i="17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7" i="17"/>
  <c r="E16" i="17"/>
  <c r="F16" i="17"/>
  <c r="E15" i="17"/>
  <c r="F15" i="17"/>
  <c r="D22" i="16"/>
  <c r="E22" i="16"/>
  <c r="C22" i="16"/>
  <c r="F21" i="16"/>
  <c r="E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F92" i="15"/>
  <c r="D92" i="15"/>
  <c r="E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E33" i="14"/>
  <c r="E36" i="14"/>
  <c r="E38" i="14"/>
  <c r="E40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D119" i="10"/>
  <c r="E119" i="10"/>
  <c r="F119" i="10"/>
  <c r="C119" i="10"/>
  <c r="D118" i="10"/>
  <c r="E118" i="10"/>
  <c r="F118" i="10"/>
  <c r="C118" i="10"/>
  <c r="D117" i="10"/>
  <c r="E117" i="10"/>
  <c r="F117" i="10"/>
  <c r="C117" i="10"/>
  <c r="D116" i="10"/>
  <c r="E116" i="10"/>
  <c r="F116" i="10"/>
  <c r="C116" i="10"/>
  <c r="D115" i="10"/>
  <c r="E115" i="10"/>
  <c r="F115" i="10"/>
  <c r="C115" i="10"/>
  <c r="D114" i="10"/>
  <c r="E114" i="10"/>
  <c r="F114" i="10"/>
  <c r="C114" i="10"/>
  <c r="D113" i="10"/>
  <c r="D122" i="10"/>
  <c r="C113" i="10"/>
  <c r="C122" i="10"/>
  <c r="D112" i="10"/>
  <c r="D121" i="10"/>
  <c r="C112" i="10"/>
  <c r="C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F60" i="10"/>
  <c r="C60" i="10"/>
  <c r="D59" i="10"/>
  <c r="E59" i="10"/>
  <c r="F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C183" i="7"/>
  <c r="F182" i="7"/>
  <c r="E182" i="7"/>
  <c r="F181" i="7"/>
  <c r="E181" i="7"/>
  <c r="F180" i="7"/>
  <c r="E180" i="7"/>
  <c r="E179" i="7"/>
  <c r="F179" i="7"/>
  <c r="F178" i="7"/>
  <c r="E178" i="7"/>
  <c r="F177" i="7"/>
  <c r="E177" i="7"/>
  <c r="E176" i="7"/>
  <c r="F176" i="7"/>
  <c r="E175" i="7"/>
  <c r="F175" i="7"/>
  <c r="F174" i="7"/>
  <c r="E174" i="7"/>
  <c r="F173" i="7"/>
  <c r="E173" i="7"/>
  <c r="F172" i="7"/>
  <c r="E172" i="7"/>
  <c r="E171" i="7"/>
  <c r="F171" i="7"/>
  <c r="E170" i="7"/>
  <c r="F170" i="7"/>
  <c r="D167" i="7"/>
  <c r="C167" i="7"/>
  <c r="E166" i="7"/>
  <c r="F166" i="7"/>
  <c r="F165" i="7"/>
  <c r="E165" i="7"/>
  <c r="E164" i="7"/>
  <c r="F164" i="7"/>
  <c r="F163" i="7"/>
  <c r="E163" i="7"/>
  <c r="F162" i="7"/>
  <c r="E162" i="7"/>
  <c r="F161" i="7"/>
  <c r="E161" i="7"/>
  <c r="E160" i="7"/>
  <c r="F160" i="7"/>
  <c r="F159" i="7"/>
  <c r="E159" i="7"/>
  <c r="E158" i="7"/>
  <c r="F158" i="7"/>
  <c r="E157" i="7"/>
  <c r="F157" i="7"/>
  <c r="E156" i="7"/>
  <c r="F156" i="7"/>
  <c r="E155" i="7"/>
  <c r="F155" i="7"/>
  <c r="F154" i="7"/>
  <c r="E154" i="7"/>
  <c r="F153" i="7"/>
  <c r="E153" i="7"/>
  <c r="E152" i="7"/>
  <c r="F152" i="7"/>
  <c r="E151" i="7"/>
  <c r="F151" i="7"/>
  <c r="E150" i="7"/>
  <c r="F150" i="7"/>
  <c r="F149" i="7"/>
  <c r="E149" i="7"/>
  <c r="E148" i="7"/>
  <c r="F148" i="7"/>
  <c r="E147" i="7"/>
  <c r="F147" i="7"/>
  <c r="E146" i="7"/>
  <c r="F146" i="7"/>
  <c r="E145" i="7"/>
  <c r="F145" i="7"/>
  <c r="F144" i="7"/>
  <c r="E144" i="7"/>
  <c r="F143" i="7"/>
  <c r="E143" i="7"/>
  <c r="E142" i="7"/>
  <c r="F142" i="7"/>
  <c r="E141" i="7"/>
  <c r="F141" i="7"/>
  <c r="F140" i="7"/>
  <c r="E140" i="7"/>
  <c r="F139" i="7"/>
  <c r="E139" i="7"/>
  <c r="E138" i="7"/>
  <c r="F138" i="7"/>
  <c r="E137" i="7"/>
  <c r="F137" i="7"/>
  <c r="E136" i="7"/>
  <c r="F136" i="7"/>
  <c r="E135" i="7"/>
  <c r="F135" i="7"/>
  <c r="E134" i="7"/>
  <c r="F134" i="7"/>
  <c r="E133" i="7"/>
  <c r="F133" i="7"/>
  <c r="D130" i="7"/>
  <c r="C130" i="7"/>
  <c r="F129" i="7"/>
  <c r="E129" i="7"/>
  <c r="E128" i="7"/>
  <c r="F128" i="7"/>
  <c r="E127" i="7"/>
  <c r="F127" i="7"/>
  <c r="E126" i="7"/>
  <c r="F126" i="7"/>
  <c r="F125" i="7"/>
  <c r="E125" i="7"/>
  <c r="E124" i="7"/>
  <c r="F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E114" i="7"/>
  <c r="F114" i="7"/>
  <c r="E113" i="7"/>
  <c r="F113" i="7"/>
  <c r="E112" i="7"/>
  <c r="F112" i="7"/>
  <c r="E111" i="7"/>
  <c r="F111" i="7"/>
  <c r="E110" i="7"/>
  <c r="F110" i="7"/>
  <c r="E109" i="7"/>
  <c r="F109" i="7"/>
  <c r="E108" i="7"/>
  <c r="F108" i="7"/>
  <c r="E107" i="7"/>
  <c r="F107" i="7"/>
  <c r="E106" i="7"/>
  <c r="F106" i="7"/>
  <c r="E105" i="7"/>
  <c r="F105" i="7"/>
  <c r="E104" i="7"/>
  <c r="F104" i="7"/>
  <c r="E103" i="7"/>
  <c r="F103" i="7"/>
  <c r="E93" i="7"/>
  <c r="F93" i="7"/>
  <c r="D90" i="7"/>
  <c r="C90" i="7"/>
  <c r="E89" i="7"/>
  <c r="F89" i="7"/>
  <c r="E88" i="7"/>
  <c r="F88" i="7"/>
  <c r="E87" i="7"/>
  <c r="F87" i="7"/>
  <c r="E86" i="7"/>
  <c r="F86" i="7"/>
  <c r="E85" i="7"/>
  <c r="F85" i="7"/>
  <c r="E84" i="7"/>
  <c r="F84" i="7"/>
  <c r="F83" i="7"/>
  <c r="E83" i="7"/>
  <c r="E82" i="7"/>
  <c r="F82" i="7"/>
  <c r="E81" i="7"/>
  <c r="F81" i="7"/>
  <c r="E80" i="7"/>
  <c r="F80" i="7"/>
  <c r="F79" i="7"/>
  <c r="E79" i="7"/>
  <c r="F78" i="7"/>
  <c r="E78" i="7"/>
  <c r="F77" i="7"/>
  <c r="E77" i="7"/>
  <c r="E76" i="7"/>
  <c r="F76" i="7"/>
  <c r="E75" i="7"/>
  <c r="F75" i="7"/>
  <c r="E74" i="7"/>
  <c r="F74" i="7"/>
  <c r="E73" i="7"/>
  <c r="F73" i="7"/>
  <c r="F72" i="7"/>
  <c r="E72" i="7"/>
  <c r="E71" i="7"/>
  <c r="F71" i="7"/>
  <c r="E70" i="7"/>
  <c r="F70" i="7"/>
  <c r="E69" i="7"/>
  <c r="F69" i="7"/>
  <c r="E68" i="7"/>
  <c r="F68" i="7"/>
  <c r="E67" i="7"/>
  <c r="F67" i="7"/>
  <c r="E66" i="7"/>
  <c r="F66" i="7"/>
  <c r="E65" i="7"/>
  <c r="F65" i="7"/>
  <c r="E64" i="7"/>
  <c r="F64" i="7"/>
  <c r="E63" i="7"/>
  <c r="F63" i="7"/>
  <c r="E62" i="7"/>
  <c r="F62" i="7"/>
  <c r="D59" i="7"/>
  <c r="C59" i="7"/>
  <c r="E58" i="7"/>
  <c r="F58" i="7"/>
  <c r="E57" i="7"/>
  <c r="F57" i="7"/>
  <c r="E56" i="7"/>
  <c r="F56" i="7"/>
  <c r="E55" i="7"/>
  <c r="F55" i="7"/>
  <c r="E54" i="7"/>
  <c r="F54" i="7"/>
  <c r="E53" i="7"/>
  <c r="F53" i="7"/>
  <c r="E50" i="7"/>
  <c r="F50" i="7"/>
  <c r="E47" i="7"/>
  <c r="F47" i="7"/>
  <c r="F44" i="7"/>
  <c r="E44" i="7"/>
  <c r="D41" i="7"/>
  <c r="C41" i="7"/>
  <c r="E41" i="7"/>
  <c r="E40" i="7"/>
  <c r="F40" i="7"/>
  <c r="E39" i="7"/>
  <c r="F39" i="7"/>
  <c r="E38" i="7"/>
  <c r="F38" i="7"/>
  <c r="D35" i="7"/>
  <c r="C35" i="7"/>
  <c r="E35" i="7"/>
  <c r="E34" i="7"/>
  <c r="F34" i="7"/>
  <c r="E33" i="7"/>
  <c r="F33" i="7"/>
  <c r="D30" i="7"/>
  <c r="C30" i="7"/>
  <c r="E30" i="7"/>
  <c r="F29" i="7"/>
  <c r="E29" i="7"/>
  <c r="E28" i="7"/>
  <c r="F28" i="7"/>
  <c r="E27" i="7"/>
  <c r="F27" i="7"/>
  <c r="D24" i="7"/>
  <c r="C24" i="7"/>
  <c r="E24" i="7"/>
  <c r="E23" i="7"/>
  <c r="F23" i="7"/>
  <c r="E22" i="7"/>
  <c r="F22" i="7"/>
  <c r="E21" i="7"/>
  <c r="F21" i="7"/>
  <c r="D18" i="7"/>
  <c r="C18" i="7"/>
  <c r="E18" i="7"/>
  <c r="E17" i="7"/>
  <c r="F17" i="7"/>
  <c r="E16" i="7"/>
  <c r="F16" i="7"/>
  <c r="E15" i="7"/>
  <c r="F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F89" i="6"/>
  <c r="D89" i="6"/>
  <c r="E89" i="6"/>
  <c r="C89" i="6"/>
  <c r="D88" i="6"/>
  <c r="E88" i="6"/>
  <c r="F88" i="6"/>
  <c r="C88" i="6"/>
  <c r="D87" i="6"/>
  <c r="E87" i="6"/>
  <c r="F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F46" i="6"/>
  <c r="D46" i="6"/>
  <c r="E46" i="6"/>
  <c r="C46" i="6"/>
  <c r="D45" i="6"/>
  <c r="E45" i="6"/>
  <c r="F45" i="6"/>
  <c r="C45" i="6"/>
  <c r="D44" i="6"/>
  <c r="E44" i="6"/>
  <c r="F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F61" i="4"/>
  <c r="D61" i="4"/>
  <c r="E61" i="4"/>
  <c r="C61" i="4"/>
  <c r="C65" i="4"/>
  <c r="F60" i="4"/>
  <c r="E60" i="4"/>
  <c r="F59" i="4"/>
  <c r="E59" i="4"/>
  <c r="D56" i="4"/>
  <c r="E56" i="4"/>
  <c r="F56" i="4"/>
  <c r="C56" i="4"/>
  <c r="C75" i="4"/>
  <c r="F55" i="4"/>
  <c r="E55" i="4"/>
  <c r="F54" i="4"/>
  <c r="E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E38" i="4"/>
  <c r="F38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E22" i="4"/>
  <c r="F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19" i="21"/>
  <c r="F21" i="21"/>
  <c r="F299" i="17"/>
  <c r="F20" i="20"/>
  <c r="C41" i="20"/>
  <c r="F40" i="20"/>
  <c r="D41" i="20"/>
  <c r="E39" i="20"/>
  <c r="E41" i="20"/>
  <c r="E238" i="17"/>
  <c r="E19" i="20"/>
  <c r="F19" i="20"/>
  <c r="E43" i="20"/>
  <c r="C38" i="19"/>
  <c r="C127" i="19"/>
  <c r="C129" i="19"/>
  <c r="C133" i="19"/>
  <c r="C22" i="19"/>
  <c r="D258" i="18"/>
  <c r="D100" i="18"/>
  <c r="D98" i="18"/>
  <c r="D96" i="18"/>
  <c r="D89" i="18"/>
  <c r="D87" i="18"/>
  <c r="D85" i="18"/>
  <c r="D83" i="18"/>
  <c r="D101" i="18"/>
  <c r="D99" i="18"/>
  <c r="E99" i="18"/>
  <c r="D97" i="18"/>
  <c r="D95" i="18"/>
  <c r="D88" i="18"/>
  <c r="D86" i="18"/>
  <c r="E86" i="18"/>
  <c r="D84" i="18"/>
  <c r="E44" i="18"/>
  <c r="E43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23" i="17"/>
  <c r="F23" i="17"/>
  <c r="E24" i="17"/>
  <c r="E29" i="17"/>
  <c r="E36" i="17"/>
  <c r="E76" i="17"/>
  <c r="F76" i="17"/>
  <c r="E21" i="18"/>
  <c r="D22" i="18"/>
  <c r="D294" i="18"/>
  <c r="E294" i="18"/>
  <c r="C33" i="18"/>
  <c r="C295" i="18"/>
  <c r="E37" i="18"/>
  <c r="D55" i="18"/>
  <c r="E55" i="18"/>
  <c r="E54" i="18"/>
  <c r="D289" i="18"/>
  <c r="E289" i="18"/>
  <c r="D71" i="18"/>
  <c r="E71" i="18"/>
  <c r="D65" i="18"/>
  <c r="E60" i="18"/>
  <c r="C77" i="18"/>
  <c r="E69" i="18"/>
  <c r="E70" i="18"/>
  <c r="E157" i="18"/>
  <c r="E32" i="18"/>
  <c r="E36" i="18"/>
  <c r="E139" i="18"/>
  <c r="D144" i="18"/>
  <c r="C145" i="18"/>
  <c r="C156" i="18"/>
  <c r="C157" i="18"/>
  <c r="E156" i="18"/>
  <c r="C163" i="18"/>
  <c r="E163" i="18"/>
  <c r="D175" i="18"/>
  <c r="E175" i="18"/>
  <c r="C229" i="18"/>
  <c r="C210" i="18"/>
  <c r="C180" i="18"/>
  <c r="E205" i="18"/>
  <c r="D241" i="18"/>
  <c r="E242" i="18"/>
  <c r="E243" i="18"/>
  <c r="E244" i="18"/>
  <c r="E245" i="18"/>
  <c r="D252" i="18"/>
  <c r="D253" i="18"/>
  <c r="D254" i="18"/>
  <c r="E254" i="18"/>
  <c r="E302" i="18"/>
  <c r="C303" i="18"/>
  <c r="C306" i="18"/>
  <c r="C310" i="18"/>
  <c r="C261" i="18"/>
  <c r="C263" i="18"/>
  <c r="C189" i="18"/>
  <c r="E189" i="18"/>
  <c r="E188" i="18"/>
  <c r="D260" i="18"/>
  <c r="E195" i="18"/>
  <c r="E229" i="18"/>
  <c r="D234" i="18"/>
  <c r="C253" i="18"/>
  <c r="E303" i="18"/>
  <c r="D306" i="18"/>
  <c r="D320" i="18"/>
  <c r="E320" i="18"/>
  <c r="E316" i="18"/>
  <c r="E326" i="18"/>
  <c r="D330" i="18"/>
  <c r="E330" i="18"/>
  <c r="E210" i="18"/>
  <c r="D211" i="18"/>
  <c r="E215" i="18"/>
  <c r="C217" i="18"/>
  <c r="C241" i="18"/>
  <c r="E217" i="18"/>
  <c r="E219" i="18"/>
  <c r="E221" i="18"/>
  <c r="D222" i="18"/>
  <c r="C252" i="18"/>
  <c r="C254" i="18"/>
  <c r="E265" i="18"/>
  <c r="E314" i="18"/>
  <c r="E216" i="18"/>
  <c r="E218" i="18"/>
  <c r="E220" i="18"/>
  <c r="C222" i="18"/>
  <c r="C246" i="18"/>
  <c r="D223" i="18"/>
  <c r="E233" i="18"/>
  <c r="E301" i="18"/>
  <c r="E324" i="18"/>
  <c r="C32" i="17"/>
  <c r="C160" i="17"/>
  <c r="C90" i="17"/>
  <c r="E48" i="17"/>
  <c r="F48" i="17"/>
  <c r="E31" i="17"/>
  <c r="F31" i="17"/>
  <c r="D32" i="17"/>
  <c r="F17" i="17"/>
  <c r="D21" i="17"/>
  <c r="F24" i="17"/>
  <c r="F29" i="17"/>
  <c r="F36" i="17"/>
  <c r="E44" i="17"/>
  <c r="F44" i="17"/>
  <c r="D160" i="17"/>
  <c r="E160" i="17"/>
  <c r="E53" i="17"/>
  <c r="F53" i="17"/>
  <c r="E59" i="17"/>
  <c r="F59" i="17"/>
  <c r="E60" i="17"/>
  <c r="F60" i="17"/>
  <c r="E67" i="17"/>
  <c r="F67" i="17"/>
  <c r="C77" i="17"/>
  <c r="E77" i="17"/>
  <c r="D89" i="17"/>
  <c r="E89" i="17"/>
  <c r="F89" i="17"/>
  <c r="D102" i="17"/>
  <c r="E101" i="17"/>
  <c r="F101" i="17"/>
  <c r="F111" i="17"/>
  <c r="C194" i="17"/>
  <c r="C195" i="17"/>
  <c r="C207" i="17"/>
  <c r="C138" i="17"/>
  <c r="F146" i="17"/>
  <c r="F159" i="17"/>
  <c r="C173" i="17"/>
  <c r="F181" i="17"/>
  <c r="E227" i="17"/>
  <c r="F227" i="17"/>
  <c r="C282" i="17"/>
  <c r="C266" i="17"/>
  <c r="E20" i="17"/>
  <c r="F20" i="17"/>
  <c r="C21" i="17"/>
  <c r="E30" i="17"/>
  <c r="F30" i="17"/>
  <c r="E35" i="17"/>
  <c r="F35" i="17"/>
  <c r="C37" i="17"/>
  <c r="E47" i="17"/>
  <c r="F47" i="17"/>
  <c r="E52" i="17"/>
  <c r="F52" i="17"/>
  <c r="E58" i="17"/>
  <c r="F58" i="17"/>
  <c r="C61" i="17"/>
  <c r="E61" i="17"/>
  <c r="E66" i="17"/>
  <c r="F66" i="17"/>
  <c r="C68" i="17"/>
  <c r="C103" i="17"/>
  <c r="E192" i="17"/>
  <c r="D207" i="17"/>
  <c r="D138" i="17"/>
  <c r="E138" i="17"/>
  <c r="E137" i="17"/>
  <c r="F137" i="17"/>
  <c r="D173" i="17"/>
  <c r="E173" i="17"/>
  <c r="E172" i="17"/>
  <c r="F172" i="17"/>
  <c r="E109" i="17"/>
  <c r="F109" i="17"/>
  <c r="E123" i="17"/>
  <c r="F123" i="17"/>
  <c r="C124" i="17"/>
  <c r="C125" i="17"/>
  <c r="E136" i="17"/>
  <c r="F136" i="17"/>
  <c r="E144" i="17"/>
  <c r="F144" i="17"/>
  <c r="E158" i="17"/>
  <c r="F158" i="17"/>
  <c r="E171" i="17"/>
  <c r="F171" i="17"/>
  <c r="E179" i="17"/>
  <c r="F179" i="17"/>
  <c r="C277" i="17"/>
  <c r="C261" i="17"/>
  <c r="C254" i="17"/>
  <c r="C278" i="17"/>
  <c r="C262" i="17"/>
  <c r="C255" i="17"/>
  <c r="C190" i="17"/>
  <c r="C280" i="17"/>
  <c r="C264" i="17"/>
  <c r="C192" i="17"/>
  <c r="C290" i="17"/>
  <c r="C274" i="17"/>
  <c r="C199" i="17"/>
  <c r="C200" i="17"/>
  <c r="C283" i="17"/>
  <c r="C267" i="17"/>
  <c r="C285" i="17"/>
  <c r="C269" i="17"/>
  <c r="C205" i="17"/>
  <c r="C206" i="17"/>
  <c r="C214" i="17"/>
  <c r="C215" i="17"/>
  <c r="E223" i="17"/>
  <c r="F223" i="17"/>
  <c r="E230" i="17"/>
  <c r="F230" i="17"/>
  <c r="D124" i="17"/>
  <c r="D277" i="17"/>
  <c r="D261" i="17"/>
  <c r="D214" i="17"/>
  <c r="D278" i="17"/>
  <c r="D262" i="17"/>
  <c r="D215" i="17"/>
  <c r="D190" i="17"/>
  <c r="E190" i="17"/>
  <c r="D280" i="17"/>
  <c r="D264" i="17"/>
  <c r="D193" i="17"/>
  <c r="D290" i="17"/>
  <c r="E290" i="17"/>
  <c r="D274" i="17"/>
  <c r="E274" i="17"/>
  <c r="D199" i="17"/>
  <c r="E199" i="17"/>
  <c r="D200" i="17"/>
  <c r="E200" i="17"/>
  <c r="D283" i="17"/>
  <c r="D267" i="17"/>
  <c r="D285" i="17"/>
  <c r="E285" i="17"/>
  <c r="D269" i="17"/>
  <c r="E269" i="17"/>
  <c r="D205" i="17"/>
  <c r="E205" i="17"/>
  <c r="D206" i="17"/>
  <c r="E206" i="17"/>
  <c r="E226" i="17"/>
  <c r="F226" i="17"/>
  <c r="E229" i="17"/>
  <c r="F229" i="17"/>
  <c r="C239" i="17"/>
  <c r="E237" i="17"/>
  <c r="F237" i="17"/>
  <c r="F238" i="17"/>
  <c r="E306" i="17"/>
  <c r="E250" i="17"/>
  <c r="F250" i="17"/>
  <c r="F22" i="16"/>
  <c r="F107" i="15"/>
  <c r="G36" i="14"/>
  <c r="G38" i="14"/>
  <c r="G40" i="14"/>
  <c r="I33" i="14"/>
  <c r="I36" i="14"/>
  <c r="I38" i="14"/>
  <c r="H40" i="14"/>
  <c r="H33" i="14"/>
  <c r="H36" i="14"/>
  <c r="H38" i="14"/>
  <c r="F36" i="14"/>
  <c r="F38" i="14"/>
  <c r="F40" i="14"/>
  <c r="I40" i="14"/>
  <c r="I17" i="14"/>
  <c r="D31" i="14"/>
  <c r="F31" i="14"/>
  <c r="H31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F43" i="11"/>
  <c r="F41" i="11"/>
  <c r="F75" i="11"/>
  <c r="F65" i="11"/>
  <c r="F73" i="11"/>
  <c r="E22" i="11"/>
  <c r="F22" i="11"/>
  <c r="E38" i="11"/>
  <c r="F38" i="11"/>
  <c r="E56" i="11"/>
  <c r="F56" i="11"/>
  <c r="E61" i="11"/>
  <c r="F61" i="11"/>
  <c r="E121" i="10"/>
  <c r="E122" i="10"/>
  <c r="F121" i="10"/>
  <c r="F122" i="10"/>
  <c r="E112" i="10"/>
  <c r="F112" i="10"/>
  <c r="E113" i="10"/>
  <c r="F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1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18" i="7"/>
  <c r="F24" i="7"/>
  <c r="F30" i="7"/>
  <c r="F35" i="7"/>
  <c r="F41" i="7"/>
  <c r="D95" i="7"/>
  <c r="E59" i="7"/>
  <c r="F59" i="7"/>
  <c r="E90" i="7"/>
  <c r="F90" i="7"/>
  <c r="C95" i="7"/>
  <c r="E121" i="7"/>
  <c r="F121" i="7"/>
  <c r="E130" i="7"/>
  <c r="F130" i="7"/>
  <c r="E167" i="7"/>
  <c r="F167" i="7"/>
  <c r="E183" i="7"/>
  <c r="F183" i="7"/>
  <c r="C188" i="7"/>
  <c r="F52" i="6"/>
  <c r="F95" i="6"/>
  <c r="E41" i="6"/>
  <c r="F41" i="6"/>
  <c r="E84" i="6"/>
  <c r="F84" i="6"/>
  <c r="C21" i="5"/>
  <c r="D21" i="5"/>
  <c r="E18" i="5"/>
  <c r="F18" i="5"/>
  <c r="E16" i="5"/>
  <c r="F16" i="5"/>
  <c r="D41" i="4"/>
  <c r="E41" i="4"/>
  <c r="F41" i="4"/>
  <c r="D65" i="4"/>
  <c r="E65" i="4"/>
  <c r="F65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43" i="20"/>
  <c r="E46" i="20"/>
  <c r="F46" i="20"/>
  <c r="F39" i="20"/>
  <c r="F41" i="20"/>
  <c r="E222" i="18"/>
  <c r="D246" i="18"/>
  <c r="E246" i="18"/>
  <c r="D235" i="18"/>
  <c r="E306" i="18"/>
  <c r="D310" i="18"/>
  <c r="E310" i="18"/>
  <c r="E260" i="18"/>
  <c r="E252" i="18"/>
  <c r="D180" i="18"/>
  <c r="E180" i="18"/>
  <c r="D145" i="18"/>
  <c r="E144" i="18"/>
  <c r="D168" i="18"/>
  <c r="E168" i="18"/>
  <c r="C168" i="18"/>
  <c r="D76" i="18"/>
  <c r="C126" i="18"/>
  <c r="C124" i="18"/>
  <c r="C122" i="18"/>
  <c r="C115" i="18"/>
  <c r="C113" i="18"/>
  <c r="C111" i="18"/>
  <c r="C109" i="18"/>
  <c r="C127" i="18"/>
  <c r="C125" i="18"/>
  <c r="C123" i="18"/>
  <c r="C121" i="18"/>
  <c r="C114" i="18"/>
  <c r="C112" i="18"/>
  <c r="C110" i="18"/>
  <c r="C116" i="18"/>
  <c r="D66" i="18"/>
  <c r="E65" i="18"/>
  <c r="D284" i="18"/>
  <c r="E284" i="18"/>
  <c r="E22" i="18"/>
  <c r="C102" i="18"/>
  <c r="C103" i="18"/>
  <c r="C264" i="18"/>
  <c r="C266" i="18"/>
  <c r="C267" i="18"/>
  <c r="E84" i="18"/>
  <c r="D90" i="18"/>
  <c r="E88" i="18"/>
  <c r="E97" i="18"/>
  <c r="E101" i="18"/>
  <c r="E85" i="18"/>
  <c r="E89" i="18"/>
  <c r="E98" i="18"/>
  <c r="E258" i="18"/>
  <c r="C223" i="18"/>
  <c r="C247" i="18"/>
  <c r="E253" i="18"/>
  <c r="E241" i="18"/>
  <c r="C211" i="18"/>
  <c r="C235" i="18"/>
  <c r="C234" i="18"/>
  <c r="E234" i="18"/>
  <c r="E261" i="18"/>
  <c r="C181" i="18"/>
  <c r="C169" i="18"/>
  <c r="C90" i="18"/>
  <c r="C91" i="18"/>
  <c r="C105" i="18"/>
  <c r="E95" i="18"/>
  <c r="D91" i="18"/>
  <c r="E83" i="18"/>
  <c r="E87" i="18"/>
  <c r="D102" i="18"/>
  <c r="E102" i="18"/>
  <c r="E96" i="18"/>
  <c r="E100" i="18"/>
  <c r="E33" i="18"/>
  <c r="E283" i="17"/>
  <c r="D286" i="17"/>
  <c r="D300" i="17"/>
  <c r="E264" i="17"/>
  <c r="E267" i="17"/>
  <c r="D270" i="17"/>
  <c r="E270" i="17"/>
  <c r="D194" i="17"/>
  <c r="D196" i="17"/>
  <c r="E193" i="17"/>
  <c r="F193" i="17"/>
  <c r="E280" i="17"/>
  <c r="F280" i="17"/>
  <c r="D255" i="17"/>
  <c r="E255" i="17"/>
  <c r="E215" i="17"/>
  <c r="E278" i="17"/>
  <c r="D288" i="17"/>
  <c r="E288" i="17"/>
  <c r="D271" i="17"/>
  <c r="D268" i="17"/>
  <c r="E261" i="17"/>
  <c r="D263" i="17"/>
  <c r="E263" i="17"/>
  <c r="E124" i="17"/>
  <c r="F215" i="17"/>
  <c r="F206" i="17"/>
  <c r="F269" i="17"/>
  <c r="C270" i="17"/>
  <c r="F267" i="17"/>
  <c r="F200" i="17"/>
  <c r="F274" i="17"/>
  <c r="F192" i="17"/>
  <c r="C281" i="17"/>
  <c r="F255" i="17"/>
  <c r="C288" i="17"/>
  <c r="F278" i="17"/>
  <c r="C271" i="17"/>
  <c r="C268" i="17"/>
  <c r="C263" i="17"/>
  <c r="F261" i="17"/>
  <c r="D208" i="17"/>
  <c r="E207" i="17"/>
  <c r="F207" i="17"/>
  <c r="D139" i="17"/>
  <c r="F173" i="17"/>
  <c r="F138" i="17"/>
  <c r="D90" i="17"/>
  <c r="E90" i="17"/>
  <c r="D125" i="17"/>
  <c r="E125" i="17"/>
  <c r="F125" i="17"/>
  <c r="D161" i="17"/>
  <c r="D126" i="17"/>
  <c r="D49" i="17"/>
  <c r="E21" i="17"/>
  <c r="D91" i="17"/>
  <c r="D282" i="17"/>
  <c r="E282" i="17"/>
  <c r="F282" i="17"/>
  <c r="E68" i="17"/>
  <c r="F68" i="17"/>
  <c r="D210" i="17"/>
  <c r="D175" i="17"/>
  <c r="D140" i="17"/>
  <c r="D62" i="17"/>
  <c r="E32" i="17"/>
  <c r="D272" i="17"/>
  <c r="E272" i="17"/>
  <c r="E262" i="17"/>
  <c r="F262" i="17"/>
  <c r="D254" i="17"/>
  <c r="D216" i="17"/>
  <c r="E214" i="17"/>
  <c r="F214" i="17"/>
  <c r="E277" i="17"/>
  <c r="F277" i="17"/>
  <c r="D287" i="17"/>
  <c r="D284" i="17"/>
  <c r="D279" i="17"/>
  <c r="E279" i="17"/>
  <c r="E239" i="17"/>
  <c r="F239" i="17"/>
  <c r="C216" i="17"/>
  <c r="F205" i="17"/>
  <c r="F285" i="17"/>
  <c r="C286" i="17"/>
  <c r="F283" i="17"/>
  <c r="F199" i="17"/>
  <c r="F290" i="17"/>
  <c r="C300" i="17"/>
  <c r="C265" i="17"/>
  <c r="F264" i="17"/>
  <c r="F190" i="17"/>
  <c r="C272" i="17"/>
  <c r="C287" i="17"/>
  <c r="C284" i="17"/>
  <c r="C279" i="17"/>
  <c r="F124" i="17"/>
  <c r="C174" i="17"/>
  <c r="C139" i="17"/>
  <c r="C104" i="17"/>
  <c r="F61" i="17"/>
  <c r="D174" i="17"/>
  <c r="E174" i="17"/>
  <c r="C304" i="17"/>
  <c r="C196" i="17"/>
  <c r="C161" i="17"/>
  <c r="C126" i="17"/>
  <c r="C91" i="17"/>
  <c r="C49" i="17"/>
  <c r="F21" i="17"/>
  <c r="C208" i="17"/>
  <c r="D103" i="17"/>
  <c r="E102" i="17"/>
  <c r="F102" i="17"/>
  <c r="D266" i="17"/>
  <c r="E266" i="17"/>
  <c r="F266" i="17"/>
  <c r="E37" i="17"/>
  <c r="F37" i="17"/>
  <c r="F90" i="17"/>
  <c r="F160" i="17"/>
  <c r="C210" i="17"/>
  <c r="C175" i="17"/>
  <c r="C140" i="17"/>
  <c r="C105" i="17"/>
  <c r="C62" i="17"/>
  <c r="F32" i="17"/>
  <c r="D24" i="13"/>
  <c r="D20" i="13"/>
  <c r="D17" i="13"/>
  <c r="D28" i="13"/>
  <c r="E22" i="13"/>
  <c r="F20" i="12"/>
  <c r="C34" i="12"/>
  <c r="D34" i="12"/>
  <c r="E20" i="12"/>
  <c r="D24" i="8"/>
  <c r="D20" i="8"/>
  <c r="D17" i="8"/>
  <c r="C112" i="8"/>
  <c r="C111" i="8"/>
  <c r="C28" i="8"/>
  <c r="C158" i="8"/>
  <c r="E141" i="8"/>
  <c r="E158" i="8"/>
  <c r="C141" i="8"/>
  <c r="E112" i="8"/>
  <c r="E111" i="8"/>
  <c r="E28" i="8"/>
  <c r="D158" i="8"/>
  <c r="F188" i="7"/>
  <c r="E188" i="7"/>
  <c r="F95" i="7"/>
  <c r="E95" i="7"/>
  <c r="D35" i="5"/>
  <c r="E21" i="5"/>
  <c r="F21" i="5"/>
  <c r="C35" i="5"/>
  <c r="D75" i="4"/>
  <c r="E75" i="4"/>
  <c r="F75" i="4"/>
  <c r="D43" i="4"/>
  <c r="E43" i="4"/>
  <c r="F43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269" i="18"/>
  <c r="C268" i="18"/>
  <c r="E91" i="18"/>
  <c r="E90" i="18"/>
  <c r="E66" i="18"/>
  <c r="D295" i="18"/>
  <c r="E295" i="18"/>
  <c r="C117" i="18"/>
  <c r="C128" i="18"/>
  <c r="C129" i="18"/>
  <c r="E235" i="18"/>
  <c r="E223" i="18"/>
  <c r="D103" i="18"/>
  <c r="E103" i="18"/>
  <c r="E76" i="18"/>
  <c r="D77" i="18"/>
  <c r="D259" i="18"/>
  <c r="D169" i="18"/>
  <c r="E169" i="18"/>
  <c r="D181" i="18"/>
  <c r="E181" i="18"/>
  <c r="E145" i="18"/>
  <c r="E211" i="18"/>
  <c r="D247" i="18"/>
  <c r="E247" i="18"/>
  <c r="C63" i="17"/>
  <c r="E103" i="17"/>
  <c r="F103" i="17"/>
  <c r="D104" i="17"/>
  <c r="E104" i="17"/>
  <c r="F104" i="17"/>
  <c r="C106" i="17"/>
  <c r="C176" i="17"/>
  <c r="C92" i="17"/>
  <c r="C162" i="17"/>
  <c r="F174" i="17"/>
  <c r="F279" i="17"/>
  <c r="C291" i="17"/>
  <c r="C289" i="17"/>
  <c r="F272" i="17"/>
  <c r="E284" i="17"/>
  <c r="F284" i="17"/>
  <c r="E216" i="17"/>
  <c r="F216" i="17"/>
  <c r="D63" i="17"/>
  <c r="E63" i="17"/>
  <c r="E62" i="17"/>
  <c r="F62" i="17"/>
  <c r="D141" i="17"/>
  <c r="E140" i="17"/>
  <c r="D211" i="17"/>
  <c r="E210" i="17"/>
  <c r="F210" i="17"/>
  <c r="D127" i="17"/>
  <c r="E126" i="17"/>
  <c r="D197" i="17"/>
  <c r="E196" i="17"/>
  <c r="F196" i="17"/>
  <c r="E139" i="17"/>
  <c r="F139" i="17"/>
  <c r="E208" i="17"/>
  <c r="D209" i="17"/>
  <c r="F263" i="17"/>
  <c r="C273" i="17"/>
  <c r="F288" i="17"/>
  <c r="F270" i="17"/>
  <c r="E271" i="17"/>
  <c r="F271" i="17"/>
  <c r="D304" i="17"/>
  <c r="D273" i="17"/>
  <c r="E273" i="17"/>
  <c r="E194" i="17"/>
  <c r="F194" i="17"/>
  <c r="D195" i="17"/>
  <c r="E195" i="17"/>
  <c r="F195" i="17"/>
  <c r="E286" i="17"/>
  <c r="F286" i="17"/>
  <c r="F140" i="17"/>
  <c r="C141" i="17"/>
  <c r="F208" i="17"/>
  <c r="C50" i="17"/>
  <c r="F126" i="17"/>
  <c r="C127" i="17"/>
  <c r="C209" i="17"/>
  <c r="E287" i="17"/>
  <c r="F287" i="17"/>
  <c r="D291" i="17"/>
  <c r="D289" i="17"/>
  <c r="E289" i="17"/>
  <c r="E254" i="17"/>
  <c r="F254" i="17"/>
  <c r="D105" i="17"/>
  <c r="D176" i="17"/>
  <c r="E176" i="17"/>
  <c r="E175" i="17"/>
  <c r="F175" i="17"/>
  <c r="E91" i="17"/>
  <c r="F91" i="17"/>
  <c r="D92" i="17"/>
  <c r="D50" i="17"/>
  <c r="E49" i="17"/>
  <c r="F49" i="17"/>
  <c r="D162" i="17"/>
  <c r="E161" i="17"/>
  <c r="F161" i="17"/>
  <c r="E268" i="17"/>
  <c r="F268" i="17"/>
  <c r="D281" i="17"/>
  <c r="E281" i="17"/>
  <c r="F281" i="17"/>
  <c r="D265" i="17"/>
  <c r="E265" i="17"/>
  <c r="F265" i="17"/>
  <c r="E300" i="17"/>
  <c r="F300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D263" i="18"/>
  <c r="E259" i="18"/>
  <c r="C271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C131" i="18"/>
  <c r="D105" i="18"/>
  <c r="E105" i="18"/>
  <c r="E92" i="17"/>
  <c r="D106" i="17"/>
  <c r="E106" i="17"/>
  <c r="F106" i="17"/>
  <c r="E105" i="17"/>
  <c r="F105" i="17"/>
  <c r="E291" i="17"/>
  <c r="F291" i="17"/>
  <c r="D305" i="17"/>
  <c r="C322" i="17"/>
  <c r="C211" i="17"/>
  <c r="E304" i="17"/>
  <c r="F304" i="17"/>
  <c r="F289" i="17"/>
  <c r="C323" i="17"/>
  <c r="C183" i="17"/>
  <c r="F176" i="17"/>
  <c r="F63" i="17"/>
  <c r="D323" i="17"/>
  <c r="E323" i="17"/>
  <c r="D183" i="17"/>
  <c r="E162" i="17"/>
  <c r="F162" i="17"/>
  <c r="D70" i="17"/>
  <c r="E50" i="17"/>
  <c r="F50" i="17"/>
  <c r="C197" i="17"/>
  <c r="C148" i="17"/>
  <c r="C70" i="17"/>
  <c r="F273" i="17"/>
  <c r="E209" i="17"/>
  <c r="F209" i="17"/>
  <c r="E197" i="17"/>
  <c r="D148" i="17"/>
  <c r="E148" i="17"/>
  <c r="E127" i="17"/>
  <c r="F127" i="17"/>
  <c r="E211" i="17"/>
  <c r="D322" i="17"/>
  <c r="E322" i="17"/>
  <c r="E141" i="17"/>
  <c r="F141" i="17"/>
  <c r="C305" i="17"/>
  <c r="C324" i="17"/>
  <c r="C113" i="17"/>
  <c r="F92" i="17"/>
  <c r="D49" i="12"/>
  <c r="E42" i="12"/>
  <c r="F42" i="12"/>
  <c r="C49" i="12"/>
  <c r="D99" i="8"/>
  <c r="D101" i="8"/>
  <c r="D98" i="8"/>
  <c r="D22" i="8"/>
  <c r="D50" i="5"/>
  <c r="E50" i="5"/>
  <c r="E43" i="5"/>
  <c r="F43" i="5"/>
  <c r="C50" i="5"/>
  <c r="E109" i="18"/>
  <c r="E122" i="18"/>
  <c r="D128" i="18"/>
  <c r="E128" i="18"/>
  <c r="D116" i="18"/>
  <c r="E116" i="18"/>
  <c r="E110" i="18"/>
  <c r="D324" i="17"/>
  <c r="D325" i="17"/>
  <c r="E325" i="17"/>
  <c r="D129" i="18"/>
  <c r="E129" i="18"/>
  <c r="E121" i="18"/>
  <c r="E263" i="18"/>
  <c r="D264" i="18"/>
  <c r="C325" i="17"/>
  <c r="C309" i="17"/>
  <c r="F197" i="17"/>
  <c r="E70" i="17"/>
  <c r="F70" i="17"/>
  <c r="E183" i="17"/>
  <c r="F183" i="17"/>
  <c r="F211" i="17"/>
  <c r="F322" i="17"/>
  <c r="D113" i="17"/>
  <c r="E113" i="17"/>
  <c r="F113" i="17"/>
  <c r="F148" i="17"/>
  <c r="F323" i="17"/>
  <c r="D309" i="17"/>
  <c r="E305" i="17"/>
  <c r="F305" i="17"/>
  <c r="E324" i="17"/>
  <c r="F324" i="17"/>
  <c r="F49" i="12"/>
  <c r="E49" i="12"/>
  <c r="F50" i="5"/>
  <c r="E264" i="18"/>
  <c r="D266" i="18"/>
  <c r="D117" i="18"/>
  <c r="C310" i="17"/>
  <c r="E309" i="17"/>
  <c r="F309" i="17"/>
  <c r="D310" i="17"/>
  <c r="F325" i="17"/>
  <c r="E117" i="18"/>
  <c r="D131" i="18"/>
  <c r="E131" i="18"/>
  <c r="E266" i="18"/>
  <c r="D267" i="18"/>
  <c r="D312" i="17"/>
  <c r="E310" i="17"/>
  <c r="F310" i="17"/>
  <c r="C312" i="17"/>
  <c r="D269" i="18"/>
  <c r="E269" i="18"/>
  <c r="E267" i="18"/>
  <c r="D268" i="18"/>
  <c r="E312" i="17"/>
  <c r="D313" i="17"/>
  <c r="F312" i="17"/>
  <c r="C313" i="17"/>
  <c r="D271" i="18"/>
  <c r="E271" i="18"/>
  <c r="E268" i="18"/>
  <c r="F313" i="17"/>
  <c r="C314" i="17"/>
  <c r="C251" i="17"/>
  <c r="C315" i="17"/>
  <c r="C256" i="17"/>
  <c r="D315" i="17"/>
  <c r="E315" i="17"/>
  <c r="D314" i="17"/>
  <c r="E313" i="17"/>
  <c r="D251" i="17"/>
  <c r="E251" i="17"/>
  <c r="D256" i="17"/>
  <c r="D318" i="17"/>
  <c r="E318" i="17"/>
  <c r="E314" i="17"/>
  <c r="F251" i="17"/>
  <c r="E256" i="17"/>
  <c r="D257" i="17"/>
  <c r="F315" i="17"/>
  <c r="F314" i="17"/>
  <c r="C318" i="17"/>
  <c r="C257" i="17"/>
  <c r="F256" i="17"/>
  <c r="F257" i="17"/>
  <c r="E257" i="17"/>
  <c r="F318" i="17"/>
</calcChain>
</file>

<file path=xl/sharedStrings.xml><?xml version="1.0" encoding="utf-8"?>
<sst xmlns="http://schemas.openxmlformats.org/spreadsheetml/2006/main" count="2334" uniqueCount="1009">
  <si>
    <t>MILFORD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</si>
  <si>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</si>
  <si>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</si>
  <si>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</si>
  <si>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</si>
  <si>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</si>
  <si>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</si>
  <si>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</si>
  <si>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</si>
  <si>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</si>
  <si>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</si>
  <si>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</si>
  <si>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</si>
  <si>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</si>
  <si>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</si>
  <si>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</si>
  <si>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</si>
  <si>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</si>
  <si>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</si>
  <si>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</si>
  <si>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</si>
  <si>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</si>
  <si>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</si>
  <si>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</si>
  <si>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</si>
  <si>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</si>
  <si>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</si>
  <si>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</si>
  <si>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</si>
  <si>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</si>
  <si>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</si>
  <si>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</si>
  <si>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</si>
  <si>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</si>
  <si>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</si>
  <si>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</si>
  <si>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</si>
  <si>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</si>
  <si>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</si>
  <si>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</si>
  <si>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</si>
  <si>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</si>
  <si>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</si>
  <si>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</si>
  <si>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</si>
  <si>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</si>
  <si>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</si>
  <si>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</si>
  <si>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</si>
  <si>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</si>
  <si>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</si>
  <si>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</si>
  <si>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</si>
  <si>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</si>
  <si>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</si>
  <si>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</si>
  <si>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</si>
  <si>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</si>
  <si>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</si>
  <si>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</si>
  <si>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</si>
  <si>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</si>
  <si>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</si>
  <si>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</si>
  <si>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</si>
  <si>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</si>
  <si>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</si>
  <si>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</si>
  <si>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</si>
  <si>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</si>
  <si>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</si>
  <si>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</si>
  <si>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</si>
  <si>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</si>
  <si>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</si>
  <si>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</si>
  <si>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</si>
  <si>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</si>
  <si>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</si>
  <si>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</si>
  <si>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</si>
  <si>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</si>
  <si>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</si>
  <si>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</si>
  <si>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</si>
  <si>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</si>
  <si>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</si>
  <si>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</si>
  <si>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</si>
  <si>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</si>
  <si>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</si>
  <si>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</si>
  <si>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</si>
  <si>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</si>
  <si>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</si>
  <si>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</si>
  <si>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</si>
  <si>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</si>
  <si>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</si>
  <si>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</si>
  <si>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</si>
  <si>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</si>
  <si>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</si>
  <si>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</si>
  <si>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</si>
  <si>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</si>
  <si>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</si>
  <si>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</si>
  <si>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</si>
  <si>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</si>
  <si>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</si>
  <si>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</si>
  <si>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</si>
  <si>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</si>
  <si>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</si>
  <si>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</si>
  <si>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</si>
  <si>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</si>
  <si>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</si>
  <si>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</si>
  <si>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</si>
  <si>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</si>
  <si>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</si>
  <si>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</si>
  <si>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</si>
  <si>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</si>
  <si>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</si>
  <si>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</si>
  <si>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</si>
  <si>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</si>
  <si>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</si>
  <si>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</si>
  <si>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</si>
  <si>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</si>
  <si>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</si>
  <si>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</si>
  <si>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</si>
  <si>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</si>
  <si>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</si>
  <si>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</si>
  <si>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</si>
  <si>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</si>
  <si>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</si>
  <si>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</si>
  <si>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</si>
  <si>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</si>
  <si>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</si>
  <si>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</si>
  <si>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</si>
  <si>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</si>
  <si>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</si>
  <si>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</si>
  <si>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</si>
  <si>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</si>
  <si>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</si>
  <si>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</si>
  <si>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</si>
  <si>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</si>
  <si>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</si>
  <si>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</si>
  <si>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</si>
  <si>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</si>
  <si>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</si>
  <si>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</si>
  <si>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</si>
  <si>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</si>
  <si>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</si>
  <si>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</si>
  <si>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</si>
  <si>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</si>
  <si>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</si>
  <si>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</si>
  <si>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</si>
  <si>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</si>
  <si>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</si>
  <si>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</si>
  <si>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</si>
  <si>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</si>
  <si>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</si>
  <si>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</si>
  <si>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</si>
  <si>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</si>
  <si>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</si>
  <si>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</si>
  <si>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</si>
  <si>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</si>
  <si>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</si>
  <si>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</si>
  <si>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</si>
  <si>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</si>
  <si>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</si>
  <si>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</si>
  <si>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</si>
  <si>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</si>
  <si>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</si>
  <si>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</si>
  <si>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</si>
  <si>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</si>
  <si>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</si>
  <si>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</si>
  <si>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</si>
  <si>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</si>
  <si>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</si>
  <si>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</si>
  <si>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</si>
  <si>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</si>
  <si>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</si>
  <si>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</si>
  <si>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</si>
  <si>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</si>
  <si>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</si>
  <si>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</si>
  <si>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</si>
  <si>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</si>
  <si>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</si>
  <si>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</si>
  <si>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</si>
  <si>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</si>
  <si>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</si>
  <si>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</si>
  <si>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</si>
  <si>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</si>
  <si>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</si>
  <si>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</si>
  <si>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</si>
  <si>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</si>
  <si>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</si>
  <si>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</si>
  <si>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</si>
  <si>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</si>
  <si>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</si>
  <si>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</si>
  <si>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</si>
  <si>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</si>
  <si>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</si>
  <si>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</si>
  <si>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</si>
  <si>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</si>
  <si>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</si>
  <si>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</si>
  <si>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</si>
  <si>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</si>
  <si>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</si>
  <si>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</si>
  <si>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</si>
  <si>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</si>
  <si>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</si>
  <si>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</si>
  <si>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</si>
  <si>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</si>
  <si>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</si>
  <si>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</si>
  <si>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</si>
  <si>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</si>
  <si>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</si>
  <si>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</si>
  <si>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</si>
  <si>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</si>
  <si>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</si>
  <si>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</si>
  <si>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</si>
  <si>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</si>
  <si>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</si>
  <si>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</si>
  <si>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</si>
  <si>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</si>
  <si>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</si>
  <si>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</si>
  <si>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</si>
  <si>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</si>
  <si>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</si>
  <si>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</si>
  <si>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</si>
  <si>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</si>
  <si>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</si>
  <si>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</si>
  <si>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</si>
  <si>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</si>
  <si>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</si>
  <si>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</si>
  <si>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</si>
  <si>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</si>
  <si>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</si>
  <si>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</si>
  <si>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</si>
  <si>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</si>
  <si>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</si>
  <si>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</si>
  <si>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</si>
  <si>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</si>
  <si>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</si>
  <si>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</si>
  <si>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</si>
  <si>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</si>
  <si>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</si>
  <si>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</si>
  <si>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</si>
  <si>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</si>
  <si>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</si>
  <si>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</si>
  <si>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</si>
  <si>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</si>
  <si>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</si>
  <si>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</si>
  <si>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</si>
  <si>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</si>
  <si>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</si>
  <si>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</si>
  <si>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</si>
  <si>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</si>
  <si>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</si>
  <si>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</si>
  <si>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</si>
  <si>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</si>
  <si>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</si>
  <si>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</si>
  <si>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</si>
  <si>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</si>
  <si>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</si>
  <si>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</si>
  <si>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</si>
  <si>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</si>
  <si>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</si>
  <si>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</si>
  <si>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</si>
  <si>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</si>
  <si>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</si>
  <si>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</si>
  <si>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</si>
  <si>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</si>
  <si>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</si>
  <si>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</si>
  <si>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</si>
  <si>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</si>
  <si>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</si>
  <si>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</si>
  <si>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</si>
  <si>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</si>
  <si>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</si>
  <si>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</si>
  <si>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</si>
  <si>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</si>
  <si>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</si>
  <si>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</si>
  <si>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</si>
  <si>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</si>
  <si>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</si>
  <si>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</si>
  <si>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</si>
  <si>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</si>
  <si>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</si>
  <si>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</si>
  <si>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</si>
  <si>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</si>
  <si>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</si>
  <si>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</si>
  <si>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</si>
  <si>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</si>
  <si>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</si>
  <si>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</si>
  <si>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</si>
  <si>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</si>
  <si>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</si>
  <si>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</si>
  <si>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</si>
  <si>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</si>
  <si>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</si>
  <si>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</si>
  <si>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</si>
  <si>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</si>
  <si>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</si>
  <si>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</si>
  <si>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</si>
  <si>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</si>
  <si>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</si>
  <si>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</si>
  <si>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</si>
  <si>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</si>
  <si>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</si>
  <si>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</si>
  <si>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</si>
  <si>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</si>
  <si>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</si>
  <si>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</si>
  <si>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</si>
  <si>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</si>
  <si>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</si>
  <si>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</si>
  <si>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</si>
  <si>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</si>
  <si>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</si>
  <si>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</si>
  <si>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</si>
  <si>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</si>
  <si>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</si>
  <si>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</si>
  <si>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</si>
  <si>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</si>
  <si>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</si>
  <si>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</si>
  <si>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</si>
  <si>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</si>
  <si>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</si>
  <si>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</si>
  <si>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</si>
  <si>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</si>
  <si>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</si>
  <si>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</si>
  <si>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</si>
  <si>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</si>
  <si>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</si>
  <si>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</si>
  <si>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</si>
  <si>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</si>
  <si>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</si>
  <si>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</si>
  <si>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</si>
  <si>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</si>
  <si>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</si>
  <si>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</si>
  <si>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</si>
  <si>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</si>
  <si>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</si>
  <si>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</si>
  <si>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</si>
  <si>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</si>
  <si>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</si>
  <si>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</si>
  <si>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</si>
  <si>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</si>
  <si>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</si>
  <si>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</si>
  <si>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</si>
  <si>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</si>
  <si>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</si>
  <si>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</si>
  <si>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</si>
  <si>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</si>
  <si>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</si>
  <si>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</si>
  <si>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</si>
  <si>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</si>
  <si>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</si>
  <si>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</si>
  <si>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</si>
  <si>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</si>
  <si>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</si>
  <si>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</si>
  <si>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</si>
  <si>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</si>
  <si>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</si>
  <si>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</si>
  <si>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</si>
  <si>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</si>
  <si>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</si>
  <si>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</si>
  <si>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</si>
  <si>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</si>
  <si>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</si>
  <si>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</si>
  <si>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</si>
  <si>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</si>
  <si>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</si>
  <si>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</si>
  <si>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</si>
  <si>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</si>
  <si>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</si>
  <si>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</si>
  <si>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</si>
  <si>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</si>
  <si>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</si>
  <si>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</si>
  <si>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</si>
  <si>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</si>
  <si>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</si>
  <si>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</si>
  <si>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</si>
  <si>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</si>
  <si>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</si>
  <si>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</si>
  <si>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</si>
  <si>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</si>
  <si>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</si>
  <si>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</si>
  <si>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</si>
  <si>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</si>
  <si>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</si>
  <si>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</si>
  <si>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</si>
  <si>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</si>
  <si>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</si>
  <si>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</si>
  <si>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</si>
  <si>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</si>
  <si>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</si>
  <si>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</si>
  <si>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</si>
  <si>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</si>
  <si>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</si>
  <si>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</si>
  <si>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MILFORD HEALTH &amp; MEDICAL,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</si>
  <si>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</si>
  <si>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</si>
  <si>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</si>
  <si>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</si>
  <si>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</si>
  <si>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</si>
  <si>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</si>
  <si>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</si>
  <si>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</si>
  <si>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</si>
  <si>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</si>
  <si>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</si>
  <si>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</si>
  <si>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</si>
  <si>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</si>
  <si>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</si>
  <si>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</si>
  <si>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</si>
  <si>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</si>
  <si>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</si>
  <si>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</si>
  <si>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</si>
  <si>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</si>
  <si>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</si>
  <si>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</si>
  <si>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</si>
  <si>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</si>
  <si>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</si>
  <si>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</si>
  <si>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</si>
  <si>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</si>
  <si>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</si>
  <si>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</si>
  <si>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</si>
  <si>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</si>
  <si>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</si>
  <si>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</si>
  <si>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</si>
  <si>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</si>
  <si>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</si>
  <si>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</si>
  <si>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</si>
  <si>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</si>
  <si>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</si>
  <si>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</si>
  <si>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</si>
  <si>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</si>
  <si>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</si>
  <si>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</si>
  <si>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</si>
  <si>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</si>
  <si>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</si>
  <si>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</si>
  <si>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</si>
  <si>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</si>
  <si>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</si>
  <si>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</si>
  <si>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</si>
  <si>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</si>
  <si>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</si>
  <si>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</si>
  <si>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</si>
  <si>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</si>
  <si>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</si>
  <si>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</si>
  <si>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</si>
  <si>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</si>
  <si>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</si>
  <si>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</si>
  <si>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</si>
  <si>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</si>
  <si>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</si>
  <si>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</si>
  <si>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</si>
  <si>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</si>
  <si>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</si>
  <si>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</si>
  <si>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</si>
  <si>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</si>
  <si>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</si>
  <si>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</si>
  <si>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</si>
  <si>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</si>
  <si>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</si>
  <si>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</si>
  <si>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</si>
  <si>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</si>
  <si>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</si>
  <si>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</si>
  <si>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</si>
  <si>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</si>
  <si>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</si>
  <si>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</si>
  <si>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</si>
  <si>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</si>
  <si>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</si>
  <si>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</si>
  <si>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</si>
  <si>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</si>
  <si>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</si>
  <si>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</si>
  <si>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</si>
  <si>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</si>
  <si>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</si>
  <si>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</si>
  <si>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</si>
  <si>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</si>
  <si>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</si>
  <si>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</si>
  <si>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</si>
  <si>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</si>
  <si>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</si>
  <si>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</si>
  <si>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</si>
  <si>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</si>
  <si>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</si>
  <si>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</si>
  <si>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</si>
  <si>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</si>
  <si>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</si>
  <si>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Milford Hospital</t>
  </si>
  <si>
    <t>Total Outpatient Surgical Procedures(A)</t>
  </si>
  <si>
    <t>Total Outpatient Endoscopy Procedures(B)</t>
  </si>
  <si>
    <t>Outpatient Hospital Emergency Room Visits</t>
  </si>
  <si>
    <t>MilfHospBostonPostRd WalkIn Ctr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</si>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</sst>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1665016</v>
      </c>
      <c r="D13" s="22">
        <v>6892694</v>
      </c>
      <c r="E13" s="22">
        <f t="shared" ref="E13:E22" si="0">D13-C13</f>
        <v>5227678</v>
      </c>
      <c r="F13" s="23">
        <f t="shared" ref="F13:F22" si="1">IF(C13=0,0,E13/C13)</f>
        <v>3.1397163750978971</v>
      </c>
    </row>
    <row r="14" spans="1:8" ht="24" customHeight="1" x14ac:dyDescent="0.2">
      <c r="A14" s="20">
        <v>2</v>
      </c>
      <c r="B14" s="21" t="s">
        <v>17</v>
      </c>
      <c r="C14" s="22">
        <v>110612</v>
      </c>
      <c r="D14" s="22">
        <v>110778</v>
      </c>
      <c r="E14" s="22">
        <f t="shared" si="0"/>
        <v>166</v>
      </c>
      <c r="F14" s="23">
        <f t="shared" si="1"/>
        <v>1.5007413300546053E-3</v>
      </c>
    </row>
    <row r="15" spans="1:8" ht="24" customHeight="1" x14ac:dyDescent="0.2">
      <c r="A15" s="20">
        <v>3</v>
      </c>
      <c r="B15" s="21" t="s">
        <v>18</v>
      </c>
      <c r="C15" s="22">
        <v>9618035</v>
      </c>
      <c r="D15" s="22">
        <v>8850797</v>
      </c>
      <c r="E15" s="22">
        <f t="shared" si="0"/>
        <v>-767238</v>
      </c>
      <c r="F15" s="23">
        <f t="shared" si="1"/>
        <v>-7.9770763986614729E-2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887860</v>
      </c>
      <c r="D19" s="22">
        <v>772809</v>
      </c>
      <c r="E19" s="22">
        <f t="shared" si="0"/>
        <v>-115051</v>
      </c>
      <c r="F19" s="23">
        <f t="shared" si="1"/>
        <v>-0.12958236658932715</v>
      </c>
    </row>
    <row r="20" spans="1:11" ht="24" customHeight="1" x14ac:dyDescent="0.2">
      <c r="A20" s="20">
        <v>8</v>
      </c>
      <c r="B20" s="21" t="s">
        <v>23</v>
      </c>
      <c r="C20" s="22">
        <v>1727752</v>
      </c>
      <c r="D20" s="22">
        <v>872178</v>
      </c>
      <c r="E20" s="22">
        <f t="shared" si="0"/>
        <v>-855574</v>
      </c>
      <c r="F20" s="23">
        <f t="shared" si="1"/>
        <v>-0.49519491223277412</v>
      </c>
    </row>
    <row r="21" spans="1:11" ht="24" customHeight="1" x14ac:dyDescent="0.2">
      <c r="A21" s="20">
        <v>9</v>
      </c>
      <c r="B21" s="21" t="s">
        <v>24</v>
      </c>
      <c r="C21" s="22">
        <v>814691</v>
      </c>
      <c r="D21" s="22">
        <v>672298</v>
      </c>
      <c r="E21" s="22">
        <f t="shared" si="0"/>
        <v>-142393</v>
      </c>
      <c r="F21" s="23">
        <f t="shared" si="1"/>
        <v>-0.17478160431378278</v>
      </c>
    </row>
    <row r="22" spans="1:11" ht="24" customHeight="1" x14ac:dyDescent="0.25">
      <c r="A22" s="24"/>
      <c r="B22" s="25" t="s">
        <v>25</v>
      </c>
      <c r="C22" s="26">
        <f>SUM(C13:C21)</f>
        <v>14823966</v>
      </c>
      <c r="D22" s="26">
        <f>SUM(D13:D21)</f>
        <v>18171554</v>
      </c>
      <c r="E22" s="26">
        <f t="shared" si="0"/>
        <v>3347588</v>
      </c>
      <c r="F22" s="27">
        <f t="shared" si="1"/>
        <v>0.22582269819021442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894273</v>
      </c>
      <c r="D25" s="22">
        <v>0</v>
      </c>
      <c r="E25" s="22">
        <f>D25-C25</f>
        <v>-894273</v>
      </c>
      <c r="F25" s="23">
        <f>IF(C25=0,0,E25/C25)</f>
        <v>-1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1685728</v>
      </c>
      <c r="D28" s="22">
        <v>1658681</v>
      </c>
      <c r="E28" s="22">
        <f>D28-C28</f>
        <v>-27047</v>
      </c>
      <c r="F28" s="23">
        <f>IF(C28=0,0,E28/C28)</f>
        <v>-1.6044699975322235E-2</v>
      </c>
    </row>
    <row r="29" spans="1:11" ht="24" customHeight="1" x14ac:dyDescent="0.25">
      <c r="A29" s="24"/>
      <c r="B29" s="25" t="s">
        <v>32</v>
      </c>
      <c r="C29" s="26">
        <f>SUM(C25:C28)</f>
        <v>2580001</v>
      </c>
      <c r="D29" s="26">
        <f>SUM(D25:D28)</f>
        <v>1658681</v>
      </c>
      <c r="E29" s="26">
        <f>D29-C29</f>
        <v>-921320</v>
      </c>
      <c r="F29" s="27">
        <f>IF(C29=0,0,E29/C29)</f>
        <v>-0.35710063678269893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894273</v>
      </c>
      <c r="D31" s="22">
        <v>960239</v>
      </c>
      <c r="E31" s="22">
        <f>D31-C31</f>
        <v>65966</v>
      </c>
      <c r="F31" s="23">
        <f>IF(C31=0,0,E31/C31)</f>
        <v>7.3764946498440634E-2</v>
      </c>
    </row>
    <row r="32" spans="1:11" ht="24" customHeight="1" x14ac:dyDescent="0.2">
      <c r="A32" s="20">
        <v>6</v>
      </c>
      <c r="B32" s="21" t="s">
        <v>34</v>
      </c>
      <c r="C32" s="22">
        <v>3482913</v>
      </c>
      <c r="D32" s="22">
        <v>1815473</v>
      </c>
      <c r="E32" s="22">
        <f>D32-C32</f>
        <v>-1667440</v>
      </c>
      <c r="F32" s="23">
        <f>IF(C32=0,0,E32/C32)</f>
        <v>-0.47874867962535955</v>
      </c>
    </row>
    <row r="33" spans="1:8" ht="24" customHeight="1" x14ac:dyDescent="0.2">
      <c r="A33" s="20">
        <v>7</v>
      </c>
      <c r="B33" s="21" t="s">
        <v>35</v>
      </c>
      <c r="C33" s="22">
        <v>4434466</v>
      </c>
      <c r="D33" s="22">
        <v>3337233</v>
      </c>
      <c r="E33" s="22">
        <f>D33-C33</f>
        <v>-1097233</v>
      </c>
      <c r="F33" s="23">
        <f>IF(C33=0,0,E33/C33)</f>
        <v>-0.24743294908563962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50192655</v>
      </c>
      <c r="D36" s="22">
        <v>51713669</v>
      </c>
      <c r="E36" s="22">
        <f>D36-C36</f>
        <v>1521014</v>
      </c>
      <c r="F36" s="23">
        <f>IF(C36=0,0,E36/C36)</f>
        <v>3.030351751665657E-2</v>
      </c>
    </row>
    <row r="37" spans="1:8" ht="24" customHeight="1" x14ac:dyDescent="0.2">
      <c r="A37" s="20">
        <v>2</v>
      </c>
      <c r="B37" s="21" t="s">
        <v>39</v>
      </c>
      <c r="C37" s="22">
        <v>28032185</v>
      </c>
      <c r="D37" s="22">
        <v>30714786</v>
      </c>
      <c r="E37" s="22">
        <f>D37-C37</f>
        <v>2682601</v>
      </c>
      <c r="F37" s="23">
        <f>IF(C37=0,0,E37/C37)</f>
        <v>9.5697178082978548E-2</v>
      </c>
    </row>
    <row r="38" spans="1:8" ht="24" customHeight="1" x14ac:dyDescent="0.25">
      <c r="A38" s="24"/>
      <c r="B38" s="25" t="s">
        <v>40</v>
      </c>
      <c r="C38" s="26">
        <f>C36-C37</f>
        <v>22160470</v>
      </c>
      <c r="D38" s="26">
        <f>D36-D37</f>
        <v>20998883</v>
      </c>
      <c r="E38" s="26">
        <f>D38-C38</f>
        <v>-1161587</v>
      </c>
      <c r="F38" s="27">
        <f>IF(C38=0,0,E38/C38)</f>
        <v>-5.2417074186603442E-2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22160470</v>
      </c>
      <c r="D41" s="26">
        <f>+D38+D40</f>
        <v>20998883</v>
      </c>
      <c r="E41" s="26">
        <f>D41-C41</f>
        <v>-1161587</v>
      </c>
      <c r="F41" s="27">
        <f>IF(C41=0,0,E41/C41)</f>
        <v>-5.2417074186603442E-2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48376089</v>
      </c>
      <c r="D43" s="26">
        <f>D22+D29+D31+D32+D33+D41</f>
        <v>46942063</v>
      </c>
      <c r="E43" s="26">
        <f>D43-C43</f>
        <v>-1434026</v>
      </c>
      <c r="F43" s="27">
        <f>IF(C43=0,0,E43/C43)</f>
        <v>-2.964328100190158E-2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5318753</v>
      </c>
      <c r="D49" s="22">
        <v>7032887</v>
      </c>
      <c r="E49" s="22">
        <f t="shared" ref="E49:E56" si="2">D49-C49</f>
        <v>1714134</v>
      </c>
      <c r="F49" s="23">
        <f t="shared" ref="F49:F56" si="3">IF(C49=0,0,E49/C49)</f>
        <v>0.32228118132201289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6870249</v>
      </c>
      <c r="D50" s="22">
        <v>6690575</v>
      </c>
      <c r="E50" s="22">
        <f t="shared" si="2"/>
        <v>-179674</v>
      </c>
      <c r="F50" s="23">
        <f t="shared" si="3"/>
        <v>-2.6152472785193084E-2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1691606</v>
      </c>
      <c r="D51" s="22">
        <v>2226150</v>
      </c>
      <c r="E51" s="22">
        <f t="shared" si="2"/>
        <v>534544</v>
      </c>
      <c r="F51" s="23">
        <f t="shared" si="3"/>
        <v>0.31599793332489956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20705</v>
      </c>
      <c r="D52" s="22">
        <v>122749</v>
      </c>
      <c r="E52" s="22">
        <f t="shared" si="2"/>
        <v>102044</v>
      </c>
      <c r="F52" s="23">
        <f t="shared" si="3"/>
        <v>4.9284713837237382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2686057</v>
      </c>
      <c r="D55" s="22">
        <v>2554267</v>
      </c>
      <c r="E55" s="22">
        <f t="shared" si="2"/>
        <v>-131790</v>
      </c>
      <c r="F55" s="23">
        <f t="shared" si="3"/>
        <v>-4.9064483739548338E-2</v>
      </c>
    </row>
    <row r="56" spans="1:6" ht="24" customHeight="1" x14ac:dyDescent="0.25">
      <c r="A56" s="24"/>
      <c r="B56" s="25" t="s">
        <v>54</v>
      </c>
      <c r="C56" s="26">
        <f>SUM(C49:C55)</f>
        <v>16587370</v>
      </c>
      <c r="D56" s="26">
        <f>SUM(D49:D55)</f>
        <v>18626628</v>
      </c>
      <c r="E56" s="26">
        <f t="shared" si="2"/>
        <v>2039258</v>
      </c>
      <c r="F56" s="27">
        <f t="shared" si="3"/>
        <v>0.12294040586301505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6000000</v>
      </c>
      <c r="E60" s="22">
        <f>D60-C60</f>
        <v>6000000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6000000</v>
      </c>
      <c r="E61" s="26">
        <f>D61-C61</f>
        <v>6000000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16549876</v>
      </c>
      <c r="D63" s="22">
        <v>18262691</v>
      </c>
      <c r="E63" s="22">
        <f>D63-C63</f>
        <v>1712815</v>
      </c>
      <c r="F63" s="23">
        <f>IF(C63=0,0,E63/C63)</f>
        <v>0.10349412889860928</v>
      </c>
    </row>
    <row r="64" spans="1:6" ht="24" customHeight="1" x14ac:dyDescent="0.2">
      <c r="A64" s="20">
        <v>4</v>
      </c>
      <c r="B64" s="21" t="s">
        <v>60</v>
      </c>
      <c r="C64" s="22">
        <v>6632746</v>
      </c>
      <c r="D64" s="22">
        <v>5074953</v>
      </c>
      <c r="E64" s="22">
        <f>D64-C64</f>
        <v>-1557793</v>
      </c>
      <c r="F64" s="23">
        <f>IF(C64=0,0,E64/C64)</f>
        <v>-0.23486396132160042</v>
      </c>
    </row>
    <row r="65" spans="1:6" ht="24" customHeight="1" x14ac:dyDescent="0.25">
      <c r="A65" s="24"/>
      <c r="B65" s="25" t="s">
        <v>61</v>
      </c>
      <c r="C65" s="26">
        <f>SUM(C61:C64)</f>
        <v>23182622</v>
      </c>
      <c r="D65" s="26">
        <f>SUM(D61:D64)</f>
        <v>29337644</v>
      </c>
      <c r="E65" s="26">
        <f>D65-C65</f>
        <v>6155022</v>
      </c>
      <c r="F65" s="27">
        <f>IF(C65=0,0,E65/C65)</f>
        <v>0.26550154680518884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7157824</v>
      </c>
      <c r="D70" s="22">
        <v>-2536448</v>
      </c>
      <c r="E70" s="22">
        <f>D70-C70</f>
        <v>-9694272</v>
      </c>
      <c r="F70" s="23">
        <f>IF(C70=0,0,E70/C70)</f>
        <v>-1.3543602077949948</v>
      </c>
    </row>
    <row r="71" spans="1:6" ht="24" customHeight="1" x14ac:dyDescent="0.2">
      <c r="A71" s="20">
        <v>2</v>
      </c>
      <c r="B71" s="21" t="s">
        <v>65</v>
      </c>
      <c r="C71" s="22">
        <v>774510</v>
      </c>
      <c r="D71" s="22">
        <v>840476</v>
      </c>
      <c r="E71" s="22">
        <f>D71-C71</f>
        <v>65966</v>
      </c>
      <c r="F71" s="23">
        <f>IF(C71=0,0,E71/C71)</f>
        <v>8.5171269576893777E-2</v>
      </c>
    </row>
    <row r="72" spans="1:6" ht="24" customHeight="1" x14ac:dyDescent="0.2">
      <c r="A72" s="20">
        <v>3</v>
      </c>
      <c r="B72" s="21" t="s">
        <v>66</v>
      </c>
      <c r="C72" s="22">
        <v>673763</v>
      </c>
      <c r="D72" s="22">
        <v>673763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8606097</v>
      </c>
      <c r="D73" s="26">
        <f>SUM(D70:D72)</f>
        <v>-1022209</v>
      </c>
      <c r="E73" s="26">
        <f>D73-C73</f>
        <v>-9628306</v>
      </c>
      <c r="F73" s="27">
        <f>IF(C73=0,0,E73/C73)</f>
        <v>-1.1187773040438656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48376089</v>
      </c>
      <c r="D75" s="26">
        <f>D56+D65+D67+D73</f>
        <v>46942063</v>
      </c>
      <c r="E75" s="26">
        <f>D75-C75</f>
        <v>-1434026</v>
      </c>
      <c r="F75" s="27">
        <f>IF(C75=0,0,E75/C75)</f>
        <v>-2.964328100190158E-2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FILING&amp;RMILFORD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89130320</v>
      </c>
      <c r="D11" s="76">
        <v>74532323</v>
      </c>
      <c r="E11" s="76">
        <v>68025386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3585478</v>
      </c>
      <c r="D12" s="185">
        <v>2729480</v>
      </c>
      <c r="E12" s="185">
        <v>2438403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92715798</v>
      </c>
      <c r="D13" s="76">
        <f>+D11+D12</f>
        <v>77261803</v>
      </c>
      <c r="E13" s="76">
        <f>+E11+E12</f>
        <v>70463789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98072081</v>
      </c>
      <c r="D14" s="185">
        <v>89832916</v>
      </c>
      <c r="E14" s="185">
        <v>81583595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-5356283</v>
      </c>
      <c r="D15" s="76">
        <f>+D13-D14</f>
        <v>-12571113</v>
      </c>
      <c r="E15" s="76">
        <f>+E13-E14</f>
        <v>-11119806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2793652</v>
      </c>
      <c r="D16" s="185">
        <v>1654384</v>
      </c>
      <c r="E16" s="185">
        <v>1447081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-2562631</v>
      </c>
      <c r="D17" s="76">
        <f>D15+D16</f>
        <v>-10916729</v>
      </c>
      <c r="E17" s="76">
        <f>E15+E16</f>
        <v>-9672725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-5.6081183589686674E-2</v>
      </c>
      <c r="D20" s="189">
        <f>IF(+D27=0,0,+D24/+D27)</f>
        <v>-0.15929701469230895</v>
      </c>
      <c r="E20" s="189">
        <f>IF(+E27=0,0,+E24/+E27)</f>
        <v>-0.15463317298205403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2.9250006151223779E-2</v>
      </c>
      <c r="D21" s="189">
        <f>IF(+D27=0,0,+D26/+D27)</f>
        <v>2.096381063114466E-2</v>
      </c>
      <c r="E21" s="189">
        <f>IF(+E27=0,0,+E26/+E27)</f>
        <v>2.0123258138859953E-2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-2.6831177438462896E-2</v>
      </c>
      <c r="D22" s="189">
        <f>IF(+D27=0,0,+D28/+D27)</f>
        <v>-0.13833320406116428</v>
      </c>
      <c r="E22" s="189">
        <f>IF(+E27=0,0,+E28/+E27)</f>
        <v>-0.13450991484319408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-5356283</v>
      </c>
      <c r="D24" s="76">
        <f>+D15</f>
        <v>-12571113</v>
      </c>
      <c r="E24" s="76">
        <f>+E15</f>
        <v>-11119806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92715798</v>
      </c>
      <c r="D25" s="76">
        <f>+D13</f>
        <v>77261803</v>
      </c>
      <c r="E25" s="76">
        <f>+E13</f>
        <v>70463789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2793652</v>
      </c>
      <c r="D26" s="76">
        <f>+D16</f>
        <v>1654384</v>
      </c>
      <c r="E26" s="76">
        <f>+E16</f>
        <v>1447081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95509450</v>
      </c>
      <c r="D27" s="76">
        <f>SUM(D25:D26)</f>
        <v>78916187</v>
      </c>
      <c r="E27" s="76">
        <f>SUM(E25:E26)</f>
        <v>71910870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-2562631</v>
      </c>
      <c r="D28" s="76">
        <f>+D17</f>
        <v>-10916729</v>
      </c>
      <c r="E28" s="76">
        <f>+E17</f>
        <v>-9672725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15462135</v>
      </c>
      <c r="D31" s="76">
        <v>16895968</v>
      </c>
      <c r="E31" s="76">
        <v>5129446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16805339</v>
      </c>
      <c r="D32" s="76">
        <v>18344241</v>
      </c>
      <c r="E32" s="76">
        <v>6643686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-8226206</v>
      </c>
      <c r="D33" s="76">
        <f>+D32-C32</f>
        <v>1538902</v>
      </c>
      <c r="E33" s="76">
        <f>+E32-D32</f>
        <v>-11700555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0.67130000000000001</v>
      </c>
      <c r="D34" s="193">
        <f>IF(C32=0,0,+D33/C32)</f>
        <v>9.157220809410628E-2</v>
      </c>
      <c r="E34" s="193">
        <f>IF(D32=0,0,+E33/D32)</f>
        <v>-0.63783260370380002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1.0589079330353635</v>
      </c>
      <c r="D38" s="338">
        <f>IF(+D40=0,0,+D39/+D40)</f>
        <v>1.0272020222870053</v>
      </c>
      <c r="E38" s="338">
        <f>IF(+E40=0,0,+E39/+E40)</f>
        <v>1.0460805607726931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18172170</v>
      </c>
      <c r="D39" s="341">
        <v>18163962</v>
      </c>
      <c r="E39" s="341">
        <v>19631456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17161237</v>
      </c>
      <c r="D40" s="341">
        <v>17682950</v>
      </c>
      <c r="E40" s="341">
        <v>18766677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6.9473259239080374</v>
      </c>
      <c r="D42" s="343">
        <f>IF((D48/365)=0,0,+D45/(D48/365))</f>
        <v>14.456896097435409</v>
      </c>
      <c r="E42" s="343">
        <f>IF((E48/365)=0,0,+E45/(E48/365))</f>
        <v>36.129251310577637</v>
      </c>
    </row>
    <row r="43" spans="1:14" ht="24" customHeight="1" x14ac:dyDescent="0.2">
      <c r="A43" s="339">
        <v>5</v>
      </c>
      <c r="B43" s="344" t="s">
        <v>16</v>
      </c>
      <c r="C43" s="345">
        <v>1579650</v>
      </c>
      <c r="D43" s="345">
        <v>3173042</v>
      </c>
      <c r="E43" s="345">
        <v>7667186</v>
      </c>
    </row>
    <row r="44" spans="1:14" ht="24" customHeight="1" x14ac:dyDescent="0.2">
      <c r="A44" s="339">
        <v>6</v>
      </c>
      <c r="B44" s="346" t="s">
        <v>17</v>
      </c>
      <c r="C44" s="345">
        <v>226782</v>
      </c>
      <c r="D44" s="345">
        <v>112243</v>
      </c>
      <c r="E44" s="345">
        <v>112417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1806432</v>
      </c>
      <c r="D45" s="341">
        <f>+D43+D44</f>
        <v>3285285</v>
      </c>
      <c r="E45" s="341">
        <f>+E43+E44</f>
        <v>7779603</v>
      </c>
    </row>
    <row r="46" spans="1:14" ht="24" customHeight="1" x14ac:dyDescent="0.2">
      <c r="A46" s="339">
        <v>8</v>
      </c>
      <c r="B46" s="340" t="s">
        <v>334</v>
      </c>
      <c r="C46" s="341">
        <f>+C14</f>
        <v>98072081</v>
      </c>
      <c r="D46" s="341">
        <f>+D14</f>
        <v>89832916</v>
      </c>
      <c r="E46" s="341">
        <f>+E14</f>
        <v>81583595</v>
      </c>
    </row>
    <row r="47" spans="1:14" ht="24" customHeight="1" x14ac:dyDescent="0.2">
      <c r="A47" s="339">
        <v>9</v>
      </c>
      <c r="B47" s="340" t="s">
        <v>356</v>
      </c>
      <c r="C47" s="341">
        <v>3165395</v>
      </c>
      <c r="D47" s="341">
        <v>6887793</v>
      </c>
      <c r="E47" s="341">
        <v>2989243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94906686</v>
      </c>
      <c r="D48" s="341">
        <f>+D46-D47</f>
        <v>82945123</v>
      </c>
      <c r="E48" s="341">
        <f>+E46-E47</f>
        <v>78594352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48.965391182259864</v>
      </c>
      <c r="D50" s="350">
        <f>IF((D55/365)=0,0,+D54/(D55/365))</f>
        <v>41.551817189436051</v>
      </c>
      <c r="E50" s="350">
        <f>IF((E55/365)=0,0,+E54/(E55/365))</f>
        <v>40.26638908010019</v>
      </c>
    </row>
    <row r="51" spans="1:5" ht="24" customHeight="1" x14ac:dyDescent="0.2">
      <c r="A51" s="339">
        <v>12</v>
      </c>
      <c r="B51" s="344" t="s">
        <v>359</v>
      </c>
      <c r="C51" s="351">
        <v>13057002</v>
      </c>
      <c r="D51" s="351">
        <v>10371729</v>
      </c>
      <c r="E51" s="351">
        <v>9919854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1100013</v>
      </c>
      <c r="D53" s="341">
        <v>1886925</v>
      </c>
      <c r="E53" s="341">
        <v>2415370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11956989</v>
      </c>
      <c r="D54" s="352">
        <f>+D51+D52-D53</f>
        <v>8484804</v>
      </c>
      <c r="E54" s="352">
        <f>+E51+E52-E53</f>
        <v>7504484</v>
      </c>
    </row>
    <row r="55" spans="1:5" ht="24" customHeight="1" x14ac:dyDescent="0.2">
      <c r="A55" s="339">
        <v>16</v>
      </c>
      <c r="B55" s="340" t="s">
        <v>75</v>
      </c>
      <c r="C55" s="341">
        <f>+C11</f>
        <v>89130320</v>
      </c>
      <c r="D55" s="341">
        <f>+D11</f>
        <v>74532323</v>
      </c>
      <c r="E55" s="341">
        <f>+E11</f>
        <v>68025386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66.000107779550959</v>
      </c>
      <c r="D57" s="355">
        <f>IF((D61/365)=0,0,+D58/(D61/365))</f>
        <v>77.813818541205848</v>
      </c>
      <c r="E57" s="355">
        <f>IF((E61/365)=0,0,+E58/(E61/365))</f>
        <v>87.15431746291388</v>
      </c>
    </row>
    <row r="58" spans="1:5" ht="24" customHeight="1" x14ac:dyDescent="0.2">
      <c r="A58" s="339">
        <v>18</v>
      </c>
      <c r="B58" s="340" t="s">
        <v>54</v>
      </c>
      <c r="C58" s="353">
        <f>+C40</f>
        <v>17161237</v>
      </c>
      <c r="D58" s="353">
        <f>+D40</f>
        <v>17682950</v>
      </c>
      <c r="E58" s="353">
        <f>+E40</f>
        <v>18766677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98072081</v>
      </c>
      <c r="D59" s="353">
        <f t="shared" si="0"/>
        <v>89832916</v>
      </c>
      <c r="E59" s="353">
        <f t="shared" si="0"/>
        <v>81583595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3165395</v>
      </c>
      <c r="D60" s="356">
        <f t="shared" si="0"/>
        <v>6887793</v>
      </c>
      <c r="E60" s="356">
        <f t="shared" si="0"/>
        <v>2989243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94906686</v>
      </c>
      <c r="D61" s="353">
        <f>+D59-D60</f>
        <v>82945123</v>
      </c>
      <c r="E61" s="353">
        <f>+E59-E60</f>
        <v>78594352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22.260393586020506</v>
      </c>
      <c r="D65" s="357">
        <f>IF(D67=0,0,(D66/D67)*100)</f>
        <v>24.654702949138972</v>
      </c>
      <c r="E65" s="357">
        <f>IF(E67=0,0,(E66/E67)*100)</f>
        <v>10.039313840609807</v>
      </c>
    </row>
    <row r="66" spans="1:5" ht="24" customHeight="1" x14ac:dyDescent="0.2">
      <c r="A66" s="339">
        <v>2</v>
      </c>
      <c r="B66" s="340" t="s">
        <v>67</v>
      </c>
      <c r="C66" s="353">
        <f>+C32</f>
        <v>16805339</v>
      </c>
      <c r="D66" s="353">
        <f>+D32</f>
        <v>18344241</v>
      </c>
      <c r="E66" s="353">
        <f>+E32</f>
        <v>6643686</v>
      </c>
    </row>
    <row r="67" spans="1:5" ht="24" customHeight="1" x14ac:dyDescent="0.2">
      <c r="A67" s="339">
        <v>3</v>
      </c>
      <c r="B67" s="340" t="s">
        <v>43</v>
      </c>
      <c r="C67" s="353">
        <v>75494348</v>
      </c>
      <c r="D67" s="353">
        <v>74404632</v>
      </c>
      <c r="E67" s="353">
        <v>66176694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2.5189431407814755</v>
      </c>
      <c r="D69" s="357">
        <f>IF(D75=0,0,(D72/D75)*100)</f>
        <v>-16.567910782048653</v>
      </c>
      <c r="E69" s="357">
        <f>IF(E75=0,0,(E72/E75)*100)</f>
        <v>-21.380847878384603</v>
      </c>
    </row>
    <row r="70" spans="1:5" ht="24" customHeight="1" x14ac:dyDescent="0.2">
      <c r="A70" s="339">
        <v>5</v>
      </c>
      <c r="B70" s="340" t="s">
        <v>366</v>
      </c>
      <c r="C70" s="353">
        <f>+C28</f>
        <v>-2562631</v>
      </c>
      <c r="D70" s="353">
        <f>+D28</f>
        <v>-10916729</v>
      </c>
      <c r="E70" s="353">
        <f>+E28</f>
        <v>-9672725</v>
      </c>
    </row>
    <row r="71" spans="1:5" ht="24" customHeight="1" x14ac:dyDescent="0.2">
      <c r="A71" s="339">
        <v>6</v>
      </c>
      <c r="B71" s="340" t="s">
        <v>356</v>
      </c>
      <c r="C71" s="356">
        <f>+C47</f>
        <v>3165395</v>
      </c>
      <c r="D71" s="356">
        <f>+D47</f>
        <v>6887793</v>
      </c>
      <c r="E71" s="356">
        <f>+E47</f>
        <v>2989243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602764</v>
      </c>
      <c r="D72" s="353">
        <f>+D70+D71</f>
        <v>-4028936</v>
      </c>
      <c r="E72" s="353">
        <f>+E70+E71</f>
        <v>-6683482</v>
      </c>
    </row>
    <row r="73" spans="1:5" ht="24" customHeight="1" x14ac:dyDescent="0.2">
      <c r="A73" s="339">
        <v>8</v>
      </c>
      <c r="B73" s="340" t="s">
        <v>54</v>
      </c>
      <c r="C73" s="341">
        <f>+C40</f>
        <v>17161237</v>
      </c>
      <c r="D73" s="341">
        <f>+D40</f>
        <v>17682950</v>
      </c>
      <c r="E73" s="341">
        <f>+E40</f>
        <v>18766677</v>
      </c>
    </row>
    <row r="74" spans="1:5" ht="24" customHeight="1" x14ac:dyDescent="0.2">
      <c r="A74" s="339">
        <v>9</v>
      </c>
      <c r="B74" s="340" t="s">
        <v>58</v>
      </c>
      <c r="C74" s="353">
        <v>6768005</v>
      </c>
      <c r="D74" s="353">
        <v>6634757</v>
      </c>
      <c r="E74" s="353">
        <v>12492523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23929242</v>
      </c>
      <c r="D75" s="341">
        <f>+D73+D74</f>
        <v>24317707</v>
      </c>
      <c r="E75" s="341">
        <f>+E73+E74</f>
        <v>31259200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28.710415459088029</v>
      </c>
      <c r="D77" s="359">
        <f>IF(D80=0,0,(D78/D80)*100)</f>
        <v>26.561341651894928</v>
      </c>
      <c r="E77" s="359">
        <f>IF(E80=0,0,(E78/E80)*100)</f>
        <v>65.282120403262738</v>
      </c>
    </row>
    <row r="78" spans="1:5" ht="24" customHeight="1" x14ac:dyDescent="0.2">
      <c r="A78" s="339">
        <v>12</v>
      </c>
      <c r="B78" s="340" t="s">
        <v>58</v>
      </c>
      <c r="C78" s="341">
        <f>+C74</f>
        <v>6768005</v>
      </c>
      <c r="D78" s="341">
        <f>+D74</f>
        <v>6634757</v>
      </c>
      <c r="E78" s="341">
        <f>+E74</f>
        <v>12492523</v>
      </c>
    </row>
    <row r="79" spans="1:5" ht="24" customHeight="1" x14ac:dyDescent="0.2">
      <c r="A79" s="339">
        <v>13</v>
      </c>
      <c r="B79" s="340" t="s">
        <v>67</v>
      </c>
      <c r="C79" s="341">
        <f>+C32</f>
        <v>16805339</v>
      </c>
      <c r="D79" s="341">
        <f>+D32</f>
        <v>18344241</v>
      </c>
      <c r="E79" s="341">
        <f>+E32</f>
        <v>6643686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23573344</v>
      </c>
      <c r="D80" s="341">
        <f>+D78+D79</f>
        <v>24978998</v>
      </c>
      <c r="E80" s="341">
        <f>+E78+E79</f>
        <v>19136209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FILING&amp;R&amp;8MILFORD HEALTH &amp;AMP; MEDICAL,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10579</v>
      </c>
      <c r="D11" s="376">
        <v>2860</v>
      </c>
      <c r="E11" s="376">
        <v>2865</v>
      </c>
      <c r="F11" s="377">
        <v>29</v>
      </c>
      <c r="G11" s="377">
        <v>78</v>
      </c>
      <c r="H11" s="378">
        <f>IF(F11=0,0,$C11/(F11*365))</f>
        <v>0.99943316013226269</v>
      </c>
      <c r="I11" s="378">
        <f>IF(G11=0,0,$C11/(G11*365))</f>
        <v>0.37158412363891818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1544</v>
      </c>
      <c r="D13" s="376">
        <v>475</v>
      </c>
      <c r="E13" s="376">
        <v>0</v>
      </c>
      <c r="F13" s="377">
        <v>6</v>
      </c>
      <c r="G13" s="377">
        <v>10</v>
      </c>
      <c r="H13" s="378">
        <f>IF(F13=0,0,$C13/(F13*365))</f>
        <v>0.70502283105022834</v>
      </c>
      <c r="I13" s="378">
        <f>IF(G13=0,0,$C13/(G13*365))</f>
        <v>0.42301369863013699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403</v>
      </c>
      <c r="D21" s="376">
        <v>134</v>
      </c>
      <c r="E21" s="376">
        <v>135</v>
      </c>
      <c r="F21" s="377">
        <v>4</v>
      </c>
      <c r="G21" s="377">
        <v>12</v>
      </c>
      <c r="H21" s="378">
        <f>IF(F21=0,0,$C21/(F21*365))</f>
        <v>0.27602739726027398</v>
      </c>
      <c r="I21" s="378">
        <f>IF(G21=0,0,$C21/(G21*365))</f>
        <v>9.200913242009133E-2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354</v>
      </c>
      <c r="D23" s="376">
        <v>127</v>
      </c>
      <c r="E23" s="376">
        <v>127</v>
      </c>
      <c r="F23" s="377">
        <v>4</v>
      </c>
      <c r="G23" s="377">
        <v>12</v>
      </c>
      <c r="H23" s="378">
        <f>IF(F23=0,0,$C23/(F23*365))</f>
        <v>0.24246575342465754</v>
      </c>
      <c r="I23" s="378">
        <f>IF(G23=0,0,$C23/(G23*365))</f>
        <v>8.0821917808219179E-2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6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12526</v>
      </c>
      <c r="D31" s="384">
        <f>SUM(D10:D29)-D13-D17-D23</f>
        <v>2994</v>
      </c>
      <c r="E31" s="384">
        <f>SUM(E10:E29)-E17-E23</f>
        <v>3000</v>
      </c>
      <c r="F31" s="384">
        <f>SUM(F10:F29)-F17-F23</f>
        <v>39</v>
      </c>
      <c r="G31" s="384">
        <f>SUM(G10:G29)-G17-G23</f>
        <v>106</v>
      </c>
      <c r="H31" s="385">
        <f>IF(F31=0,0,$C31/(F31*365))</f>
        <v>0.8799438004917457</v>
      </c>
      <c r="I31" s="385">
        <f>IF(G31=0,0,$C31/(G31*365))</f>
        <v>0.32375290772809512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12880</v>
      </c>
      <c r="D33" s="384">
        <f>SUM(D10:D29)-D13-D17</f>
        <v>3121</v>
      </c>
      <c r="E33" s="384">
        <f>SUM(E10:E29)-E17</f>
        <v>3127</v>
      </c>
      <c r="F33" s="384">
        <f>SUM(F10:F29)-F17</f>
        <v>43</v>
      </c>
      <c r="G33" s="384">
        <f>SUM(G10:G29)-G17</f>
        <v>118</v>
      </c>
      <c r="H33" s="385">
        <f>IF(F33=0,0,$C33/(F33*365))</f>
        <v>0.82064351704364447</v>
      </c>
      <c r="I33" s="385">
        <f>IF(G33=0,0,$C33/(G33*365))</f>
        <v>0.29904806129556538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12880</v>
      </c>
      <c r="D36" s="384">
        <f t="shared" si="1"/>
        <v>3121</v>
      </c>
      <c r="E36" s="384">
        <f t="shared" si="1"/>
        <v>3127</v>
      </c>
      <c r="F36" s="384">
        <f t="shared" si="1"/>
        <v>43</v>
      </c>
      <c r="G36" s="384">
        <f t="shared" si="1"/>
        <v>118</v>
      </c>
      <c r="H36" s="387">
        <f t="shared" si="1"/>
        <v>0.82064351704364447</v>
      </c>
      <c r="I36" s="387">
        <f t="shared" si="1"/>
        <v>0.29904806129556538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13603</v>
      </c>
      <c r="D37" s="384">
        <v>3348</v>
      </c>
      <c r="E37" s="384">
        <v>3351</v>
      </c>
      <c r="F37" s="386">
        <v>46</v>
      </c>
      <c r="G37" s="386">
        <v>118</v>
      </c>
      <c r="H37" s="385">
        <f>IF(F37=0,0,$C37/(F37*365))</f>
        <v>0.81018463371054195</v>
      </c>
      <c r="I37" s="385">
        <f>IF(G37=0,0,$C37/(G37*365))</f>
        <v>0.31583468771766893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-723</v>
      </c>
      <c r="D38" s="384">
        <f t="shared" si="2"/>
        <v>-227</v>
      </c>
      <c r="E38" s="384">
        <f t="shared" si="2"/>
        <v>-224</v>
      </c>
      <c r="F38" s="384">
        <f t="shared" si="2"/>
        <v>-3</v>
      </c>
      <c r="G38" s="384">
        <f t="shared" si="2"/>
        <v>0</v>
      </c>
      <c r="H38" s="387">
        <f t="shared" si="2"/>
        <v>1.045888333310252E-2</v>
      </c>
      <c r="I38" s="387">
        <f t="shared" si="2"/>
        <v>-1.6786626422103545E-2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-5.3150040432257593E-2</v>
      </c>
      <c r="D40" s="389">
        <f t="shared" si="3"/>
        <v>-6.7801672640382324E-2</v>
      </c>
      <c r="E40" s="389">
        <f t="shared" si="3"/>
        <v>-6.6845717696210089E-2</v>
      </c>
      <c r="F40" s="389">
        <f t="shared" si="3"/>
        <v>-6.5217391304347824E-2</v>
      </c>
      <c r="G40" s="389">
        <f t="shared" si="3"/>
        <v>0</v>
      </c>
      <c r="H40" s="389">
        <f t="shared" si="3"/>
        <v>1.2909259072468669E-2</v>
      </c>
      <c r="I40" s="389">
        <f t="shared" si="3"/>
        <v>-5.3150040432257566E-2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118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FILING&amp;RMILFORD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611</v>
      </c>
      <c r="D12" s="409">
        <v>490</v>
      </c>
      <c r="E12" s="409">
        <f>+D12-C12</f>
        <v>-121</v>
      </c>
      <c r="F12" s="410">
        <f>IF(C12=0,0,+E12/C12)</f>
        <v>-0.19803600654664485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1498</v>
      </c>
      <c r="D13" s="409">
        <v>1325</v>
      </c>
      <c r="E13" s="409">
        <f>+D13-C13</f>
        <v>-173</v>
      </c>
      <c r="F13" s="410">
        <f>IF(C13=0,0,+E13/C13)</f>
        <v>-0.11548731642189586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6160</v>
      </c>
      <c r="D14" s="409">
        <v>6301</v>
      </c>
      <c r="E14" s="409">
        <f>+D14-C14</f>
        <v>141</v>
      </c>
      <c r="F14" s="410">
        <f>IF(C14=0,0,+E14/C14)</f>
        <v>2.288961038961039E-2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8269</v>
      </c>
      <c r="D16" s="401">
        <f>SUM(D12:D15)</f>
        <v>8116</v>
      </c>
      <c r="E16" s="401">
        <f>+D16-C16</f>
        <v>-153</v>
      </c>
      <c r="F16" s="402">
        <f>IF(C16=0,0,+E16/C16)</f>
        <v>-1.8502841939775062E-2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192</v>
      </c>
      <c r="D19" s="409">
        <v>140</v>
      </c>
      <c r="E19" s="409">
        <f>+D19-C19</f>
        <v>-52</v>
      </c>
      <c r="F19" s="410">
        <f>IF(C19=0,0,+E19/C19)</f>
        <v>-0.27083333333333331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1717</v>
      </c>
      <c r="D20" s="409">
        <v>1468</v>
      </c>
      <c r="E20" s="409">
        <f>+D20-C20</f>
        <v>-249</v>
      </c>
      <c r="F20" s="410">
        <f>IF(C20=0,0,+E20/C20)</f>
        <v>-0.14502038439138032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105</v>
      </c>
      <c r="D21" s="409">
        <v>183</v>
      </c>
      <c r="E21" s="409">
        <f>+D21-C21</f>
        <v>78</v>
      </c>
      <c r="F21" s="410">
        <f>IF(C21=0,0,+E21/C21)</f>
        <v>0.74285714285714288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2014</v>
      </c>
      <c r="D23" s="401">
        <f>SUM(D19:D22)</f>
        <v>1791</v>
      </c>
      <c r="E23" s="401">
        <f>+D23-C23</f>
        <v>-223</v>
      </c>
      <c r="F23" s="402">
        <f>IF(C23=0,0,+E23/C23)</f>
        <v>-0.11072492552135055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57</v>
      </c>
      <c r="D27" s="409">
        <v>58</v>
      </c>
      <c r="E27" s="409">
        <f>+D27-C27</f>
        <v>1</v>
      </c>
      <c r="F27" s="410">
        <f>IF(C27=0,0,+E27/C27)</f>
        <v>1.7543859649122806E-2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57</v>
      </c>
      <c r="D30" s="401">
        <f>SUM(D26:D29)</f>
        <v>58</v>
      </c>
      <c r="E30" s="401">
        <f>+D30-C30</f>
        <v>1</v>
      </c>
      <c r="F30" s="402">
        <f>IF(C30=0,0,+E30/C30)</f>
        <v>1.7543859649122806E-2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1081</v>
      </c>
      <c r="D63" s="409">
        <v>1062</v>
      </c>
      <c r="E63" s="409">
        <f>+D63-C63</f>
        <v>-19</v>
      </c>
      <c r="F63" s="410">
        <f>IF(C63=0,0,+E63/C63)</f>
        <v>-1.757631822386679E-2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1836</v>
      </c>
      <c r="D64" s="409">
        <v>1748</v>
      </c>
      <c r="E64" s="409">
        <f>+D64-C64</f>
        <v>-88</v>
      </c>
      <c r="F64" s="410">
        <f>IF(C64=0,0,+E64/C64)</f>
        <v>-4.793028322440087E-2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2917</v>
      </c>
      <c r="D65" s="401">
        <f>SUM(D63:D64)</f>
        <v>2810</v>
      </c>
      <c r="E65" s="401">
        <f>+D65-C65</f>
        <v>-107</v>
      </c>
      <c r="F65" s="402">
        <f>IF(C65=0,0,+E65/C65)</f>
        <v>-3.6681522111758659E-2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236</v>
      </c>
      <c r="D68" s="409">
        <v>286</v>
      </c>
      <c r="E68" s="409">
        <f>+D68-C68</f>
        <v>50</v>
      </c>
      <c r="F68" s="410">
        <f>IF(C68=0,0,+E68/C68)</f>
        <v>0.21186440677966101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1659</v>
      </c>
      <c r="D69" s="409">
        <v>1645</v>
      </c>
      <c r="E69" s="409">
        <f>+D69-C69</f>
        <v>-14</v>
      </c>
      <c r="F69" s="412">
        <f>IF(C69=0,0,+E69/C69)</f>
        <v>-8.4388185654008432E-3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1895</v>
      </c>
      <c r="D70" s="401">
        <f>SUM(D68:D69)</f>
        <v>1931</v>
      </c>
      <c r="E70" s="401">
        <f>+D70-C70</f>
        <v>36</v>
      </c>
      <c r="F70" s="402">
        <f>IF(C70=0,0,+E70/C70)</f>
        <v>1.8997361477572559E-2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3065</v>
      </c>
      <c r="D73" s="376">
        <v>2897</v>
      </c>
      <c r="E73" s="409">
        <f>+D73-C73</f>
        <v>-168</v>
      </c>
      <c r="F73" s="410">
        <f>IF(C73=0,0,+E73/C73)</f>
        <v>-5.4812398042414355E-2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32175</v>
      </c>
      <c r="D74" s="376">
        <v>19735</v>
      </c>
      <c r="E74" s="409">
        <f>+D74-C74</f>
        <v>-12440</v>
      </c>
      <c r="F74" s="410">
        <f>IF(C74=0,0,+E74/C74)</f>
        <v>-0.38663558663558661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35240</v>
      </c>
      <c r="D75" s="401">
        <f>SUM(D73:D74)</f>
        <v>22632</v>
      </c>
      <c r="E75" s="401">
        <f>SUM(E73:E74)</f>
        <v>-12608</v>
      </c>
      <c r="F75" s="402">
        <f>IF(C75=0,0,+E75/C75)</f>
        <v>-0.35777525539160043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11264</v>
      </c>
      <c r="E84" s="409">
        <f t="shared" si="0"/>
        <v>11264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11264</v>
      </c>
      <c r="E92" s="401">
        <f t="shared" si="0"/>
        <v>11264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0</v>
      </c>
      <c r="E95" s="415">
        <f t="shared" ref="E95:E100" si="2">+D95-C95</f>
        <v>0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0</v>
      </c>
      <c r="D97" s="414">
        <v>0</v>
      </c>
      <c r="E97" s="409">
        <f t="shared" si="2"/>
        <v>0</v>
      </c>
      <c r="F97" s="410">
        <f t="shared" si="3"/>
        <v>0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21955</v>
      </c>
      <c r="D99" s="414">
        <v>22170</v>
      </c>
      <c r="E99" s="409">
        <f t="shared" si="2"/>
        <v>215</v>
      </c>
      <c r="F99" s="410">
        <f t="shared" si="3"/>
        <v>9.7927579139148249E-3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21955</v>
      </c>
      <c r="D100" s="381">
        <f>SUM(D95:D99)</f>
        <v>22170</v>
      </c>
      <c r="E100" s="401">
        <f t="shared" si="2"/>
        <v>215</v>
      </c>
      <c r="F100" s="402">
        <f t="shared" si="3"/>
        <v>9.7927579139148249E-3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170.7</v>
      </c>
      <c r="D104" s="416">
        <v>195</v>
      </c>
      <c r="E104" s="417">
        <f>+D104-C104</f>
        <v>24.300000000000011</v>
      </c>
      <c r="F104" s="410">
        <f>IF(C104=0,0,+E104/C104)</f>
        <v>0.1423550087873463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20.6</v>
      </c>
      <c r="D105" s="416">
        <v>13</v>
      </c>
      <c r="E105" s="417">
        <f>+D105-C105</f>
        <v>-7.6000000000000014</v>
      </c>
      <c r="F105" s="410">
        <f>IF(C105=0,0,+E105/C105)</f>
        <v>-0.36893203883495151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307.3</v>
      </c>
      <c r="D106" s="416">
        <v>260</v>
      </c>
      <c r="E106" s="417">
        <f>+D106-C106</f>
        <v>-47.300000000000011</v>
      </c>
      <c r="F106" s="410">
        <f>IF(C106=0,0,+E106/C106)</f>
        <v>-0.15392124959323139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498.6</v>
      </c>
      <c r="D107" s="418">
        <f>SUM(D104:D106)</f>
        <v>468</v>
      </c>
      <c r="E107" s="418">
        <f>+D107-C107</f>
        <v>-30.600000000000023</v>
      </c>
      <c r="F107" s="402">
        <f>IF(C107=0,0,+E107/C107)</f>
        <v>-6.1371841155234697E-2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1836</v>
      </c>
      <c r="D12" s="409">
        <v>1748</v>
      </c>
      <c r="E12" s="409">
        <f>+D12-C12</f>
        <v>-88</v>
      </c>
      <c r="F12" s="410">
        <f>IF(C12=0,0,+E12/C12)</f>
        <v>-4.793028322440087E-2</v>
      </c>
    </row>
    <row r="13" spans="1:6" ht="15.75" customHeight="1" x14ac:dyDescent="0.25">
      <c r="A13" s="374"/>
      <c r="B13" s="399" t="s">
        <v>622</v>
      </c>
      <c r="C13" s="401">
        <f>SUM(C11:C12)</f>
        <v>1836</v>
      </c>
      <c r="D13" s="401">
        <f>SUM(D11:D12)</f>
        <v>1748</v>
      </c>
      <c r="E13" s="401">
        <f>+D13-C13</f>
        <v>-88</v>
      </c>
      <c r="F13" s="402">
        <f>IF(C13=0,0,+E13/C13)</f>
        <v>-4.793028322440087E-2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1659</v>
      </c>
      <c r="D16" s="409">
        <v>1645</v>
      </c>
      <c r="E16" s="409">
        <f>+D16-C16</f>
        <v>-14</v>
      </c>
      <c r="F16" s="410">
        <f>IF(C16=0,0,+E16/C16)</f>
        <v>-8.4388185654008432E-3</v>
      </c>
    </row>
    <row r="17" spans="1:6" ht="15.75" customHeight="1" x14ac:dyDescent="0.25">
      <c r="A17" s="374"/>
      <c r="B17" s="399" t="s">
        <v>623</v>
      </c>
      <c r="C17" s="401">
        <f>SUM(C15:C16)</f>
        <v>1659</v>
      </c>
      <c r="D17" s="401">
        <f>SUM(D15:D16)</f>
        <v>1645</v>
      </c>
      <c r="E17" s="401">
        <f>+D17-C17</f>
        <v>-14</v>
      </c>
      <c r="F17" s="402">
        <f>IF(C17=0,0,+E17/C17)</f>
        <v>-8.4388185654008432E-3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12199</v>
      </c>
      <c r="D20" s="409">
        <v>0</v>
      </c>
      <c r="E20" s="409">
        <f>+D20-C20</f>
        <v>-12199</v>
      </c>
      <c r="F20" s="410">
        <f>IF(C20=0,0,+E20/C20)</f>
        <v>-1</v>
      </c>
    </row>
    <row r="21" spans="1:6" ht="15.75" customHeight="1" x14ac:dyDescent="0.2">
      <c r="A21" s="374">
        <v>2</v>
      </c>
      <c r="B21" s="408" t="s">
        <v>621</v>
      </c>
      <c r="C21" s="409">
        <v>19976</v>
      </c>
      <c r="D21" s="409">
        <v>19735</v>
      </c>
      <c r="E21" s="409">
        <f>+D21-C21</f>
        <v>-241</v>
      </c>
      <c r="F21" s="410">
        <f>IF(C21=0,0,+E21/C21)</f>
        <v>-1.2064477372847417E-2</v>
      </c>
    </row>
    <row r="22" spans="1:6" ht="15.75" customHeight="1" x14ac:dyDescent="0.25">
      <c r="A22" s="374"/>
      <c r="B22" s="399" t="s">
        <v>626</v>
      </c>
      <c r="C22" s="401">
        <f>SUM(C19:C21)</f>
        <v>32175</v>
      </c>
      <c r="D22" s="401">
        <f>SUM(D19:D21)</f>
        <v>19735</v>
      </c>
      <c r="E22" s="401">
        <f>+D22-C22</f>
        <v>-12440</v>
      </c>
      <c r="F22" s="402">
        <f>IF(C22=0,0,+E22/C22)</f>
        <v>-0.38663558663558661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FILING&amp;RMILFORD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64511512</v>
      </c>
      <c r="D15" s="448">
        <v>63576740</v>
      </c>
      <c r="E15" s="448">
        <f t="shared" ref="E15:E24" si="0">D15-C15</f>
        <v>-934772</v>
      </c>
      <c r="F15" s="449">
        <f t="shared" ref="F15:F24" si="1">IF(C15=0,0,E15/C15)</f>
        <v>-1.4490002962572014E-2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20627247</v>
      </c>
      <c r="D16" s="448">
        <v>20112609</v>
      </c>
      <c r="E16" s="448">
        <f t="shared" si="0"/>
        <v>-514638</v>
      </c>
      <c r="F16" s="449">
        <f t="shared" si="1"/>
        <v>-2.4949427327844574E-2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0.31974521074626183</v>
      </c>
      <c r="D17" s="453">
        <f>IF(LN_IA1=0,0,LN_IA2/LN_IA1)</f>
        <v>0.31635168773988726</v>
      </c>
      <c r="E17" s="454">
        <f t="shared" si="0"/>
        <v>-3.3935230063745769E-3</v>
      </c>
      <c r="F17" s="449">
        <f t="shared" si="1"/>
        <v>-1.0613209806815694E-2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2011</v>
      </c>
      <c r="D18" s="456">
        <v>1867</v>
      </c>
      <c r="E18" s="456">
        <f t="shared" si="0"/>
        <v>-144</v>
      </c>
      <c r="F18" s="449">
        <f t="shared" si="1"/>
        <v>-7.160616608652412E-2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1.4765999999999999</v>
      </c>
      <c r="D19" s="459">
        <v>1.4706999999999999</v>
      </c>
      <c r="E19" s="460">
        <f t="shared" si="0"/>
        <v>-5.9000000000000163E-3</v>
      </c>
      <c r="F19" s="449">
        <f t="shared" si="1"/>
        <v>-3.9956657185426089E-3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2969.4425999999999</v>
      </c>
      <c r="D20" s="463">
        <f>LN_IA4*LN_IA5</f>
        <v>2745.7968999999998</v>
      </c>
      <c r="E20" s="463">
        <f t="shared" si="0"/>
        <v>-223.64570000000003</v>
      </c>
      <c r="F20" s="449">
        <f t="shared" si="1"/>
        <v>-7.5315717501998544E-2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6946.5047076511937</v>
      </c>
      <c r="D21" s="465">
        <f>IF(LN_IA6=0,0,LN_IA2/LN_IA6)</f>
        <v>7324.8713333458863</v>
      </c>
      <c r="E21" s="465">
        <f t="shared" si="0"/>
        <v>378.36662569469263</v>
      </c>
      <c r="F21" s="449">
        <f t="shared" si="1"/>
        <v>5.4468634459851811E-2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9202</v>
      </c>
      <c r="D22" s="456">
        <v>8231</v>
      </c>
      <c r="E22" s="456">
        <f t="shared" si="0"/>
        <v>-971</v>
      </c>
      <c r="F22" s="449">
        <f t="shared" si="1"/>
        <v>-0.10552053901325799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2241.6047598348187</v>
      </c>
      <c r="D23" s="465">
        <f>IF(LN_IA8=0,0,LN_IA2/LN_IA8)</f>
        <v>2443.5194994532862</v>
      </c>
      <c r="E23" s="465">
        <f t="shared" si="0"/>
        <v>201.91473961846759</v>
      </c>
      <c r="F23" s="449">
        <f t="shared" si="1"/>
        <v>9.0075977369599478E-2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4.5758329189457978</v>
      </c>
      <c r="D24" s="466">
        <f>IF(LN_IA4=0,0,LN_IA8/LN_IA4)</f>
        <v>4.4086770219603642</v>
      </c>
      <c r="E24" s="466">
        <f t="shared" si="0"/>
        <v>-0.16715589698543365</v>
      </c>
      <c r="F24" s="449">
        <f t="shared" si="1"/>
        <v>-3.6530157448131609E-2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31444255</v>
      </c>
      <c r="D27" s="448">
        <v>34730744</v>
      </c>
      <c r="E27" s="448">
        <f t="shared" ref="E27:E32" si="2">D27-C27</f>
        <v>3286489</v>
      </c>
      <c r="F27" s="449">
        <f t="shared" ref="F27:F32" si="3">IF(C27=0,0,E27/C27)</f>
        <v>0.10451794771413729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7503025</v>
      </c>
      <c r="D28" s="448">
        <v>8449365</v>
      </c>
      <c r="E28" s="448">
        <f t="shared" si="2"/>
        <v>946340</v>
      </c>
      <c r="F28" s="449">
        <f t="shared" si="3"/>
        <v>0.12612779512263386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0.23861354005684027</v>
      </c>
      <c r="D29" s="453">
        <f>IF(LN_IA11=0,0,LN_IA12/LN_IA11)</f>
        <v>0.24328200397895305</v>
      </c>
      <c r="E29" s="454">
        <f t="shared" si="2"/>
        <v>4.6684639221127866E-3</v>
      </c>
      <c r="F29" s="449">
        <f t="shared" si="3"/>
        <v>1.9564958136913391E-2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0.48742083428458477</v>
      </c>
      <c r="D30" s="453">
        <f>IF(LN_IA1=0,0,LN_IA11/LN_IA1)</f>
        <v>0.54628066805564424</v>
      </c>
      <c r="E30" s="454">
        <f t="shared" si="2"/>
        <v>5.8859833771059467E-2</v>
      </c>
      <c r="F30" s="449">
        <f t="shared" si="3"/>
        <v>0.12075773055013413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980.2032977463</v>
      </c>
      <c r="D31" s="463">
        <f>LN_IA14*LN_IA4</f>
        <v>1019.9060072598878</v>
      </c>
      <c r="E31" s="463">
        <f t="shared" si="2"/>
        <v>39.70270951358782</v>
      </c>
      <c r="F31" s="449">
        <f t="shared" si="3"/>
        <v>4.050456635360538E-2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7654.5600461160275</v>
      </c>
      <c r="D32" s="465">
        <f>IF(LN_IA15=0,0,LN_IA12/LN_IA15)</f>
        <v>8284.4545868499536</v>
      </c>
      <c r="E32" s="465">
        <f t="shared" si="2"/>
        <v>629.89454073392608</v>
      </c>
      <c r="F32" s="449">
        <f t="shared" si="3"/>
        <v>8.2290103799438949E-2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95955767</v>
      </c>
      <c r="D35" s="448">
        <f>LN_IA1+LN_IA11</f>
        <v>98307484</v>
      </c>
      <c r="E35" s="448">
        <f>D35-C35</f>
        <v>2351717</v>
      </c>
      <c r="F35" s="449">
        <f>IF(C35=0,0,E35/C35)</f>
        <v>2.4508344558383865E-2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28130272</v>
      </c>
      <c r="D36" s="448">
        <f>LN_IA2+LN_IA12</f>
        <v>28561974</v>
      </c>
      <c r="E36" s="448">
        <f>D36-C36</f>
        <v>431702</v>
      </c>
      <c r="F36" s="449">
        <f>IF(C36=0,0,E36/C36)</f>
        <v>1.5346527754868491E-2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67825495</v>
      </c>
      <c r="D37" s="448">
        <f>LN_IA17-LN_IA18</f>
        <v>69745510</v>
      </c>
      <c r="E37" s="448">
        <f>D37-C37</f>
        <v>1920015</v>
      </c>
      <c r="F37" s="449">
        <f>IF(C37=0,0,E37/C37)</f>
        <v>2.830816052282405E-2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28238434</v>
      </c>
      <c r="D42" s="448">
        <v>26989492</v>
      </c>
      <c r="E42" s="448">
        <f t="shared" ref="E42:E53" si="4">D42-C42</f>
        <v>-1248942</v>
      </c>
      <c r="F42" s="449">
        <f t="shared" ref="F42:F53" si="5">IF(C42=0,0,E42/C42)</f>
        <v>-4.4228444112729477E-2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12445409</v>
      </c>
      <c r="D43" s="448">
        <v>10646730</v>
      </c>
      <c r="E43" s="448">
        <f t="shared" si="4"/>
        <v>-1798679</v>
      </c>
      <c r="F43" s="449">
        <f t="shared" si="5"/>
        <v>-0.14452550334022771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0.44072589152783753</v>
      </c>
      <c r="D44" s="453">
        <f>IF(LN_IB1=0,0,LN_IB2/LN_IB1)</f>
        <v>0.39447685788231951</v>
      </c>
      <c r="E44" s="454">
        <f t="shared" si="4"/>
        <v>-4.6249033645518023E-2</v>
      </c>
      <c r="F44" s="449">
        <f t="shared" si="5"/>
        <v>-0.10493831774935963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1068</v>
      </c>
      <c r="D45" s="456">
        <v>916</v>
      </c>
      <c r="E45" s="456">
        <f t="shared" si="4"/>
        <v>-152</v>
      </c>
      <c r="F45" s="449">
        <f t="shared" si="5"/>
        <v>-0.14232209737827714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1.3443000000000001</v>
      </c>
      <c r="D46" s="459">
        <v>1.397</v>
      </c>
      <c r="E46" s="460">
        <f t="shared" si="4"/>
        <v>5.2699999999999969E-2</v>
      </c>
      <c r="F46" s="449">
        <f t="shared" si="5"/>
        <v>3.9202558952614722E-2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1435.7124000000001</v>
      </c>
      <c r="D47" s="463">
        <f>LN_IB4*LN_IB5</f>
        <v>1279.652</v>
      </c>
      <c r="E47" s="463">
        <f t="shared" si="4"/>
        <v>-156.06040000000007</v>
      </c>
      <c r="F47" s="449">
        <f t="shared" si="5"/>
        <v>-0.10869892883839413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8668.4554650360333</v>
      </c>
      <c r="D48" s="465">
        <f>IF(LN_IB6=0,0,LN_IB2/LN_IB6)</f>
        <v>8320.0198178879873</v>
      </c>
      <c r="E48" s="465">
        <f t="shared" si="4"/>
        <v>-348.43564714804597</v>
      </c>
      <c r="F48" s="449">
        <f t="shared" si="5"/>
        <v>-4.0195816723457962E-2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-1721.9507573848396</v>
      </c>
      <c r="D49" s="465">
        <f>LN_IA7-LN_IB7</f>
        <v>-995.14848454210096</v>
      </c>
      <c r="E49" s="465">
        <f t="shared" si="4"/>
        <v>726.8022728427386</v>
      </c>
      <c r="F49" s="449">
        <f t="shared" si="5"/>
        <v>-0.4220807533117541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-2472226.0545668057</v>
      </c>
      <c r="D50" s="479">
        <f>LN_IB8*LN_IB6</f>
        <v>-1273443.7485412685</v>
      </c>
      <c r="E50" s="479">
        <f t="shared" si="4"/>
        <v>1198782.3060255372</v>
      </c>
      <c r="F50" s="449">
        <f t="shared" si="5"/>
        <v>-0.48489995638185807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3457</v>
      </c>
      <c r="D51" s="456">
        <v>3068</v>
      </c>
      <c r="E51" s="456">
        <f t="shared" si="4"/>
        <v>-389</v>
      </c>
      <c r="F51" s="449">
        <f t="shared" si="5"/>
        <v>-0.11252531096326295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3600.0604570436794</v>
      </c>
      <c r="D52" s="465">
        <f>IF(LN_IB10=0,0,LN_IB2/LN_IB10)</f>
        <v>3470.2509778357235</v>
      </c>
      <c r="E52" s="465">
        <f t="shared" si="4"/>
        <v>-129.80947920795597</v>
      </c>
      <c r="F52" s="449">
        <f t="shared" si="5"/>
        <v>-3.6057583131410449E-2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3.2368913857677901</v>
      </c>
      <c r="D53" s="466">
        <f>IF(LN_IB4=0,0,LN_IB10/LN_IB4)</f>
        <v>3.3493449781659388</v>
      </c>
      <c r="E53" s="466">
        <f t="shared" si="4"/>
        <v>0.11245359239814867</v>
      </c>
      <c r="F53" s="449">
        <f t="shared" si="5"/>
        <v>3.4741231322309163E-2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50175134</v>
      </c>
      <c r="D56" s="448">
        <v>45994687</v>
      </c>
      <c r="E56" s="448">
        <f t="shared" ref="E56:E63" si="6">D56-C56</f>
        <v>-4180447</v>
      </c>
      <c r="F56" s="449">
        <f t="shared" ref="F56:F63" si="7">IF(C56=0,0,E56/C56)</f>
        <v>-8.3317106836226881E-2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21653767</v>
      </c>
      <c r="D57" s="448">
        <v>19197547</v>
      </c>
      <c r="E57" s="448">
        <f t="shared" si="6"/>
        <v>-2456220</v>
      </c>
      <c r="F57" s="449">
        <f t="shared" si="7"/>
        <v>-0.11343153364493115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0.43156371042277636</v>
      </c>
      <c r="D58" s="453">
        <f>IF(LN_IB13=0,0,LN_IB14/LN_IB13)</f>
        <v>0.41738618636539476</v>
      </c>
      <c r="E58" s="454">
        <f t="shared" si="6"/>
        <v>-1.4177524057381596E-2</v>
      </c>
      <c r="F58" s="449">
        <f t="shared" si="7"/>
        <v>-3.2851520447566708E-2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1.7768384039993153</v>
      </c>
      <c r="D59" s="453">
        <f>IF(LN_IB1=0,0,LN_IB13/LN_IB1)</f>
        <v>1.7041701637066751</v>
      </c>
      <c r="E59" s="454">
        <f t="shared" si="6"/>
        <v>-7.2668240292640185E-2</v>
      </c>
      <c r="F59" s="449">
        <f t="shared" si="7"/>
        <v>-4.0897495309127833E-2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1897.6634154712688</v>
      </c>
      <c r="D60" s="463">
        <f>LN_IB16*LN_IB4</f>
        <v>1561.0198699553143</v>
      </c>
      <c r="E60" s="463">
        <f t="shared" si="6"/>
        <v>-336.64354551595443</v>
      </c>
      <c r="F60" s="449">
        <f t="shared" si="7"/>
        <v>-0.17739897537749172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11410.752203715994</v>
      </c>
      <c r="D61" s="465">
        <f>IF(LN_IB17=0,0,LN_IB14/LN_IB17)</f>
        <v>12298.07984478093</v>
      </c>
      <c r="E61" s="465">
        <f t="shared" si="6"/>
        <v>887.32764106493596</v>
      </c>
      <c r="F61" s="449">
        <f t="shared" si="7"/>
        <v>7.7762414363530846E-2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-3756.1921575999668</v>
      </c>
      <c r="D62" s="465">
        <f>LN_IA16-LN_IB18</f>
        <v>-4013.6252579309767</v>
      </c>
      <c r="E62" s="465">
        <f t="shared" si="6"/>
        <v>-257.43310033100988</v>
      </c>
      <c r="F62" s="449">
        <f t="shared" si="7"/>
        <v>6.8535657796457816E-2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-7127988.4389575468</v>
      </c>
      <c r="D63" s="448">
        <f>LN_IB19*LN_IB17</f>
        <v>-6265348.7781847781</v>
      </c>
      <c r="E63" s="448">
        <f t="shared" si="6"/>
        <v>862639.66077276878</v>
      </c>
      <c r="F63" s="449">
        <f t="shared" si="7"/>
        <v>-0.12102147305094788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78413568</v>
      </c>
      <c r="D66" s="448">
        <f>LN_IB1+LN_IB13</f>
        <v>72984179</v>
      </c>
      <c r="E66" s="448">
        <f>D66-C66</f>
        <v>-5429389</v>
      </c>
      <c r="F66" s="449">
        <f>IF(C66=0,0,E66/C66)</f>
        <v>-6.9240427881052419E-2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34099176</v>
      </c>
      <c r="D67" s="448">
        <f>LN_IB2+LN_IB14</f>
        <v>29844277</v>
      </c>
      <c r="E67" s="448">
        <f>D67-C67</f>
        <v>-4254899</v>
      </c>
      <c r="F67" s="449">
        <f>IF(C67=0,0,E67/C67)</f>
        <v>-0.12478011198862987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44314392</v>
      </c>
      <c r="D68" s="448">
        <f>LN_IB21-LN_IB22</f>
        <v>43139902</v>
      </c>
      <c r="E68" s="448">
        <f>D68-C68</f>
        <v>-1174490</v>
      </c>
      <c r="F68" s="449">
        <f>IF(C68=0,0,E68/C68)</f>
        <v>-2.6503579243510777E-2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-9600214.4935243521</v>
      </c>
      <c r="D70" s="441">
        <f>LN_IB9+LN_IB20</f>
        <v>-7538792.5267260466</v>
      </c>
      <c r="E70" s="448">
        <f>D70-C70</f>
        <v>2061421.9667983055</v>
      </c>
      <c r="F70" s="449">
        <f>IF(C70=0,0,E70/C70)</f>
        <v>-0.21472665722091935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68766683</v>
      </c>
      <c r="D73" s="488">
        <v>66221864</v>
      </c>
      <c r="E73" s="488">
        <f>D73-C73</f>
        <v>-2544819</v>
      </c>
      <c r="F73" s="489">
        <f>IF(C73=0,0,E73/C73)</f>
        <v>-3.7006569009588555E-2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25786529</v>
      </c>
      <c r="D74" s="488">
        <v>33792844</v>
      </c>
      <c r="E74" s="488">
        <f>D74-C74</f>
        <v>8006315</v>
      </c>
      <c r="F74" s="489">
        <f>IF(C74=0,0,E74/C74)</f>
        <v>0.31048440059536514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42980154</v>
      </c>
      <c r="D76" s="441">
        <f>LN_IB32-LN_IB33</f>
        <v>32429020</v>
      </c>
      <c r="E76" s="488">
        <f>D76-C76</f>
        <v>-10551134</v>
      </c>
      <c r="F76" s="489">
        <f>IF(E76=0,0,E76/C76)</f>
        <v>-0.24548851081361878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0.62501420927922324</v>
      </c>
      <c r="D77" s="453">
        <f>IF(LN_IB32=0,0,LN_IB34/LN_IB32)</f>
        <v>0.48970261543830901</v>
      </c>
      <c r="E77" s="493">
        <f>D77-C77</f>
        <v>-0.13531159384091423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1363537</v>
      </c>
      <c r="D83" s="448">
        <v>1574728</v>
      </c>
      <c r="E83" s="448">
        <f t="shared" ref="E83:E95" si="8">D83-C83</f>
        <v>211191</v>
      </c>
      <c r="F83" s="449">
        <f t="shared" ref="F83:F95" si="9">IF(C83=0,0,E83/C83)</f>
        <v>0.1548846859307815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14362</v>
      </c>
      <c r="D84" s="448">
        <v>56740</v>
      </c>
      <c r="E84" s="448">
        <f t="shared" si="8"/>
        <v>42378</v>
      </c>
      <c r="F84" s="449">
        <f t="shared" si="9"/>
        <v>2.950703244673444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1.0532900830707197E-2</v>
      </c>
      <c r="D85" s="453">
        <f>IF(LN_IC1=0,0,LN_IC2/LN_IC1)</f>
        <v>3.6031619428879148E-2</v>
      </c>
      <c r="E85" s="454">
        <f t="shared" si="8"/>
        <v>2.5498718598171953E-2</v>
      </c>
      <c r="F85" s="449">
        <f t="shared" si="9"/>
        <v>2.4208638254557577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50</v>
      </c>
      <c r="D86" s="456">
        <v>55</v>
      </c>
      <c r="E86" s="456">
        <f t="shared" si="8"/>
        <v>5</v>
      </c>
      <c r="F86" s="449">
        <f t="shared" si="9"/>
        <v>0.1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0.94562000000000002</v>
      </c>
      <c r="D87" s="459">
        <v>1.2742</v>
      </c>
      <c r="E87" s="460">
        <f t="shared" si="8"/>
        <v>0.32857999999999998</v>
      </c>
      <c r="F87" s="449">
        <f t="shared" si="9"/>
        <v>0.34747573020875189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47.280999999999999</v>
      </c>
      <c r="D88" s="463">
        <f>LN_IC4*LN_IC5</f>
        <v>70.081000000000003</v>
      </c>
      <c r="E88" s="463">
        <f t="shared" si="8"/>
        <v>22.800000000000004</v>
      </c>
      <c r="F88" s="449">
        <f t="shared" si="9"/>
        <v>0.4822233032296272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303.7583807449081</v>
      </c>
      <c r="D89" s="465">
        <f>IF(LN_IC6=0,0,LN_IC2/LN_IC6)</f>
        <v>809.63456571681331</v>
      </c>
      <c r="E89" s="465">
        <f t="shared" si="8"/>
        <v>505.87618497190522</v>
      </c>
      <c r="F89" s="449">
        <f t="shared" si="9"/>
        <v>1.6653900502476431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8364.6970842911251</v>
      </c>
      <c r="D90" s="465">
        <f>LN_IB7-LN_IC7</f>
        <v>7510.3852521711742</v>
      </c>
      <c r="E90" s="465">
        <f t="shared" si="8"/>
        <v>-854.31183211995085</v>
      </c>
      <c r="F90" s="449">
        <f t="shared" si="9"/>
        <v>-0.10213302687605338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6642.7463269062855</v>
      </c>
      <c r="D91" s="465">
        <f>LN_IA7-LN_IC7</f>
        <v>6515.2367676290733</v>
      </c>
      <c r="E91" s="465">
        <f t="shared" si="8"/>
        <v>-127.50955927721225</v>
      </c>
      <c r="F91" s="449">
        <f t="shared" si="9"/>
        <v>-1.9195307633642102E-2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314075.68908245605</v>
      </c>
      <c r="D92" s="441">
        <f>LN_IC9*LN_IC6</f>
        <v>456594.30791221309</v>
      </c>
      <c r="E92" s="441">
        <f t="shared" si="8"/>
        <v>142518.61882975703</v>
      </c>
      <c r="F92" s="449">
        <f t="shared" si="9"/>
        <v>0.45377157094238141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175</v>
      </c>
      <c r="D93" s="456">
        <v>244</v>
      </c>
      <c r="E93" s="456">
        <f t="shared" si="8"/>
        <v>69</v>
      </c>
      <c r="F93" s="449">
        <f t="shared" si="9"/>
        <v>0.39428571428571429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82.068571428571431</v>
      </c>
      <c r="D94" s="499">
        <f>IF(LN_IC11=0,0,LN_IC2/LN_IC11)</f>
        <v>232.54098360655738</v>
      </c>
      <c r="E94" s="499">
        <f t="shared" si="8"/>
        <v>150.47241217798594</v>
      </c>
      <c r="F94" s="449">
        <f t="shared" si="9"/>
        <v>1.8334961795813634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3.5</v>
      </c>
      <c r="D95" s="466">
        <f>IF(LN_IC4=0,0,LN_IC11/LN_IC4)</f>
        <v>4.4363636363636365</v>
      </c>
      <c r="E95" s="466">
        <f t="shared" si="8"/>
        <v>0.93636363636363651</v>
      </c>
      <c r="F95" s="449">
        <f t="shared" si="9"/>
        <v>0.26753246753246757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5507937</v>
      </c>
      <c r="D98" s="448">
        <v>3025507</v>
      </c>
      <c r="E98" s="448">
        <f t="shared" ref="E98:E106" si="10">D98-C98</f>
        <v>-2482430</v>
      </c>
      <c r="F98" s="449">
        <f t="shared" ref="F98:F106" si="11">IF(C98=0,0,E98/C98)</f>
        <v>-0.45070050728612182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63231</v>
      </c>
      <c r="D99" s="448">
        <v>134197</v>
      </c>
      <c r="E99" s="448">
        <f t="shared" si="10"/>
        <v>70966</v>
      </c>
      <c r="F99" s="449">
        <f t="shared" si="11"/>
        <v>1.1223292372412266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1.1479978801500453E-2</v>
      </c>
      <c r="D100" s="453">
        <f>IF(LN_IC14=0,0,LN_IC15/LN_IC14)</f>
        <v>4.4355210548182505E-2</v>
      </c>
      <c r="E100" s="454">
        <f t="shared" si="10"/>
        <v>3.2875231746682054E-2</v>
      </c>
      <c r="F100" s="449">
        <f t="shared" si="11"/>
        <v>2.8637014331755739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4.0394481411212162</v>
      </c>
      <c r="D101" s="453">
        <f>IF(LN_IC1=0,0,LN_IC14/LN_IC1)</f>
        <v>1.9212886288933708</v>
      </c>
      <c r="E101" s="454">
        <f t="shared" si="10"/>
        <v>-2.1181595122278454</v>
      </c>
      <c r="F101" s="449">
        <f t="shared" si="11"/>
        <v>-0.52436853704474462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201.9724070560608</v>
      </c>
      <c r="D102" s="463">
        <f>LN_IC17*LN_IC4</f>
        <v>105.67087458913539</v>
      </c>
      <c r="E102" s="463">
        <f t="shared" si="10"/>
        <v>-96.301532466925408</v>
      </c>
      <c r="F102" s="449">
        <f t="shared" si="11"/>
        <v>-0.47680539074921913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313.06751710123046</v>
      </c>
      <c r="D103" s="465">
        <f>IF(LN_IC18=0,0,LN_IC15/LN_IC18)</f>
        <v>1269.952581747606</v>
      </c>
      <c r="E103" s="465">
        <f t="shared" si="10"/>
        <v>956.88506464637555</v>
      </c>
      <c r="F103" s="449">
        <f t="shared" si="11"/>
        <v>3.0564814692575291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11097.684686614764</v>
      </c>
      <c r="D104" s="465">
        <f>LN_IB18-LN_IC19</f>
        <v>11028.127263033324</v>
      </c>
      <c r="E104" s="465">
        <f t="shared" si="10"/>
        <v>-69.557423581440162</v>
      </c>
      <c r="F104" s="449">
        <f t="shared" si="11"/>
        <v>-6.2677419250643665E-3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7341.4925290147967</v>
      </c>
      <c r="D105" s="465">
        <f>LN_IA16-LN_IC19</f>
        <v>7014.5020051023475</v>
      </c>
      <c r="E105" s="465">
        <f t="shared" si="10"/>
        <v>-326.99052391244913</v>
      </c>
      <c r="F105" s="449">
        <f t="shared" si="11"/>
        <v>-4.4540060841869462E-2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1482778.9174692058</v>
      </c>
      <c r="D106" s="448">
        <f>LN_IC21*LN_IC18</f>
        <v>741228.56168640894</v>
      </c>
      <c r="E106" s="448">
        <f t="shared" si="10"/>
        <v>-741550.35578279686</v>
      </c>
      <c r="F106" s="449">
        <f t="shared" si="11"/>
        <v>-0.50010851047738702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6871474</v>
      </c>
      <c r="D109" s="448">
        <f>LN_IC1+LN_IC14</f>
        <v>4600235</v>
      </c>
      <c r="E109" s="448">
        <f>D109-C109</f>
        <v>-2271239</v>
      </c>
      <c r="F109" s="449">
        <f>IF(C109=0,0,E109/C109)</f>
        <v>-0.33053155698471681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77593</v>
      </c>
      <c r="D110" s="448">
        <f>LN_IC2+LN_IC15</f>
        <v>190937</v>
      </c>
      <c r="E110" s="448">
        <f>D110-C110</f>
        <v>113344</v>
      </c>
      <c r="F110" s="449">
        <f>IF(C110=0,0,E110/C110)</f>
        <v>1.4607503254159524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6793881</v>
      </c>
      <c r="D111" s="448">
        <f>LN_IC23-LN_IC24</f>
        <v>4409298</v>
      </c>
      <c r="E111" s="448">
        <f>D111-C111</f>
        <v>-2384583</v>
      </c>
      <c r="F111" s="449">
        <f>IF(C111=0,0,E111/C111)</f>
        <v>-0.3509898098009076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1796854.6065516619</v>
      </c>
      <c r="D113" s="448">
        <f>LN_IC10+LN_IC22</f>
        <v>1197822.869598622</v>
      </c>
      <c r="E113" s="448">
        <f>D113-C113</f>
        <v>-599031.73695303989</v>
      </c>
      <c r="F113" s="449">
        <f>IF(C113=0,0,E113/C113)</f>
        <v>-0.33337796768244921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5224360</v>
      </c>
      <c r="D118" s="448">
        <v>8491118</v>
      </c>
      <c r="E118" s="448">
        <f t="shared" ref="E118:E130" si="12">D118-C118</f>
        <v>3266758</v>
      </c>
      <c r="F118" s="449">
        <f t="shared" ref="F118:F130" si="13">IF(C118=0,0,E118/C118)</f>
        <v>0.62529343307122787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1168773</v>
      </c>
      <c r="D119" s="448">
        <v>1668745</v>
      </c>
      <c r="E119" s="448">
        <f t="shared" si="12"/>
        <v>499972</v>
      </c>
      <c r="F119" s="449">
        <f t="shared" si="13"/>
        <v>0.4277751111635878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0.22371601497599705</v>
      </c>
      <c r="D120" s="453">
        <f>IF(LN_ID1=0,0,LN_1D2/LN_ID1)</f>
        <v>0.1965283016912496</v>
      </c>
      <c r="E120" s="454">
        <f t="shared" si="12"/>
        <v>-2.718771328474745E-2</v>
      </c>
      <c r="F120" s="449">
        <f t="shared" si="13"/>
        <v>-0.1215277917750523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258</v>
      </c>
      <c r="D121" s="456">
        <v>333</v>
      </c>
      <c r="E121" s="456">
        <f t="shared" si="12"/>
        <v>75</v>
      </c>
      <c r="F121" s="449">
        <f t="shared" si="13"/>
        <v>0.29069767441860467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1.2069000000000001</v>
      </c>
      <c r="D122" s="459">
        <v>1.111</v>
      </c>
      <c r="E122" s="460">
        <f t="shared" si="12"/>
        <v>-9.5900000000000096E-2</v>
      </c>
      <c r="F122" s="449">
        <f t="shared" si="13"/>
        <v>-7.9459772972077292E-2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311.3802</v>
      </c>
      <c r="D123" s="463">
        <f>LN_ID4*LN_ID5</f>
        <v>369.96300000000002</v>
      </c>
      <c r="E123" s="463">
        <f t="shared" si="12"/>
        <v>58.58280000000002</v>
      </c>
      <c r="F123" s="449">
        <f t="shared" si="13"/>
        <v>0.18813913023371434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3753.523827141225</v>
      </c>
      <c r="D124" s="465">
        <f>IF(LN_ID6=0,0,LN_1D2/LN_ID6)</f>
        <v>4510.5726788895099</v>
      </c>
      <c r="E124" s="465">
        <f t="shared" si="12"/>
        <v>757.04885174828496</v>
      </c>
      <c r="F124" s="449">
        <f t="shared" si="13"/>
        <v>0.20169016812259635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4914.9316378948079</v>
      </c>
      <c r="D125" s="465">
        <f>LN_IB7-LN_ID7</f>
        <v>3809.4471389984774</v>
      </c>
      <c r="E125" s="465">
        <f t="shared" si="12"/>
        <v>-1105.4844988963305</v>
      </c>
      <c r="F125" s="449">
        <f t="shared" si="13"/>
        <v>-0.22492367754881695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3192.9808805099688</v>
      </c>
      <c r="D126" s="465">
        <f>LN_IA7-LN_ID7</f>
        <v>2814.2986544563764</v>
      </c>
      <c r="E126" s="465">
        <f t="shared" si="12"/>
        <v>-378.68222605359233</v>
      </c>
      <c r="F126" s="449">
        <f t="shared" si="13"/>
        <v>-0.11859833811253855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994231.02516937023</v>
      </c>
      <c r="D127" s="479">
        <f>LN_ID9*LN_ID6</f>
        <v>1041186.3730986444</v>
      </c>
      <c r="E127" s="479">
        <f t="shared" si="12"/>
        <v>46955.347929274198</v>
      </c>
      <c r="F127" s="449">
        <f t="shared" si="13"/>
        <v>4.7227803941518737E-2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911</v>
      </c>
      <c r="D128" s="456">
        <v>1559</v>
      </c>
      <c r="E128" s="456">
        <f t="shared" si="12"/>
        <v>648</v>
      </c>
      <c r="F128" s="449">
        <f t="shared" si="13"/>
        <v>0.71130625686059279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1282.9560922063665</v>
      </c>
      <c r="D129" s="465">
        <f>IF(LN_ID11=0,0,LN_1D2/LN_ID11)</f>
        <v>1070.3944836433611</v>
      </c>
      <c r="E129" s="465">
        <f t="shared" si="12"/>
        <v>-212.56160856300539</v>
      </c>
      <c r="F129" s="449">
        <f t="shared" si="13"/>
        <v>-0.16568112490697331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3.5310077519379846</v>
      </c>
      <c r="D130" s="466">
        <f>IF(LN_ID4=0,0,LN_ID11/LN_ID4)</f>
        <v>4.681681681681682</v>
      </c>
      <c r="E130" s="466">
        <f t="shared" si="12"/>
        <v>1.1506739297436974</v>
      </c>
      <c r="F130" s="449">
        <f t="shared" si="13"/>
        <v>0.32587691972982868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14684173</v>
      </c>
      <c r="D133" s="448">
        <v>16965353</v>
      </c>
      <c r="E133" s="448">
        <f t="shared" ref="E133:E141" si="14">D133-C133</f>
        <v>2281180</v>
      </c>
      <c r="F133" s="449">
        <f t="shared" ref="F133:F141" si="15">IF(C133=0,0,E133/C133)</f>
        <v>0.15534957263170354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4021519</v>
      </c>
      <c r="D134" s="448">
        <v>4731261</v>
      </c>
      <c r="E134" s="448">
        <f t="shared" si="14"/>
        <v>709742</v>
      </c>
      <c r="F134" s="449">
        <f t="shared" si="15"/>
        <v>0.17648604917694036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0.27386758518848831</v>
      </c>
      <c r="D135" s="453">
        <f>IF(LN_ID14=0,0,LN_ID15/LN_ID14)</f>
        <v>0.27887784003079691</v>
      </c>
      <c r="E135" s="454">
        <f t="shared" si="14"/>
        <v>5.0102548423086035E-3</v>
      </c>
      <c r="F135" s="449">
        <f t="shared" si="15"/>
        <v>1.8294442691566857E-2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2.8107123169153732</v>
      </c>
      <c r="D136" s="453">
        <f>IF(LN_ID1=0,0,LN_ID14/LN_ID1)</f>
        <v>1.9980116870357942</v>
      </c>
      <c r="E136" s="454">
        <f t="shared" si="14"/>
        <v>-0.81270062987957892</v>
      </c>
      <c r="F136" s="449">
        <f t="shared" si="15"/>
        <v>-0.2891440098613437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725.1637777641663</v>
      </c>
      <c r="D137" s="463">
        <f>LN_ID17*LN_ID4</f>
        <v>665.33789178291943</v>
      </c>
      <c r="E137" s="463">
        <f t="shared" si="14"/>
        <v>-59.82588598124687</v>
      </c>
      <c r="F137" s="449">
        <f t="shared" si="15"/>
        <v>-8.2499826681501881E-2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5545.6699897493445</v>
      </c>
      <c r="D138" s="465">
        <f>IF(LN_ID18=0,0,LN_ID15/LN_ID18)</f>
        <v>7111.0650068667273</v>
      </c>
      <c r="E138" s="465">
        <f t="shared" si="14"/>
        <v>1565.3950171173828</v>
      </c>
      <c r="F138" s="449">
        <f t="shared" si="15"/>
        <v>0.28227338085585152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5865.0822139666498</v>
      </c>
      <c r="D139" s="465">
        <f>LN_IB18-LN_ID19</f>
        <v>5187.0148379142029</v>
      </c>
      <c r="E139" s="465">
        <f t="shared" si="14"/>
        <v>-678.06737605244689</v>
      </c>
      <c r="F139" s="449">
        <f t="shared" si="15"/>
        <v>-0.11561089023402776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2108.890056366683</v>
      </c>
      <c r="D140" s="465">
        <f>LN_IA16-LN_ID19</f>
        <v>1173.3895799832262</v>
      </c>
      <c r="E140" s="465">
        <f t="shared" si="14"/>
        <v>-935.50047638345677</v>
      </c>
      <c r="F140" s="449">
        <f t="shared" si="15"/>
        <v>-0.44359850508053073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1529290.6801641495</v>
      </c>
      <c r="D141" s="441">
        <f>LN_ID21*LN_ID18</f>
        <v>780700.54938608501</v>
      </c>
      <c r="E141" s="441">
        <f t="shared" si="14"/>
        <v>-748590.13077806449</v>
      </c>
      <c r="F141" s="449">
        <f t="shared" si="15"/>
        <v>-0.48950153197671553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19908533</v>
      </c>
      <c r="D144" s="448">
        <f>LN_ID1+LN_ID14</f>
        <v>25456471</v>
      </c>
      <c r="E144" s="448">
        <f>D144-C144</f>
        <v>5547938</v>
      </c>
      <c r="F144" s="449">
        <f>IF(C144=0,0,E144/C144)</f>
        <v>0.27867136167190221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5190292</v>
      </c>
      <c r="D145" s="448">
        <f>LN_1D2+LN_ID15</f>
        <v>6400006</v>
      </c>
      <c r="E145" s="448">
        <f>D145-C145</f>
        <v>1209714</v>
      </c>
      <c r="F145" s="449">
        <f>IF(C145=0,0,E145/C145)</f>
        <v>0.2330724360016739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14718241</v>
      </c>
      <c r="D146" s="448">
        <f>LN_ID23-LN_ID24</f>
        <v>19056465</v>
      </c>
      <c r="E146" s="448">
        <f>D146-C146</f>
        <v>4338224</v>
      </c>
      <c r="F146" s="449">
        <f>IF(C146=0,0,E146/C146)</f>
        <v>0.29475152635427021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2523521.7053335197</v>
      </c>
      <c r="D148" s="448">
        <f>LN_ID10+LN_ID22</f>
        <v>1821886.9224847294</v>
      </c>
      <c r="E148" s="448">
        <f>D148-C148</f>
        <v>-701634.78284879029</v>
      </c>
      <c r="F148" s="503">
        <f>IF(C148=0,0,E148/C148)</f>
        <v>-0.27803794251734371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31334</v>
      </c>
      <c r="D153" s="448">
        <v>72804</v>
      </c>
      <c r="E153" s="448">
        <f t="shared" ref="E153:E165" si="16">D153-C153</f>
        <v>41470</v>
      </c>
      <c r="F153" s="449">
        <f t="shared" ref="F153:F165" si="17">IF(C153=0,0,E153/C153)</f>
        <v>1.3234824790961894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6063</v>
      </c>
      <c r="D154" s="448">
        <v>18590</v>
      </c>
      <c r="E154" s="448">
        <f t="shared" si="16"/>
        <v>12527</v>
      </c>
      <c r="F154" s="449">
        <f t="shared" si="17"/>
        <v>2.0661388751443179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0.19349588306631774</v>
      </c>
      <c r="D155" s="453">
        <f>IF(LN_IE1=0,0,LN_IE2/LN_IE1)</f>
        <v>0.25534311301576834</v>
      </c>
      <c r="E155" s="454">
        <f t="shared" si="16"/>
        <v>6.1847229949450605E-2</v>
      </c>
      <c r="F155" s="449">
        <f t="shared" si="17"/>
        <v>0.31963072789643499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</v>
      </c>
      <c r="D156" s="506">
        <v>2</v>
      </c>
      <c r="E156" s="506">
        <f t="shared" si="16"/>
        <v>1</v>
      </c>
      <c r="F156" s="449">
        <f t="shared" si="17"/>
        <v>1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1.8418000000000001</v>
      </c>
      <c r="D157" s="459">
        <v>0.85140000000000005</v>
      </c>
      <c r="E157" s="460">
        <f t="shared" si="16"/>
        <v>-0.99040000000000006</v>
      </c>
      <c r="F157" s="449">
        <f t="shared" si="17"/>
        <v>-0.5377348246280812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1.8418000000000001</v>
      </c>
      <c r="D158" s="463">
        <f>LN_IE4*LN_IE5</f>
        <v>1.7028000000000001</v>
      </c>
      <c r="E158" s="463">
        <f t="shared" si="16"/>
        <v>-0.13900000000000001</v>
      </c>
      <c r="F158" s="449">
        <f t="shared" si="17"/>
        <v>-7.5469649256162452E-2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3291.8883700727547</v>
      </c>
      <c r="D159" s="465">
        <f>IF(LN_IE6=0,0,LN_IE2/LN_IE6)</f>
        <v>10917.312661498707</v>
      </c>
      <c r="E159" s="465">
        <f t="shared" si="16"/>
        <v>7625.4242914259521</v>
      </c>
      <c r="F159" s="449">
        <f t="shared" si="17"/>
        <v>2.3164285766037143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5376.5670949632786</v>
      </c>
      <c r="D160" s="465">
        <f>LN_IB7-LN_IE7</f>
        <v>-2597.2928436107195</v>
      </c>
      <c r="E160" s="465">
        <f t="shared" si="16"/>
        <v>-7973.8599385739981</v>
      </c>
      <c r="F160" s="449">
        <f t="shared" si="17"/>
        <v>-1.4830764310639479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3654.616337578439</v>
      </c>
      <c r="D161" s="465">
        <f>LN_IA7-LN_IE7</f>
        <v>-3592.4413281528205</v>
      </c>
      <c r="E161" s="465">
        <f t="shared" si="16"/>
        <v>-7247.0576657312595</v>
      </c>
      <c r="F161" s="449">
        <f t="shared" si="17"/>
        <v>-1.9829872676958435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6731.0723705519695</v>
      </c>
      <c r="D162" s="479">
        <f>LN_IE9*LN_IE6</f>
        <v>-6117.2090935786227</v>
      </c>
      <c r="E162" s="479">
        <f t="shared" si="16"/>
        <v>-12848.281464130592</v>
      </c>
      <c r="F162" s="449">
        <f t="shared" si="17"/>
        <v>-1.9088015633795647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</v>
      </c>
      <c r="D163" s="456">
        <v>16</v>
      </c>
      <c r="E163" s="506">
        <f t="shared" si="16"/>
        <v>10</v>
      </c>
      <c r="F163" s="449">
        <f t="shared" si="17"/>
        <v>1.6666666666666667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1010.5</v>
      </c>
      <c r="D164" s="465">
        <f>IF(LN_IE11=0,0,LN_IE2/LN_IE11)</f>
        <v>1161.875</v>
      </c>
      <c r="E164" s="465">
        <f t="shared" si="16"/>
        <v>151.375</v>
      </c>
      <c r="F164" s="449">
        <f t="shared" si="17"/>
        <v>0.14980207817911925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6</v>
      </c>
      <c r="D165" s="466">
        <f>IF(LN_IE4=0,0,LN_IE11/LN_IE4)</f>
        <v>8</v>
      </c>
      <c r="E165" s="466">
        <f t="shared" si="16"/>
        <v>2</v>
      </c>
      <c r="F165" s="449">
        <f t="shared" si="17"/>
        <v>0.33333333333333331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198761</v>
      </c>
      <c r="D168" s="511">
        <v>183557</v>
      </c>
      <c r="E168" s="511">
        <f t="shared" ref="E168:E176" si="18">D168-C168</f>
        <v>-15204</v>
      </c>
      <c r="F168" s="449">
        <f t="shared" ref="F168:F176" si="19">IF(C168=0,0,E168/C168)</f>
        <v>-7.6493879584023025E-2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37428</v>
      </c>
      <c r="D169" s="511">
        <v>34694</v>
      </c>
      <c r="E169" s="511">
        <f t="shared" si="18"/>
        <v>-2734</v>
      </c>
      <c r="F169" s="449">
        <f t="shared" si="19"/>
        <v>-7.3046916746820567E-2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0.18830655913383409</v>
      </c>
      <c r="D170" s="453">
        <f>IF(LN_IE14=0,0,LN_IE15/LN_IE14)</f>
        <v>0.18900940852160364</v>
      </c>
      <c r="E170" s="454">
        <f t="shared" si="18"/>
        <v>7.0284938776954409E-4</v>
      </c>
      <c r="F170" s="449">
        <f t="shared" si="19"/>
        <v>3.7324742749402146E-3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6.343301206357312</v>
      </c>
      <c r="D171" s="453">
        <f>IF(LN_IE1=0,0,LN_IE14/LN_IE1)</f>
        <v>2.5212488324817319</v>
      </c>
      <c r="E171" s="454">
        <f t="shared" si="18"/>
        <v>-3.8220523738755801</v>
      </c>
      <c r="F171" s="449">
        <f t="shared" si="19"/>
        <v>-0.60253364132308362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6.343301206357312</v>
      </c>
      <c r="D172" s="463">
        <f>LN_IE17*LN_IE4</f>
        <v>5.0424976649634639</v>
      </c>
      <c r="E172" s="463">
        <f t="shared" si="18"/>
        <v>-1.3008035413938481</v>
      </c>
      <c r="F172" s="449">
        <f t="shared" si="19"/>
        <v>-0.20506728264616716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5900.3977238995576</v>
      </c>
      <c r="D173" s="465">
        <f>IF(LN_IE18=0,0,LN_IE15/LN_IE18)</f>
        <v>6880.3204890034158</v>
      </c>
      <c r="E173" s="465">
        <f t="shared" si="18"/>
        <v>979.92276510385818</v>
      </c>
      <c r="F173" s="449">
        <f t="shared" si="19"/>
        <v>0.16607740883884514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5510.3544798164367</v>
      </c>
      <c r="D174" s="465">
        <f>LN_IB18-LN_IE19</f>
        <v>5417.7593557775144</v>
      </c>
      <c r="E174" s="465">
        <f t="shared" si="18"/>
        <v>-92.595124038922222</v>
      </c>
      <c r="F174" s="449">
        <f t="shared" si="19"/>
        <v>-1.6803841636338211E-2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1754.1623222164699</v>
      </c>
      <c r="D175" s="465">
        <f>LN_IA16-LN_IE19</f>
        <v>1404.1340978465378</v>
      </c>
      <c r="E175" s="465">
        <f t="shared" si="18"/>
        <v>-350.0282243699321</v>
      </c>
      <c r="F175" s="449">
        <f t="shared" si="19"/>
        <v>-0.19954152471343378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11127.179974662276</v>
      </c>
      <c r="D176" s="441">
        <f>LN_IE21*LN_IE18</f>
        <v>7080.3429096867467</v>
      </c>
      <c r="E176" s="441">
        <f t="shared" si="18"/>
        <v>-4046.8370649755298</v>
      </c>
      <c r="F176" s="449">
        <f t="shared" si="19"/>
        <v>-0.36368936911154404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230095</v>
      </c>
      <c r="D179" s="448">
        <f>LN_IE1+LN_IE14</f>
        <v>256361</v>
      </c>
      <c r="E179" s="448">
        <f>D179-C179</f>
        <v>26266</v>
      </c>
      <c r="F179" s="449">
        <f>IF(C179=0,0,E179/C179)</f>
        <v>0.11415284990981986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43491</v>
      </c>
      <c r="D180" s="448">
        <f>LN_IE15+LN_IE2</f>
        <v>53284</v>
      </c>
      <c r="E180" s="448">
        <f>D180-C180</f>
        <v>9793</v>
      </c>
      <c r="F180" s="449">
        <f>IF(C180=0,0,E180/C180)</f>
        <v>0.22517302430387898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186604</v>
      </c>
      <c r="D181" s="448">
        <f>LN_IE23-LN_IE24</f>
        <v>203077</v>
      </c>
      <c r="E181" s="448">
        <f>D181-C181</f>
        <v>16473</v>
      </c>
      <c r="F181" s="449">
        <f>IF(C181=0,0,E181/C181)</f>
        <v>8.8277850421212833E-2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17858.252345214245</v>
      </c>
      <c r="D183" s="448">
        <f>LN_IE10+LN_IE22</f>
        <v>963.13381610812394</v>
      </c>
      <c r="E183" s="441">
        <f>D183-C183</f>
        <v>-16895.118529106119</v>
      </c>
      <c r="F183" s="449">
        <f>IF(C183=0,0,E183/C183)</f>
        <v>-0.94606785717381625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5255694</v>
      </c>
      <c r="D188" s="448">
        <f>LN_ID1+LN_IE1</f>
        <v>8563922</v>
      </c>
      <c r="E188" s="448">
        <f t="shared" ref="E188:E200" si="20">D188-C188</f>
        <v>3308228</v>
      </c>
      <c r="F188" s="449">
        <f t="shared" ref="F188:F200" si="21">IF(C188=0,0,E188/C188)</f>
        <v>0.62945597669879561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1174836</v>
      </c>
      <c r="D189" s="448">
        <f>LN_1D2+LN_IE2</f>
        <v>1687335</v>
      </c>
      <c r="E189" s="448">
        <f t="shared" si="20"/>
        <v>512499</v>
      </c>
      <c r="F189" s="449">
        <f t="shared" si="21"/>
        <v>0.43623024830699775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0.2235358451234033</v>
      </c>
      <c r="D190" s="453">
        <f>IF(LN_IF1=0,0,LN_IF2/LN_IF1)</f>
        <v>0.1970283008182466</v>
      </c>
      <c r="E190" s="454">
        <f t="shared" si="20"/>
        <v>-2.6507544305156699E-2</v>
      </c>
      <c r="F190" s="449">
        <f t="shared" si="21"/>
        <v>-0.11858296950327214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259</v>
      </c>
      <c r="D191" s="456">
        <f>LN_ID4+LN_IE4</f>
        <v>335</v>
      </c>
      <c r="E191" s="456">
        <f t="shared" si="20"/>
        <v>76</v>
      </c>
      <c r="F191" s="449">
        <f t="shared" si="21"/>
        <v>0.29343629343629346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1.2093513513513512</v>
      </c>
      <c r="D192" s="459">
        <f>IF((LN_ID4+LN_IE4)=0,0,(LN_ID6+LN_IE6)/(LN_ID4+LN_IE4))</f>
        <v>1.1094501492537314</v>
      </c>
      <c r="E192" s="460">
        <f t="shared" si="20"/>
        <v>-9.9901202097619768E-2</v>
      </c>
      <c r="F192" s="449">
        <f t="shared" si="21"/>
        <v>-8.2607260483885309E-2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313.22199999999998</v>
      </c>
      <c r="D193" s="463">
        <f>LN_IF4*LN_IF5</f>
        <v>371.66580000000005</v>
      </c>
      <c r="E193" s="463">
        <f t="shared" si="20"/>
        <v>58.443800000000067</v>
      </c>
      <c r="F193" s="449">
        <f t="shared" si="21"/>
        <v>0.18658906462509042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3750.8093301236827</v>
      </c>
      <c r="D194" s="465">
        <f>IF(LN_IF6=0,0,LN_IF2/LN_IF6)</f>
        <v>4539.9253845793719</v>
      </c>
      <c r="E194" s="465">
        <f t="shared" si="20"/>
        <v>789.11605445568921</v>
      </c>
      <c r="F194" s="449">
        <f t="shared" si="21"/>
        <v>0.21038554215968855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4917.646134912351</v>
      </c>
      <c r="D195" s="465">
        <f>LN_IB7-LN_IF7</f>
        <v>3780.0944333086154</v>
      </c>
      <c r="E195" s="465">
        <f t="shared" si="20"/>
        <v>-1137.5517016037356</v>
      </c>
      <c r="F195" s="449">
        <f t="shared" si="21"/>
        <v>-0.23132036555615457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3195.695377527511</v>
      </c>
      <c r="D196" s="465">
        <f>LN_IA7-LN_IF7</f>
        <v>2784.9459487665144</v>
      </c>
      <c r="E196" s="465">
        <f t="shared" si="20"/>
        <v>-410.74942876099658</v>
      </c>
      <c r="F196" s="449">
        <f t="shared" si="21"/>
        <v>-0.12853209716089734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1000962.0975399222</v>
      </c>
      <c r="D197" s="479">
        <f>LN_IF9*LN_IF6</f>
        <v>1035069.1640050657</v>
      </c>
      <c r="E197" s="479">
        <f t="shared" si="20"/>
        <v>34107.066465143464</v>
      </c>
      <c r="F197" s="449">
        <f t="shared" si="21"/>
        <v>3.4074283680639708E-2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917</v>
      </c>
      <c r="D198" s="456">
        <f>LN_ID11+LN_IE11</f>
        <v>1575</v>
      </c>
      <c r="E198" s="456">
        <f t="shared" si="20"/>
        <v>658</v>
      </c>
      <c r="F198" s="449">
        <f t="shared" si="21"/>
        <v>0.71755725190839692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1281.1733914940021</v>
      </c>
      <c r="D199" s="519">
        <f>IF(LN_IF11=0,0,LN_IF2/LN_IF11)</f>
        <v>1071.3238095238096</v>
      </c>
      <c r="E199" s="519">
        <f t="shared" si="20"/>
        <v>-209.8495819701925</v>
      </c>
      <c r="F199" s="449">
        <f t="shared" si="21"/>
        <v>-0.16379483320792565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3.5405405405405403</v>
      </c>
      <c r="D200" s="466">
        <f>IF(LN_IF4=0,0,LN_IF11/LN_IF4)</f>
        <v>4.7014925373134329</v>
      </c>
      <c r="E200" s="466">
        <f t="shared" si="20"/>
        <v>1.1609519967728925</v>
      </c>
      <c r="F200" s="449">
        <f t="shared" si="21"/>
        <v>0.32790247237096964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14882934</v>
      </c>
      <c r="D203" s="448">
        <f>LN_ID14+LN_IE14</f>
        <v>17148910</v>
      </c>
      <c r="E203" s="448">
        <f t="shared" ref="E203:E211" si="22">D203-C203</f>
        <v>2265976</v>
      </c>
      <c r="F203" s="449">
        <f t="shared" ref="F203:F211" si="23">IF(C203=0,0,E203/C203)</f>
        <v>0.1522533124181025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4058947</v>
      </c>
      <c r="D204" s="448">
        <f>LN_ID15+LN_IE15</f>
        <v>4765955</v>
      </c>
      <c r="E204" s="448">
        <f t="shared" si="22"/>
        <v>707008</v>
      </c>
      <c r="F204" s="449">
        <f t="shared" si="23"/>
        <v>0.17418507805103145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0.27272492104043461</v>
      </c>
      <c r="D205" s="453">
        <f>IF(LN_IF14=0,0,LN_IF15/LN_IF14)</f>
        <v>0.27791591418929834</v>
      </c>
      <c r="E205" s="454">
        <f t="shared" si="22"/>
        <v>5.1909931488637318E-3</v>
      </c>
      <c r="F205" s="449">
        <f t="shared" si="23"/>
        <v>1.9033805671518033E-2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2.8317733110032663</v>
      </c>
      <c r="D206" s="453">
        <f>IF(LN_IF1=0,0,LN_IF14/LN_IF1)</f>
        <v>2.0024598542583645</v>
      </c>
      <c r="E206" s="454">
        <f t="shared" si="22"/>
        <v>-0.82931345674490187</v>
      </c>
      <c r="F206" s="449">
        <f t="shared" si="23"/>
        <v>-0.29286011472828138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731.50707897052359</v>
      </c>
      <c r="D207" s="463">
        <f>LN_ID18+LN_IE18</f>
        <v>670.38038944788286</v>
      </c>
      <c r="E207" s="463">
        <f t="shared" si="22"/>
        <v>-61.126689522640731</v>
      </c>
      <c r="F207" s="449">
        <f t="shared" si="23"/>
        <v>-8.3562676671108282E-2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5548.7460295152623</v>
      </c>
      <c r="D208" s="465">
        <f>IF(LN_IF18=0,0,LN_IF15/LN_IF18)</f>
        <v>7109.3293822708365</v>
      </c>
      <c r="E208" s="465">
        <f t="shared" si="22"/>
        <v>1560.5833527555742</v>
      </c>
      <c r="F208" s="449">
        <f t="shared" si="23"/>
        <v>0.28124973542750281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5862.0061742007319</v>
      </c>
      <c r="D209" s="465">
        <f>LN_IB18-LN_IF19</f>
        <v>5188.7504625100937</v>
      </c>
      <c r="E209" s="465">
        <f t="shared" si="22"/>
        <v>-673.25571169063824</v>
      </c>
      <c r="F209" s="449">
        <f t="shared" si="23"/>
        <v>-0.11485073397801987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2105.8140166007652</v>
      </c>
      <c r="D210" s="465">
        <f>LN_IA16-LN_IF19</f>
        <v>1175.1252045791171</v>
      </c>
      <c r="E210" s="465">
        <f t="shared" si="22"/>
        <v>-930.68881202164812</v>
      </c>
      <c r="F210" s="449">
        <f t="shared" si="23"/>
        <v>-0.44196154298753276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1540417.8601388119</v>
      </c>
      <c r="D211" s="441">
        <f>LN_IF21*LN_IF18</f>
        <v>787780.89229577151</v>
      </c>
      <c r="E211" s="441">
        <f t="shared" si="22"/>
        <v>-752636.96784304036</v>
      </c>
      <c r="F211" s="449">
        <f t="shared" si="23"/>
        <v>-0.48859273014090987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20138628</v>
      </c>
      <c r="D214" s="448">
        <f>LN_IF1+LN_IF14</f>
        <v>25712832</v>
      </c>
      <c r="E214" s="448">
        <f>D214-C214</f>
        <v>5574204</v>
      </c>
      <c r="F214" s="449">
        <f>IF(C214=0,0,E214/C214)</f>
        <v>0.27679164638226594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5233783</v>
      </c>
      <c r="D215" s="448">
        <f>LN_IF2+LN_IF15</f>
        <v>6453290</v>
      </c>
      <c r="E215" s="448">
        <f>D215-C215</f>
        <v>1219507</v>
      </c>
      <c r="F215" s="449">
        <f>IF(C215=0,0,E215/C215)</f>
        <v>0.23300679451173273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14904845</v>
      </c>
      <c r="D216" s="448">
        <f>LN_IF23-LN_IF24</f>
        <v>19259542</v>
      </c>
      <c r="E216" s="448">
        <f>D216-C216</f>
        <v>4354697</v>
      </c>
      <c r="F216" s="449">
        <f>IF(C216=0,0,E216/C216)</f>
        <v>0.29216654047727436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174774</v>
      </c>
      <c r="D221" s="448">
        <v>119348</v>
      </c>
      <c r="E221" s="448">
        <f t="shared" ref="E221:E230" si="24">D221-C221</f>
        <v>-55426</v>
      </c>
      <c r="F221" s="449">
        <f t="shared" ref="F221:F230" si="25">IF(C221=0,0,E221/C221)</f>
        <v>-0.3171295501619234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63596</v>
      </c>
      <c r="D222" s="448">
        <v>33114</v>
      </c>
      <c r="E222" s="448">
        <f t="shared" si="24"/>
        <v>-30482</v>
      </c>
      <c r="F222" s="449">
        <f t="shared" si="25"/>
        <v>-0.47930687464620414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0.36387563367548947</v>
      </c>
      <c r="D223" s="453">
        <f>IF(LN_IG1=0,0,LN_IG2/LN_IG1)</f>
        <v>0.27745751918758588</v>
      </c>
      <c r="E223" s="454">
        <f t="shared" si="24"/>
        <v>-8.6418114487903597E-2</v>
      </c>
      <c r="F223" s="449">
        <f t="shared" si="25"/>
        <v>-0.23749354584421761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10</v>
      </c>
      <c r="D224" s="456">
        <v>3</v>
      </c>
      <c r="E224" s="456">
        <f t="shared" si="24"/>
        <v>-7</v>
      </c>
      <c r="F224" s="449">
        <f t="shared" si="25"/>
        <v>-0.7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1.2652000000000001</v>
      </c>
      <c r="D225" s="459">
        <v>1.6774</v>
      </c>
      <c r="E225" s="460">
        <f t="shared" si="24"/>
        <v>0.4121999999999999</v>
      </c>
      <c r="F225" s="449">
        <f t="shared" si="25"/>
        <v>0.32579829276003786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12.652000000000001</v>
      </c>
      <c r="D226" s="463">
        <f>LN_IG3*LN_IG4</f>
        <v>5.0321999999999996</v>
      </c>
      <c r="E226" s="463">
        <f t="shared" si="24"/>
        <v>-7.6198000000000015</v>
      </c>
      <c r="F226" s="449">
        <f t="shared" si="25"/>
        <v>-0.60226051217198873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5026.5570660765088</v>
      </c>
      <c r="D227" s="465">
        <f>IF(LN_IG5=0,0,LN_IG2/LN_IG5)</f>
        <v>6580.4220817932519</v>
      </c>
      <c r="E227" s="465">
        <f t="shared" si="24"/>
        <v>1553.8650157167431</v>
      </c>
      <c r="F227" s="449">
        <f t="shared" si="25"/>
        <v>0.30913108023850927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27</v>
      </c>
      <c r="D228" s="456">
        <v>6</v>
      </c>
      <c r="E228" s="456">
        <f t="shared" si="24"/>
        <v>-21</v>
      </c>
      <c r="F228" s="449">
        <f t="shared" si="25"/>
        <v>-0.77777777777777779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2355.4074074074074</v>
      </c>
      <c r="D229" s="465">
        <f>IF(LN_IG6=0,0,LN_IG2/LN_IG6)</f>
        <v>5519</v>
      </c>
      <c r="E229" s="465">
        <f t="shared" si="24"/>
        <v>3163.5925925925926</v>
      </c>
      <c r="F229" s="449">
        <f t="shared" si="25"/>
        <v>1.3431190640920814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2.7</v>
      </c>
      <c r="D230" s="466">
        <f>IF(LN_IG3=0,0,LN_IG6/LN_IG3)</f>
        <v>2</v>
      </c>
      <c r="E230" s="466">
        <f t="shared" si="24"/>
        <v>-0.70000000000000018</v>
      </c>
      <c r="F230" s="449">
        <f t="shared" si="25"/>
        <v>-0.2592592592592593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231144</v>
      </c>
      <c r="D233" s="448">
        <v>180436</v>
      </c>
      <c r="E233" s="448">
        <f>D233-C233</f>
        <v>-50708</v>
      </c>
      <c r="F233" s="449">
        <f>IF(C233=0,0,E233/C233)</f>
        <v>-0.21937839615131693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61532</v>
      </c>
      <c r="D234" s="448">
        <v>51084</v>
      </c>
      <c r="E234" s="448">
        <f>D234-C234</f>
        <v>-10448</v>
      </c>
      <c r="F234" s="449">
        <f>IF(C234=0,0,E234/C234)</f>
        <v>-0.16979782877202107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405918</v>
      </c>
      <c r="D237" s="448">
        <f>LN_IG1+LN_IG9</f>
        <v>299784</v>
      </c>
      <c r="E237" s="448">
        <f>D237-C237</f>
        <v>-106134</v>
      </c>
      <c r="F237" s="449">
        <f>IF(C237=0,0,E237/C237)</f>
        <v>-0.2614666016289004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125128</v>
      </c>
      <c r="D238" s="448">
        <f>LN_IG2+LN_IG10</f>
        <v>84198</v>
      </c>
      <c r="E238" s="448">
        <f>D238-C238</f>
        <v>-40930</v>
      </c>
      <c r="F238" s="449">
        <f>IF(C238=0,0,E238/C238)</f>
        <v>-0.32710504443449906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280790</v>
      </c>
      <c r="D239" s="448">
        <f>LN_IG13-LN_IG14</f>
        <v>215586</v>
      </c>
      <c r="E239" s="448">
        <f>D239-C239</f>
        <v>-65204</v>
      </c>
      <c r="F239" s="449">
        <f>IF(C239=0,0,E239/C239)</f>
        <v>-0.23221624701734392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1449445</v>
      </c>
      <c r="D243" s="448">
        <v>1352459</v>
      </c>
      <c r="E243" s="441">
        <f>D243-C243</f>
        <v>-96986</v>
      </c>
      <c r="F243" s="503">
        <f>IF(C243=0,0,E243/C243)</f>
        <v>-6.6912507890951364E-2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80117246</v>
      </c>
      <c r="D244" s="448">
        <v>72076598</v>
      </c>
      <c r="E244" s="441">
        <f>D244-C244</f>
        <v>-8040648</v>
      </c>
      <c r="F244" s="503">
        <f>IF(C244=0,0,E244/C244)</f>
        <v>-0.1003610134077749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643601</v>
      </c>
      <c r="D248" s="441">
        <v>579795</v>
      </c>
      <c r="E248" s="441">
        <f>D248-C248</f>
        <v>-63806</v>
      </c>
      <c r="F248" s="449">
        <f>IF(C248=0,0,E248/C248)</f>
        <v>-9.9139062866589703E-2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6456481</v>
      </c>
      <c r="D249" s="441">
        <v>5608309</v>
      </c>
      <c r="E249" s="441">
        <f>D249-C249</f>
        <v>-848172</v>
      </c>
      <c r="F249" s="449">
        <f>IF(C249=0,0,E249/C249)</f>
        <v>-0.131367535968897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7100082</v>
      </c>
      <c r="D250" s="441">
        <f>LN_IH4+LN_IH5</f>
        <v>6188104</v>
      </c>
      <c r="E250" s="441">
        <f>D250-C250</f>
        <v>-911978</v>
      </c>
      <c r="F250" s="449">
        <f>IF(C250=0,0,E250/C250)</f>
        <v>-0.12844612217154674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2192238.333350481</v>
      </c>
      <c r="D251" s="441">
        <f>LN_IH6*LN_III10</f>
        <v>2110886.0787426108</v>
      </c>
      <c r="E251" s="441">
        <f>D251-C251</f>
        <v>-81352.254607870243</v>
      </c>
      <c r="F251" s="449">
        <f>IF(C251=0,0,E251/C251)</f>
        <v>-3.7109220001429549E-2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20138628</v>
      </c>
      <c r="D254" s="441">
        <f>LN_IF23</f>
        <v>25712832</v>
      </c>
      <c r="E254" s="441">
        <f>D254-C254</f>
        <v>5574204</v>
      </c>
      <c r="F254" s="449">
        <f>IF(C254=0,0,E254/C254)</f>
        <v>0.27679164638226594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5233783</v>
      </c>
      <c r="D255" s="441">
        <f>LN_IF24</f>
        <v>6453290</v>
      </c>
      <c r="E255" s="441">
        <f>D255-C255</f>
        <v>1219507</v>
      </c>
      <c r="F255" s="449">
        <f>IF(C255=0,0,E255/C255)</f>
        <v>0.23300679451173273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6218051.0426056106</v>
      </c>
      <c r="D256" s="441">
        <f>LN_IH8*LN_III10</f>
        <v>8771161.4274497516</v>
      </c>
      <c r="E256" s="441">
        <f>D256-C256</f>
        <v>2553110.3848441411</v>
      </c>
      <c r="F256" s="449">
        <f>IF(C256=0,0,E256/C256)</f>
        <v>0.41059656270918715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984268.04260561056</v>
      </c>
      <c r="D257" s="441">
        <f>LN_IH10-LN_IH9</f>
        <v>2317871.4274497516</v>
      </c>
      <c r="E257" s="441">
        <f>D257-C257</f>
        <v>1333603.3848441411</v>
      </c>
      <c r="F257" s="449">
        <f>IF(C257=0,0,E257/C257)</f>
        <v>1.354918911431636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98180414</v>
      </c>
      <c r="D261" s="448">
        <f>LN_IA1+LN_IB1+LN_IF1+LN_IG1</f>
        <v>99249502</v>
      </c>
      <c r="E261" s="448">
        <f t="shared" ref="E261:E274" si="26">D261-C261</f>
        <v>1069088</v>
      </c>
      <c r="F261" s="503">
        <f t="shared" ref="F261:F274" si="27">IF(C261=0,0,E261/C261)</f>
        <v>1.0889014992338492E-2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34311088</v>
      </c>
      <c r="D262" s="448">
        <f>+LN_IA2+LN_IB2+LN_IF2+LN_IG2</f>
        <v>32479788</v>
      </c>
      <c r="E262" s="448">
        <f t="shared" si="26"/>
        <v>-1831300</v>
      </c>
      <c r="F262" s="503">
        <f t="shared" si="27"/>
        <v>-5.3373416780021665E-2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0.34946978325025191</v>
      </c>
      <c r="D263" s="453">
        <f>IF(LN_IIA1=0,0,LN_IIA2/LN_IIA1)</f>
        <v>0.3272539140800928</v>
      </c>
      <c r="E263" s="454">
        <f t="shared" si="26"/>
        <v>-2.2215869170159108E-2</v>
      </c>
      <c r="F263" s="458">
        <f t="shared" si="27"/>
        <v>-6.3570214750871726E-2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3348</v>
      </c>
      <c r="D264" s="456">
        <f>LN_IA4+LN_IB4+LN_IF4+LN_IG3</f>
        <v>3121</v>
      </c>
      <c r="E264" s="456">
        <f t="shared" si="26"/>
        <v>-227</v>
      </c>
      <c r="F264" s="503">
        <f t="shared" si="27"/>
        <v>-6.7801672640382324E-2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1.4130910991636796</v>
      </c>
      <c r="D265" s="525">
        <f>IF(LN_IIA4=0,0,LN_IIA6/LN_IIA4)</f>
        <v>1.4104924383210509</v>
      </c>
      <c r="E265" s="525">
        <f t="shared" si="26"/>
        <v>-2.5986608426287194E-3</v>
      </c>
      <c r="F265" s="503">
        <f t="shared" si="27"/>
        <v>-1.8389903129152143E-3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4731.0289999999995</v>
      </c>
      <c r="D266" s="463">
        <f>LN_IA6+LN_IB6+LN_IF6+LN_IG5</f>
        <v>4402.1468999999997</v>
      </c>
      <c r="E266" s="463">
        <f t="shared" si="26"/>
        <v>-328.88209999999981</v>
      </c>
      <c r="F266" s="503">
        <f t="shared" si="27"/>
        <v>-6.9515976334112481E-2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96733467</v>
      </c>
      <c r="D267" s="448">
        <f>LN_IA11+LN_IB13+LN_IF14+LN_IG9</f>
        <v>98054777</v>
      </c>
      <c r="E267" s="448">
        <f t="shared" si="26"/>
        <v>1321310</v>
      </c>
      <c r="F267" s="503">
        <f t="shared" si="27"/>
        <v>1.3659285053848013E-2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0.98526236607639484</v>
      </c>
      <c r="D268" s="453">
        <f>IF(LN_IIA1=0,0,LN_IIA7/LN_IIA1)</f>
        <v>0.98796240811364477</v>
      </c>
      <c r="E268" s="454">
        <f t="shared" si="26"/>
        <v>2.700042037249939E-3</v>
      </c>
      <c r="F268" s="458">
        <f t="shared" si="27"/>
        <v>2.7404294837752733E-3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33277271</v>
      </c>
      <c r="D269" s="448">
        <f>LN_IA12+LN_IB14+LN_IF15+LN_IG10</f>
        <v>32463951</v>
      </c>
      <c r="E269" s="448">
        <f t="shared" si="26"/>
        <v>-813320</v>
      </c>
      <c r="F269" s="503">
        <f t="shared" si="27"/>
        <v>-2.444070609035218E-2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0.34400990713999735</v>
      </c>
      <c r="D270" s="453">
        <f>IF(LN_IIA7=0,0,LN_IIA9/LN_IIA7)</f>
        <v>0.33107974943433915</v>
      </c>
      <c r="E270" s="454">
        <f t="shared" si="26"/>
        <v>-1.2930157705658196E-2</v>
      </c>
      <c r="F270" s="458">
        <f t="shared" si="27"/>
        <v>-3.7586585261906932E-2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194913881</v>
      </c>
      <c r="D271" s="441">
        <f>LN_IIA1+LN_IIA7</f>
        <v>197304279</v>
      </c>
      <c r="E271" s="441">
        <f t="shared" si="26"/>
        <v>2390398</v>
      </c>
      <c r="F271" s="503">
        <f t="shared" si="27"/>
        <v>1.2263867446156901E-2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67588359</v>
      </c>
      <c r="D272" s="441">
        <f>LN_IIA2+LN_IIA9</f>
        <v>64943739</v>
      </c>
      <c r="E272" s="441">
        <f t="shared" si="26"/>
        <v>-2644620</v>
      </c>
      <c r="F272" s="503">
        <f t="shared" si="27"/>
        <v>-3.9128335694612736E-2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0.34676011094356074</v>
      </c>
      <c r="D273" s="453">
        <f>IF(LN_IIA11=0,0,LN_IIA12/LN_IIA11)</f>
        <v>0.32915524857927686</v>
      </c>
      <c r="E273" s="454">
        <f t="shared" si="26"/>
        <v>-1.760486236428388E-2</v>
      </c>
      <c r="F273" s="458">
        <f t="shared" si="27"/>
        <v>-5.0769571841408477E-2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13603</v>
      </c>
      <c r="D274" s="508">
        <f>LN_IA8+LN_IB10+LN_IF11+LN_IG6</f>
        <v>12880</v>
      </c>
      <c r="E274" s="528">
        <f t="shared" si="26"/>
        <v>-723</v>
      </c>
      <c r="F274" s="458">
        <f t="shared" si="27"/>
        <v>-5.3150040432257593E-2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69941980</v>
      </c>
      <c r="D277" s="448">
        <f>LN_IA1+LN_IF1+LN_IG1</f>
        <v>72260010</v>
      </c>
      <c r="E277" s="448">
        <f t="shared" ref="E277:E291" si="28">D277-C277</f>
        <v>2318030</v>
      </c>
      <c r="F277" s="503">
        <f t="shared" ref="F277:F291" si="29">IF(C277=0,0,E277/C277)</f>
        <v>3.3142184422002348E-2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21865679</v>
      </c>
      <c r="D278" s="448">
        <f>LN_IA2+LN_IF2+LN_IG2</f>
        <v>21833058</v>
      </c>
      <c r="E278" s="448">
        <f t="shared" si="28"/>
        <v>-32621</v>
      </c>
      <c r="F278" s="503">
        <f t="shared" si="29"/>
        <v>-1.4918814092166998E-3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0.3126259651213763</v>
      </c>
      <c r="D279" s="453">
        <f>IF(D277=0,0,LN_IIB2/D277)</f>
        <v>0.30214579267287672</v>
      </c>
      <c r="E279" s="454">
        <f t="shared" si="28"/>
        <v>-1.0480172448499581E-2</v>
      </c>
      <c r="F279" s="458">
        <f t="shared" si="29"/>
        <v>-3.352303908739851E-2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2280</v>
      </c>
      <c r="D280" s="456">
        <f>LN_IA4+LN_IF4+LN_IG3</f>
        <v>2205</v>
      </c>
      <c r="E280" s="456">
        <f t="shared" si="28"/>
        <v>-75</v>
      </c>
      <c r="F280" s="503">
        <f t="shared" si="29"/>
        <v>-3.2894736842105261E-2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1.4453142982456142</v>
      </c>
      <c r="D281" s="525">
        <f>IF(LN_IIB4=0,0,LN_IIB6/LN_IIB4)</f>
        <v>1.4160974603174603</v>
      </c>
      <c r="E281" s="525">
        <f t="shared" si="28"/>
        <v>-2.9216837928153883E-2</v>
      </c>
      <c r="F281" s="503">
        <f t="shared" si="29"/>
        <v>-2.0214868118040873E-2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3295.3166000000001</v>
      </c>
      <c r="D282" s="463">
        <f>LN_IA6+LN_IF6+LN_IG5</f>
        <v>3122.4949000000001</v>
      </c>
      <c r="E282" s="463">
        <f t="shared" si="28"/>
        <v>-172.82169999999996</v>
      </c>
      <c r="F282" s="503">
        <f t="shared" si="29"/>
        <v>-5.2444642193105198E-2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46558333</v>
      </c>
      <c r="D283" s="448">
        <f>LN_IA11+LN_IF14+LN_IG9</f>
        <v>52060090</v>
      </c>
      <c r="E283" s="448">
        <f t="shared" si="28"/>
        <v>5501757</v>
      </c>
      <c r="F283" s="503">
        <f t="shared" si="29"/>
        <v>0.11816911486070603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0.66567078884526865</v>
      </c>
      <c r="D284" s="453">
        <f>IF(D277=0,0,LN_IIB7/D277)</f>
        <v>0.72045506221214195</v>
      </c>
      <c r="E284" s="454">
        <f t="shared" si="28"/>
        <v>5.4784273366873304E-2</v>
      </c>
      <c r="F284" s="458">
        <f t="shared" si="29"/>
        <v>8.2299350196674462E-2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11623504</v>
      </c>
      <c r="D285" s="448">
        <f>LN_IA12+LN_IF15+LN_IG10</f>
        <v>13266404</v>
      </c>
      <c r="E285" s="448">
        <f t="shared" si="28"/>
        <v>1642900</v>
      </c>
      <c r="F285" s="503">
        <f t="shared" si="29"/>
        <v>0.14134292034484611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0.24965464291859418</v>
      </c>
      <c r="D286" s="453">
        <f>IF(LN_IIB7=0,0,LN_IIB9/LN_IIB7)</f>
        <v>0.25482867970454909</v>
      </c>
      <c r="E286" s="454">
        <f t="shared" si="28"/>
        <v>5.1740367859549052E-3</v>
      </c>
      <c r="F286" s="458">
        <f t="shared" si="29"/>
        <v>2.0724776937723618E-2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116500313</v>
      </c>
      <c r="D287" s="441">
        <f>D277+LN_IIB7</f>
        <v>124320100</v>
      </c>
      <c r="E287" s="441">
        <f t="shared" si="28"/>
        <v>7819787</v>
      </c>
      <c r="F287" s="503">
        <f t="shared" si="29"/>
        <v>6.7122454855550476E-2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33489183</v>
      </c>
      <c r="D288" s="441">
        <f>LN_IIB2+LN_IIB9</f>
        <v>35099462</v>
      </c>
      <c r="E288" s="441">
        <f t="shared" si="28"/>
        <v>1610279</v>
      </c>
      <c r="F288" s="503">
        <f t="shared" si="29"/>
        <v>4.8083555815619627E-2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0.28746002596576714</v>
      </c>
      <c r="D289" s="453">
        <f>IF(LN_IIB11=0,0,LN_IIB12/LN_IIB11)</f>
        <v>0.28233135269357085</v>
      </c>
      <c r="E289" s="454">
        <f t="shared" si="28"/>
        <v>-5.1286732721962935E-3</v>
      </c>
      <c r="F289" s="458">
        <f t="shared" si="29"/>
        <v>-1.7841344218089836E-2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10146</v>
      </c>
      <c r="D290" s="508">
        <f>LN_IA8+LN_IF11+LN_IG6</f>
        <v>9812</v>
      </c>
      <c r="E290" s="528">
        <f t="shared" si="28"/>
        <v>-334</v>
      </c>
      <c r="F290" s="458">
        <f t="shared" si="29"/>
        <v>-3.2919377094421449E-2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83011130</v>
      </c>
      <c r="D291" s="516">
        <f>LN_IIB11-LN_IIB12</f>
        <v>89220638</v>
      </c>
      <c r="E291" s="441">
        <f t="shared" si="28"/>
        <v>6209508</v>
      </c>
      <c r="F291" s="503">
        <f t="shared" si="29"/>
        <v>7.4803318542947195E-2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4.5758329189457978</v>
      </c>
      <c r="D294" s="466">
        <f>IF(LN_IA4=0,0,LN_IA8/LN_IA4)</f>
        <v>4.4086770219603642</v>
      </c>
      <c r="E294" s="466">
        <f t="shared" ref="E294:E300" si="30">D294-C294</f>
        <v>-0.16715589698543365</v>
      </c>
      <c r="F294" s="503">
        <f t="shared" ref="F294:F300" si="31">IF(C294=0,0,E294/C294)</f>
        <v>-3.6530157448131609E-2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3.2368913857677901</v>
      </c>
      <c r="D295" s="466">
        <f>IF(LN_IB4=0,0,(LN_IB10)/(LN_IB4))</f>
        <v>3.3493449781659388</v>
      </c>
      <c r="E295" s="466">
        <f t="shared" si="30"/>
        <v>0.11245359239814867</v>
      </c>
      <c r="F295" s="503">
        <f t="shared" si="31"/>
        <v>3.4741231322309163E-2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3.5</v>
      </c>
      <c r="D296" s="466">
        <f>IF(LN_IC4=0,0,LN_IC11/LN_IC4)</f>
        <v>4.4363636363636365</v>
      </c>
      <c r="E296" s="466">
        <f t="shared" si="30"/>
        <v>0.93636363636363651</v>
      </c>
      <c r="F296" s="503">
        <f t="shared" si="31"/>
        <v>0.26753246753246757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3.5310077519379846</v>
      </c>
      <c r="D297" s="466">
        <f>IF(LN_ID4=0,0,LN_ID11/LN_ID4)</f>
        <v>4.681681681681682</v>
      </c>
      <c r="E297" s="466">
        <f t="shared" si="30"/>
        <v>1.1506739297436974</v>
      </c>
      <c r="F297" s="503">
        <f t="shared" si="31"/>
        <v>0.32587691972982868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6</v>
      </c>
      <c r="D298" s="466">
        <f>IF(LN_IE4=0,0,LN_IE11/LN_IE4)</f>
        <v>8</v>
      </c>
      <c r="E298" s="466">
        <f t="shared" si="30"/>
        <v>2</v>
      </c>
      <c r="F298" s="503">
        <f t="shared" si="31"/>
        <v>0.33333333333333331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2.7</v>
      </c>
      <c r="D299" s="466">
        <f>IF(LN_IG3=0,0,LN_IG6/LN_IG3)</f>
        <v>2</v>
      </c>
      <c r="E299" s="466">
        <f t="shared" si="30"/>
        <v>-0.70000000000000018</v>
      </c>
      <c r="F299" s="503">
        <f t="shared" si="31"/>
        <v>-0.2592592592592593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4.0630227001194745</v>
      </c>
      <c r="D300" s="466">
        <f>IF(LN_IIA4=0,0,LN_IIA14/LN_IIA4)</f>
        <v>4.1268824094841401</v>
      </c>
      <c r="E300" s="466">
        <f t="shared" si="30"/>
        <v>6.3859709364665562E-2</v>
      </c>
      <c r="F300" s="503">
        <f t="shared" si="31"/>
        <v>1.5717290814739417E-2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194913881</v>
      </c>
      <c r="D304" s="441">
        <f>LN_IIA11</f>
        <v>197304279</v>
      </c>
      <c r="E304" s="441">
        <f t="shared" ref="E304:E316" si="32">D304-C304</f>
        <v>2390398</v>
      </c>
      <c r="F304" s="449">
        <f>IF(C304=0,0,E304/C304)</f>
        <v>1.2263867446156901E-2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83011130</v>
      </c>
      <c r="D305" s="441">
        <f>LN_IIB14</f>
        <v>89220638</v>
      </c>
      <c r="E305" s="441">
        <f t="shared" si="32"/>
        <v>6209508</v>
      </c>
      <c r="F305" s="449">
        <f>IF(C305=0,0,E305/C305)</f>
        <v>7.4803318542947195E-2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7100082</v>
      </c>
      <c r="D306" s="441">
        <f>LN_IH6</f>
        <v>6188104</v>
      </c>
      <c r="E306" s="441">
        <f t="shared" si="32"/>
        <v>-911978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42980154</v>
      </c>
      <c r="D307" s="441">
        <f>LN_IB32-LN_IB33</f>
        <v>32429020</v>
      </c>
      <c r="E307" s="441">
        <f t="shared" si="32"/>
        <v>-10551134</v>
      </c>
      <c r="F307" s="449">
        <f t="shared" ref="F307:F316" si="33">IF(C307=0,0,E307/C307)</f>
        <v>-0.24548851081361878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1640438</v>
      </c>
      <c r="D308" s="441">
        <v>2162080</v>
      </c>
      <c r="E308" s="441">
        <f t="shared" si="32"/>
        <v>521642</v>
      </c>
      <c r="F308" s="449">
        <f t="shared" si="33"/>
        <v>0.3179894637895489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134731804</v>
      </c>
      <c r="D309" s="441">
        <f>LN_III2+LN_III3+LN_III4+LN_III5</f>
        <v>129999842</v>
      </c>
      <c r="E309" s="441">
        <f t="shared" si="32"/>
        <v>-4731962</v>
      </c>
      <c r="F309" s="449">
        <f t="shared" si="33"/>
        <v>-3.5121343732620103E-2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60182077</v>
      </c>
      <c r="D310" s="441">
        <f>LN_III1-LN_III6</f>
        <v>67304437</v>
      </c>
      <c r="E310" s="441">
        <f t="shared" si="32"/>
        <v>7122360</v>
      </c>
      <c r="F310" s="449">
        <f t="shared" si="33"/>
        <v>0.11834686263819044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60182077</v>
      </c>
      <c r="D312" s="441">
        <f>LN_III7+LN_III8</f>
        <v>67304437</v>
      </c>
      <c r="E312" s="441">
        <f t="shared" si="32"/>
        <v>7122360</v>
      </c>
      <c r="F312" s="449">
        <f t="shared" si="33"/>
        <v>0.11834686263819044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0.30876239645548897</v>
      </c>
      <c r="D313" s="532">
        <f>IF(LN_III1=0,0,LN_III9/LN_III1)</f>
        <v>0.34112000682965421</v>
      </c>
      <c r="E313" s="532">
        <f t="shared" si="32"/>
        <v>3.2357610374165235E-2</v>
      </c>
      <c r="F313" s="449">
        <f t="shared" si="33"/>
        <v>0.10479776924140402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2192238.333350481</v>
      </c>
      <c r="D314" s="441">
        <f>D313*LN_III5</f>
        <v>2110886.0787426108</v>
      </c>
      <c r="E314" s="441">
        <f t="shared" si="32"/>
        <v>-81352.254607870243</v>
      </c>
      <c r="F314" s="449">
        <f t="shared" si="33"/>
        <v>-3.7109220001429549E-2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984268.04260561056</v>
      </c>
      <c r="D315" s="441">
        <f>D313*LN_IH8-LN_IH9</f>
        <v>2317871.4274497516</v>
      </c>
      <c r="E315" s="441">
        <f t="shared" si="32"/>
        <v>1333603.3848441411</v>
      </c>
      <c r="F315" s="449">
        <f t="shared" si="33"/>
        <v>1.354918911431636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3176506.3759560916</v>
      </c>
      <c r="D318" s="441">
        <f>D314+D315+D316</f>
        <v>4428757.5061923619</v>
      </c>
      <c r="E318" s="441">
        <f>D318-C318</f>
        <v>1252251.1302362704</v>
      </c>
      <c r="F318" s="449">
        <f>IF(C318=0,0,E318/C318)</f>
        <v>0.39422276615432805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1529290.6801641495</v>
      </c>
      <c r="D322" s="441">
        <f>LN_ID22</f>
        <v>780700.54938608501</v>
      </c>
      <c r="E322" s="441">
        <f>LN_IV2-C322</f>
        <v>-748590.13077806449</v>
      </c>
      <c r="F322" s="449">
        <f>IF(C322=0,0,E322/C322)</f>
        <v>-0.48950153197671553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17858.252345214245</v>
      </c>
      <c r="D323" s="441">
        <f>LN_IE10+LN_IE22</f>
        <v>963.13381610812394</v>
      </c>
      <c r="E323" s="441">
        <f>LN_IV3-C323</f>
        <v>-16895.118529106119</v>
      </c>
      <c r="F323" s="449">
        <f>IF(C323=0,0,E323/C323)</f>
        <v>-0.94606785717381625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1796854.6065516619</v>
      </c>
      <c r="D324" s="441">
        <f>LN_IC10+LN_IC22</f>
        <v>1197822.869598622</v>
      </c>
      <c r="E324" s="441">
        <f>LN_IV1-C324</f>
        <v>-599031.73695303989</v>
      </c>
      <c r="F324" s="449">
        <f>IF(C324=0,0,E324/C324)</f>
        <v>-0.33337796768244921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3344003.5390610253</v>
      </c>
      <c r="D325" s="516">
        <f>LN_IV1+LN_IV2+LN_IV3</f>
        <v>1979486.5528008151</v>
      </c>
      <c r="E325" s="441">
        <f>LN_IV4-C325</f>
        <v>-1364516.9862602102</v>
      </c>
      <c r="F325" s="449">
        <f>IF(C325=0,0,E325/C325)</f>
        <v>-0.40804890614540373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2775412</v>
      </c>
      <c r="D329" s="518">
        <v>2162080</v>
      </c>
      <c r="E329" s="518">
        <f t="shared" ref="E329:E335" si="34">D329-C329</f>
        <v>-613332</v>
      </c>
      <c r="F329" s="542">
        <f t="shared" ref="F329:F335" si="35">IF(C329=0,0,E329/C329)</f>
        <v>-0.22098773083059381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2314956</v>
      </c>
      <c r="D330" s="516">
        <v>-1442946</v>
      </c>
      <c r="E330" s="518">
        <f t="shared" si="34"/>
        <v>-3757902</v>
      </c>
      <c r="F330" s="543">
        <f t="shared" si="35"/>
        <v>-1.623314654792575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69903315</v>
      </c>
      <c r="D331" s="516">
        <v>63500794</v>
      </c>
      <c r="E331" s="518">
        <f t="shared" si="34"/>
        <v>-6402521</v>
      </c>
      <c r="F331" s="542">
        <f t="shared" si="35"/>
        <v>-9.1591092639884103E-2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194913879</v>
      </c>
      <c r="D333" s="516">
        <v>197304279</v>
      </c>
      <c r="E333" s="518">
        <f t="shared" si="34"/>
        <v>2390400</v>
      </c>
      <c r="F333" s="542">
        <f t="shared" si="35"/>
        <v>1.2263877832937694E-2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7100082</v>
      </c>
      <c r="D335" s="516">
        <v>6188104</v>
      </c>
      <c r="E335" s="516">
        <f t="shared" si="34"/>
        <v>-911978</v>
      </c>
      <c r="F335" s="542">
        <f t="shared" si="35"/>
        <v>-0.12844612217154674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FILING&amp;RMILFORD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28238434</v>
      </c>
      <c r="D14" s="589">
        <v>26989492</v>
      </c>
      <c r="E14" s="590">
        <f t="shared" ref="E14:E22" si="0">D14-C14</f>
        <v>-1248942</v>
      </c>
    </row>
    <row r="15" spans="1:5" s="421" customFormat="1" x14ac:dyDescent="0.2">
      <c r="A15" s="588">
        <v>2</v>
      </c>
      <c r="B15" s="587" t="s">
        <v>636</v>
      </c>
      <c r="C15" s="589">
        <v>64511512</v>
      </c>
      <c r="D15" s="591">
        <v>63576740</v>
      </c>
      <c r="E15" s="590">
        <f t="shared" si="0"/>
        <v>-934772</v>
      </c>
    </row>
    <row r="16" spans="1:5" s="421" customFormat="1" x14ac:dyDescent="0.2">
      <c r="A16" s="588">
        <v>3</v>
      </c>
      <c r="B16" s="587" t="s">
        <v>778</v>
      </c>
      <c r="C16" s="589">
        <v>5255694</v>
      </c>
      <c r="D16" s="591">
        <v>8563922</v>
      </c>
      <c r="E16" s="590">
        <f t="shared" si="0"/>
        <v>3308228</v>
      </c>
    </row>
    <row r="17" spans="1:5" s="421" customFormat="1" x14ac:dyDescent="0.2">
      <c r="A17" s="588">
        <v>4</v>
      </c>
      <c r="B17" s="587" t="s">
        <v>115</v>
      </c>
      <c r="C17" s="589">
        <v>5224360</v>
      </c>
      <c r="D17" s="591">
        <v>8491118</v>
      </c>
      <c r="E17" s="590">
        <f t="shared" si="0"/>
        <v>3266758</v>
      </c>
    </row>
    <row r="18" spans="1:5" s="421" customFormat="1" x14ac:dyDescent="0.2">
      <c r="A18" s="588">
        <v>5</v>
      </c>
      <c r="B18" s="587" t="s">
        <v>744</v>
      </c>
      <c r="C18" s="589">
        <v>31334</v>
      </c>
      <c r="D18" s="591">
        <v>72804</v>
      </c>
      <c r="E18" s="590">
        <f t="shared" si="0"/>
        <v>41470</v>
      </c>
    </row>
    <row r="19" spans="1:5" s="421" customFormat="1" x14ac:dyDescent="0.2">
      <c r="A19" s="588">
        <v>6</v>
      </c>
      <c r="B19" s="587" t="s">
        <v>424</v>
      </c>
      <c r="C19" s="589">
        <v>174774</v>
      </c>
      <c r="D19" s="591">
        <v>119348</v>
      </c>
      <c r="E19" s="590">
        <f t="shared" si="0"/>
        <v>-55426</v>
      </c>
    </row>
    <row r="20" spans="1:5" s="421" customFormat="1" x14ac:dyDescent="0.2">
      <c r="A20" s="588">
        <v>7</v>
      </c>
      <c r="B20" s="587" t="s">
        <v>759</v>
      </c>
      <c r="C20" s="589">
        <v>1363537</v>
      </c>
      <c r="D20" s="591">
        <v>1574728</v>
      </c>
      <c r="E20" s="590">
        <f t="shared" si="0"/>
        <v>211191</v>
      </c>
    </row>
    <row r="21" spans="1:5" s="421" customFormat="1" x14ac:dyDescent="0.2">
      <c r="A21" s="588"/>
      <c r="B21" s="592" t="s">
        <v>779</v>
      </c>
      <c r="C21" s="593">
        <f>SUM(C15+C16+C19)</f>
        <v>69941980</v>
      </c>
      <c r="D21" s="593">
        <f>SUM(D15+D16+D19)</f>
        <v>72260010</v>
      </c>
      <c r="E21" s="593">
        <f t="shared" si="0"/>
        <v>2318030</v>
      </c>
    </row>
    <row r="22" spans="1:5" s="421" customFormat="1" x14ac:dyDescent="0.2">
      <c r="A22" s="588"/>
      <c r="B22" s="592" t="s">
        <v>465</v>
      </c>
      <c r="C22" s="593">
        <f>SUM(C14+C21)</f>
        <v>98180414</v>
      </c>
      <c r="D22" s="593">
        <f>SUM(D14+D21)</f>
        <v>99249502</v>
      </c>
      <c r="E22" s="593">
        <f t="shared" si="0"/>
        <v>1069088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50175134</v>
      </c>
      <c r="D25" s="589">
        <v>45994687</v>
      </c>
      <c r="E25" s="590">
        <f t="shared" ref="E25:E33" si="1">D25-C25</f>
        <v>-4180447</v>
      </c>
    </row>
    <row r="26" spans="1:5" s="421" customFormat="1" x14ac:dyDescent="0.2">
      <c r="A26" s="588">
        <v>2</v>
      </c>
      <c r="B26" s="587" t="s">
        <v>636</v>
      </c>
      <c r="C26" s="589">
        <v>31444255</v>
      </c>
      <c r="D26" s="591">
        <v>34730744</v>
      </c>
      <c r="E26" s="590">
        <f t="shared" si="1"/>
        <v>3286489</v>
      </c>
    </row>
    <row r="27" spans="1:5" s="421" customFormat="1" x14ac:dyDescent="0.2">
      <c r="A27" s="588">
        <v>3</v>
      </c>
      <c r="B27" s="587" t="s">
        <v>778</v>
      </c>
      <c r="C27" s="589">
        <v>14882934</v>
      </c>
      <c r="D27" s="591">
        <v>17148910</v>
      </c>
      <c r="E27" s="590">
        <f t="shared" si="1"/>
        <v>2265976</v>
      </c>
    </row>
    <row r="28" spans="1:5" s="421" customFormat="1" x14ac:dyDescent="0.2">
      <c r="A28" s="588">
        <v>4</v>
      </c>
      <c r="B28" s="587" t="s">
        <v>115</v>
      </c>
      <c r="C28" s="589">
        <v>14684173</v>
      </c>
      <c r="D28" s="591">
        <v>16965353</v>
      </c>
      <c r="E28" s="590">
        <f t="shared" si="1"/>
        <v>2281180</v>
      </c>
    </row>
    <row r="29" spans="1:5" s="421" customFormat="1" x14ac:dyDescent="0.2">
      <c r="A29" s="588">
        <v>5</v>
      </c>
      <c r="B29" s="587" t="s">
        <v>744</v>
      </c>
      <c r="C29" s="589">
        <v>198761</v>
      </c>
      <c r="D29" s="591">
        <v>183557</v>
      </c>
      <c r="E29" s="590">
        <f t="shared" si="1"/>
        <v>-15204</v>
      </c>
    </row>
    <row r="30" spans="1:5" s="421" customFormat="1" x14ac:dyDescent="0.2">
      <c r="A30" s="588">
        <v>6</v>
      </c>
      <c r="B30" s="587" t="s">
        <v>424</v>
      </c>
      <c r="C30" s="589">
        <v>231144</v>
      </c>
      <c r="D30" s="591">
        <v>180436</v>
      </c>
      <c r="E30" s="590">
        <f t="shared" si="1"/>
        <v>-50708</v>
      </c>
    </row>
    <row r="31" spans="1:5" s="421" customFormat="1" x14ac:dyDescent="0.2">
      <c r="A31" s="588">
        <v>7</v>
      </c>
      <c r="B31" s="587" t="s">
        <v>759</v>
      </c>
      <c r="C31" s="590">
        <v>5507937</v>
      </c>
      <c r="D31" s="594">
        <v>3025507</v>
      </c>
      <c r="E31" s="590">
        <f t="shared" si="1"/>
        <v>-2482430</v>
      </c>
    </row>
    <row r="32" spans="1:5" s="421" customFormat="1" x14ac:dyDescent="0.2">
      <c r="A32" s="588"/>
      <c r="B32" s="592" t="s">
        <v>781</v>
      </c>
      <c r="C32" s="593">
        <f>SUM(C26+C27+C30)</f>
        <v>46558333</v>
      </c>
      <c r="D32" s="593">
        <f>SUM(D26+D27+D30)</f>
        <v>52060090</v>
      </c>
      <c r="E32" s="593">
        <f t="shared" si="1"/>
        <v>5501757</v>
      </c>
    </row>
    <row r="33" spans="1:5" s="421" customFormat="1" x14ac:dyDescent="0.2">
      <c r="A33" s="588"/>
      <c r="B33" s="592" t="s">
        <v>467</v>
      </c>
      <c r="C33" s="593">
        <f>SUM(C25+C32)</f>
        <v>96733467</v>
      </c>
      <c r="D33" s="593">
        <f>SUM(D25+D32)</f>
        <v>98054777</v>
      </c>
      <c r="E33" s="593">
        <f t="shared" si="1"/>
        <v>1321310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78413568</v>
      </c>
      <c r="D36" s="590">
        <f t="shared" si="2"/>
        <v>72984179</v>
      </c>
      <c r="E36" s="590">
        <f t="shared" ref="E36:E44" si="3">D36-C36</f>
        <v>-5429389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95955767</v>
      </c>
      <c r="D37" s="590">
        <f t="shared" si="2"/>
        <v>98307484</v>
      </c>
      <c r="E37" s="590">
        <f t="shared" si="3"/>
        <v>2351717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20138628</v>
      </c>
      <c r="D38" s="590">
        <f t="shared" si="2"/>
        <v>25712832</v>
      </c>
      <c r="E38" s="590">
        <f t="shared" si="3"/>
        <v>5574204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19908533</v>
      </c>
      <c r="D39" s="590">
        <f t="shared" si="2"/>
        <v>25456471</v>
      </c>
      <c r="E39" s="590">
        <f t="shared" si="3"/>
        <v>5547938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230095</v>
      </c>
      <c r="D40" s="590">
        <f t="shared" si="2"/>
        <v>256361</v>
      </c>
      <c r="E40" s="590">
        <f t="shared" si="3"/>
        <v>26266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405918</v>
      </c>
      <c r="D41" s="590">
        <f t="shared" si="2"/>
        <v>299784</v>
      </c>
      <c r="E41" s="590">
        <f t="shared" si="3"/>
        <v>-106134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6871474</v>
      </c>
      <c r="D42" s="590">
        <f t="shared" si="2"/>
        <v>4600235</v>
      </c>
      <c r="E42" s="590">
        <f t="shared" si="3"/>
        <v>-2271239</v>
      </c>
    </row>
    <row r="43" spans="1:5" s="421" customFormat="1" x14ac:dyDescent="0.2">
      <c r="A43" s="588"/>
      <c r="B43" s="592" t="s">
        <v>789</v>
      </c>
      <c r="C43" s="593">
        <f>SUM(C37+C38+C41)</f>
        <v>116500313</v>
      </c>
      <c r="D43" s="593">
        <f>SUM(D37+D38+D41)</f>
        <v>124320100</v>
      </c>
      <c r="E43" s="593">
        <f t="shared" si="3"/>
        <v>7819787</v>
      </c>
    </row>
    <row r="44" spans="1:5" s="421" customFormat="1" x14ac:dyDescent="0.2">
      <c r="A44" s="588"/>
      <c r="B44" s="592" t="s">
        <v>726</v>
      </c>
      <c r="C44" s="593">
        <f>SUM(C36+C43)</f>
        <v>194913881</v>
      </c>
      <c r="D44" s="593">
        <f>SUM(D36+D43)</f>
        <v>197304279</v>
      </c>
      <c r="E44" s="593">
        <f t="shared" si="3"/>
        <v>2390398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12445409</v>
      </c>
      <c r="D47" s="589">
        <v>10646730</v>
      </c>
      <c r="E47" s="590">
        <f t="shared" ref="E47:E55" si="4">D47-C47</f>
        <v>-1798679</v>
      </c>
    </row>
    <row r="48" spans="1:5" s="421" customFormat="1" x14ac:dyDescent="0.2">
      <c r="A48" s="588">
        <v>2</v>
      </c>
      <c r="B48" s="587" t="s">
        <v>636</v>
      </c>
      <c r="C48" s="589">
        <v>20627247</v>
      </c>
      <c r="D48" s="591">
        <v>20112609</v>
      </c>
      <c r="E48" s="590">
        <f t="shared" si="4"/>
        <v>-514638</v>
      </c>
    </row>
    <row r="49" spans="1:5" s="421" customFormat="1" x14ac:dyDescent="0.2">
      <c r="A49" s="588">
        <v>3</v>
      </c>
      <c r="B49" s="587" t="s">
        <v>778</v>
      </c>
      <c r="C49" s="589">
        <v>1174836</v>
      </c>
      <c r="D49" s="591">
        <v>1687335</v>
      </c>
      <c r="E49" s="590">
        <f t="shared" si="4"/>
        <v>512499</v>
      </c>
    </row>
    <row r="50" spans="1:5" s="421" customFormat="1" x14ac:dyDescent="0.2">
      <c r="A50" s="588">
        <v>4</v>
      </c>
      <c r="B50" s="587" t="s">
        <v>115</v>
      </c>
      <c r="C50" s="589">
        <v>1168773</v>
      </c>
      <c r="D50" s="591">
        <v>1668745</v>
      </c>
      <c r="E50" s="590">
        <f t="shared" si="4"/>
        <v>499972</v>
      </c>
    </row>
    <row r="51" spans="1:5" s="421" customFormat="1" x14ac:dyDescent="0.2">
      <c r="A51" s="588">
        <v>5</v>
      </c>
      <c r="B51" s="587" t="s">
        <v>744</v>
      </c>
      <c r="C51" s="589">
        <v>6063</v>
      </c>
      <c r="D51" s="591">
        <v>18590</v>
      </c>
      <c r="E51" s="590">
        <f t="shared" si="4"/>
        <v>12527</v>
      </c>
    </row>
    <row r="52" spans="1:5" s="421" customFormat="1" x14ac:dyDescent="0.2">
      <c r="A52" s="588">
        <v>6</v>
      </c>
      <c r="B52" s="587" t="s">
        <v>424</v>
      </c>
      <c r="C52" s="589">
        <v>63596</v>
      </c>
      <c r="D52" s="591">
        <v>33114</v>
      </c>
      <c r="E52" s="590">
        <f t="shared" si="4"/>
        <v>-30482</v>
      </c>
    </row>
    <row r="53" spans="1:5" s="421" customFormat="1" x14ac:dyDescent="0.2">
      <c r="A53" s="588">
        <v>7</v>
      </c>
      <c r="B53" s="587" t="s">
        <v>759</v>
      </c>
      <c r="C53" s="589">
        <v>14362</v>
      </c>
      <c r="D53" s="591">
        <v>56740</v>
      </c>
      <c r="E53" s="590">
        <f t="shared" si="4"/>
        <v>42378</v>
      </c>
    </row>
    <row r="54" spans="1:5" s="421" customFormat="1" x14ac:dyDescent="0.2">
      <c r="A54" s="588"/>
      <c r="B54" s="592" t="s">
        <v>791</v>
      </c>
      <c r="C54" s="593">
        <f>SUM(C48+C49+C52)</f>
        <v>21865679</v>
      </c>
      <c r="D54" s="593">
        <f>SUM(D48+D49+D52)</f>
        <v>21833058</v>
      </c>
      <c r="E54" s="593">
        <f t="shared" si="4"/>
        <v>-32621</v>
      </c>
    </row>
    <row r="55" spans="1:5" s="421" customFormat="1" x14ac:dyDescent="0.2">
      <c r="A55" s="588"/>
      <c r="B55" s="592" t="s">
        <v>466</v>
      </c>
      <c r="C55" s="593">
        <f>SUM(C47+C54)</f>
        <v>34311088</v>
      </c>
      <c r="D55" s="593">
        <f>SUM(D47+D54)</f>
        <v>32479788</v>
      </c>
      <c r="E55" s="593">
        <f t="shared" si="4"/>
        <v>-1831300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21653767</v>
      </c>
      <c r="D58" s="589">
        <v>19197547</v>
      </c>
      <c r="E58" s="590">
        <f t="shared" ref="E58:E66" si="5">D58-C58</f>
        <v>-2456220</v>
      </c>
    </row>
    <row r="59" spans="1:5" s="421" customFormat="1" x14ac:dyDescent="0.2">
      <c r="A59" s="588">
        <v>2</v>
      </c>
      <c r="B59" s="587" t="s">
        <v>636</v>
      </c>
      <c r="C59" s="589">
        <v>7503025</v>
      </c>
      <c r="D59" s="591">
        <v>8449365</v>
      </c>
      <c r="E59" s="590">
        <f t="shared" si="5"/>
        <v>946340</v>
      </c>
    </row>
    <row r="60" spans="1:5" s="421" customFormat="1" x14ac:dyDescent="0.2">
      <c r="A60" s="588">
        <v>3</v>
      </c>
      <c r="B60" s="587" t="s">
        <v>778</v>
      </c>
      <c r="C60" s="589">
        <f>C61+C62</f>
        <v>4058947</v>
      </c>
      <c r="D60" s="591">
        <f>D61+D62</f>
        <v>4765955</v>
      </c>
      <c r="E60" s="590">
        <f t="shared" si="5"/>
        <v>707008</v>
      </c>
    </row>
    <row r="61" spans="1:5" s="421" customFormat="1" x14ac:dyDescent="0.2">
      <c r="A61" s="588">
        <v>4</v>
      </c>
      <c r="B61" s="587" t="s">
        <v>115</v>
      </c>
      <c r="C61" s="589">
        <v>4021519</v>
      </c>
      <c r="D61" s="591">
        <v>4731261</v>
      </c>
      <c r="E61" s="590">
        <f t="shared" si="5"/>
        <v>709742</v>
      </c>
    </row>
    <row r="62" spans="1:5" s="421" customFormat="1" x14ac:dyDescent="0.2">
      <c r="A62" s="588">
        <v>5</v>
      </c>
      <c r="B62" s="587" t="s">
        <v>744</v>
      </c>
      <c r="C62" s="589">
        <v>37428</v>
      </c>
      <c r="D62" s="591">
        <v>34694</v>
      </c>
      <c r="E62" s="590">
        <f t="shared" si="5"/>
        <v>-2734</v>
      </c>
    </row>
    <row r="63" spans="1:5" s="421" customFormat="1" x14ac:dyDescent="0.2">
      <c r="A63" s="588">
        <v>6</v>
      </c>
      <c r="B63" s="587" t="s">
        <v>424</v>
      </c>
      <c r="C63" s="589">
        <v>61532</v>
      </c>
      <c r="D63" s="591">
        <v>51084</v>
      </c>
      <c r="E63" s="590">
        <f t="shared" si="5"/>
        <v>-10448</v>
      </c>
    </row>
    <row r="64" spans="1:5" s="421" customFormat="1" x14ac:dyDescent="0.2">
      <c r="A64" s="588">
        <v>7</v>
      </c>
      <c r="B64" s="587" t="s">
        <v>759</v>
      </c>
      <c r="C64" s="589">
        <v>63231</v>
      </c>
      <c r="D64" s="591">
        <v>134197</v>
      </c>
      <c r="E64" s="590">
        <f t="shared" si="5"/>
        <v>70966</v>
      </c>
    </row>
    <row r="65" spans="1:5" s="421" customFormat="1" x14ac:dyDescent="0.2">
      <c r="A65" s="588"/>
      <c r="B65" s="592" t="s">
        <v>793</v>
      </c>
      <c r="C65" s="593">
        <f>SUM(C59+C60+C63)</f>
        <v>11623504</v>
      </c>
      <c r="D65" s="593">
        <f>SUM(D59+D60+D63)</f>
        <v>13266404</v>
      </c>
      <c r="E65" s="593">
        <f t="shared" si="5"/>
        <v>1642900</v>
      </c>
    </row>
    <row r="66" spans="1:5" s="421" customFormat="1" x14ac:dyDescent="0.2">
      <c r="A66" s="588"/>
      <c r="B66" s="592" t="s">
        <v>468</v>
      </c>
      <c r="C66" s="593">
        <f>SUM(C58+C65)</f>
        <v>33277271</v>
      </c>
      <c r="D66" s="593">
        <f>SUM(D58+D65)</f>
        <v>32463951</v>
      </c>
      <c r="E66" s="593">
        <f t="shared" si="5"/>
        <v>-813320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34099176</v>
      </c>
      <c r="D69" s="590">
        <f t="shared" si="6"/>
        <v>29844277</v>
      </c>
      <c r="E69" s="590">
        <f t="shared" ref="E69:E77" si="7">D69-C69</f>
        <v>-4254899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28130272</v>
      </c>
      <c r="D70" s="590">
        <f t="shared" si="6"/>
        <v>28561974</v>
      </c>
      <c r="E70" s="590">
        <f t="shared" si="7"/>
        <v>431702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5233783</v>
      </c>
      <c r="D71" s="590">
        <f t="shared" si="6"/>
        <v>6453290</v>
      </c>
      <c r="E71" s="590">
        <f t="shared" si="7"/>
        <v>1219507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5190292</v>
      </c>
      <c r="D72" s="590">
        <f t="shared" si="6"/>
        <v>6400006</v>
      </c>
      <c r="E72" s="590">
        <f t="shared" si="7"/>
        <v>1209714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43491</v>
      </c>
      <c r="D73" s="590">
        <f t="shared" si="6"/>
        <v>53284</v>
      </c>
      <c r="E73" s="590">
        <f t="shared" si="7"/>
        <v>9793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125128</v>
      </c>
      <c r="D74" s="590">
        <f t="shared" si="6"/>
        <v>84198</v>
      </c>
      <c r="E74" s="590">
        <f t="shared" si="7"/>
        <v>-40930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77593</v>
      </c>
      <c r="D75" s="590">
        <f t="shared" si="6"/>
        <v>190937</v>
      </c>
      <c r="E75" s="590">
        <f t="shared" si="7"/>
        <v>113344</v>
      </c>
    </row>
    <row r="76" spans="1:5" s="421" customFormat="1" x14ac:dyDescent="0.2">
      <c r="A76" s="588"/>
      <c r="B76" s="592" t="s">
        <v>794</v>
      </c>
      <c r="C76" s="593">
        <f>SUM(C70+C71+C74)</f>
        <v>33489183</v>
      </c>
      <c r="D76" s="593">
        <f>SUM(D70+D71+D74)</f>
        <v>35099462</v>
      </c>
      <c r="E76" s="593">
        <f t="shared" si="7"/>
        <v>1610279</v>
      </c>
    </row>
    <row r="77" spans="1:5" s="421" customFormat="1" x14ac:dyDescent="0.2">
      <c r="A77" s="588"/>
      <c r="B77" s="592" t="s">
        <v>727</v>
      </c>
      <c r="C77" s="593">
        <f>SUM(C69+C76)</f>
        <v>67588359</v>
      </c>
      <c r="D77" s="593">
        <f>SUM(D69+D76)</f>
        <v>64943739</v>
      </c>
      <c r="E77" s="593">
        <f t="shared" si="7"/>
        <v>-2644620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0.14487646469878665</v>
      </c>
      <c r="D83" s="599">
        <f t="shared" si="8"/>
        <v>0.13679121475110026</v>
      </c>
      <c r="E83" s="599">
        <f t="shared" ref="E83:E91" si="9">D83-C83</f>
        <v>-8.0852499476863904E-3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0.33097443685911726</v>
      </c>
      <c r="D84" s="599">
        <f t="shared" si="8"/>
        <v>0.32222686868337003</v>
      </c>
      <c r="E84" s="599">
        <f t="shared" si="9"/>
        <v>-8.7475681757472334E-3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2.6964185275239583E-2</v>
      </c>
      <c r="D85" s="599">
        <f t="shared" si="8"/>
        <v>4.3404644052347188E-2</v>
      </c>
      <c r="E85" s="599">
        <f t="shared" si="9"/>
        <v>1.6440458777107606E-2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2.6803427099171044E-2</v>
      </c>
      <c r="D86" s="599">
        <f t="shared" si="8"/>
        <v>4.303565053447219E-2</v>
      </c>
      <c r="E86" s="599">
        <f t="shared" si="9"/>
        <v>1.6232223435301146E-2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1.6075817606853767E-4</v>
      </c>
      <c r="D87" s="599">
        <f t="shared" si="8"/>
        <v>3.6899351787499752E-4</v>
      </c>
      <c r="E87" s="599">
        <f t="shared" si="9"/>
        <v>2.0823534180645985E-4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8.9667292602931654E-4</v>
      </c>
      <c r="D88" s="599">
        <f t="shared" si="8"/>
        <v>6.0489311536928196E-4</v>
      </c>
      <c r="E88" s="599">
        <f t="shared" si="9"/>
        <v>-2.9177981066003458E-4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6.9955869382129846E-3</v>
      </c>
      <c r="D89" s="599">
        <f t="shared" si="8"/>
        <v>7.9812156532094274E-3</v>
      </c>
      <c r="E89" s="599">
        <f t="shared" si="9"/>
        <v>9.8562871499644281E-4</v>
      </c>
    </row>
    <row r="90" spans="1:5" s="421" customFormat="1" x14ac:dyDescent="0.2">
      <c r="A90" s="588"/>
      <c r="B90" s="592" t="s">
        <v>797</v>
      </c>
      <c r="C90" s="600">
        <f>SUM(C84+C85+C88)</f>
        <v>0.35883529506038614</v>
      </c>
      <c r="D90" s="600">
        <f>SUM(D84+D85+D88)</f>
        <v>0.36623640585108647</v>
      </c>
      <c r="E90" s="601">
        <f t="shared" si="9"/>
        <v>7.4011107907003271E-3</v>
      </c>
    </row>
    <row r="91" spans="1:5" s="421" customFormat="1" x14ac:dyDescent="0.2">
      <c r="A91" s="588"/>
      <c r="B91" s="592" t="s">
        <v>798</v>
      </c>
      <c r="C91" s="600">
        <f>SUM(C83+C90)</f>
        <v>0.50371175975917282</v>
      </c>
      <c r="D91" s="600">
        <f>SUM(D83+D90)</f>
        <v>0.50302762060218675</v>
      </c>
      <c r="E91" s="601">
        <f t="shared" si="9"/>
        <v>-6.8413915698606331E-4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0.25742206631245518</v>
      </c>
      <c r="D95" s="599">
        <f t="shared" si="10"/>
        <v>0.23311550683601748</v>
      </c>
      <c r="E95" s="599">
        <f t="shared" ref="E95:E103" si="11">D95-C95</f>
        <v>-2.43065594764377E-2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0.16132383614074156</v>
      </c>
      <c r="D96" s="599">
        <f t="shared" si="10"/>
        <v>0.17602630908982972</v>
      </c>
      <c r="E96" s="599">
        <f t="shared" si="11"/>
        <v>1.4702472949088163E-2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7.6356460215370708E-2</v>
      </c>
      <c r="D97" s="599">
        <f t="shared" si="10"/>
        <v>8.6916057203199323E-2</v>
      </c>
      <c r="E97" s="599">
        <f t="shared" si="11"/>
        <v>1.0559596987828615E-2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7.5336722683183352E-2</v>
      </c>
      <c r="D98" s="599">
        <f t="shared" si="10"/>
        <v>8.5985732727063668E-2</v>
      </c>
      <c r="E98" s="599">
        <f t="shared" si="11"/>
        <v>1.0649010043880316E-2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1.0197375321873562E-3</v>
      </c>
      <c r="D99" s="599">
        <f t="shared" si="10"/>
        <v>9.3032447613566459E-4</v>
      </c>
      <c r="E99" s="599">
        <f t="shared" si="11"/>
        <v>-8.9413056051691601E-5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1.1858775722597202E-3</v>
      </c>
      <c r="D100" s="599">
        <f t="shared" si="10"/>
        <v>9.1450626876673059E-4</v>
      </c>
      <c r="E100" s="599">
        <f t="shared" si="11"/>
        <v>-2.713713034929896E-4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2.8258310653616302E-2</v>
      </c>
      <c r="D101" s="599">
        <f t="shared" si="10"/>
        <v>1.5334218879257049E-2</v>
      </c>
      <c r="E101" s="599">
        <f t="shared" si="11"/>
        <v>-1.2924091774359252E-2</v>
      </c>
    </row>
    <row r="102" spans="1:5" s="421" customFormat="1" x14ac:dyDescent="0.2">
      <c r="A102" s="588"/>
      <c r="B102" s="592" t="s">
        <v>800</v>
      </c>
      <c r="C102" s="600">
        <f>SUM(C96+C97+C100)</f>
        <v>0.23886617392837198</v>
      </c>
      <c r="D102" s="600">
        <f>SUM(D96+D97+D100)</f>
        <v>0.26385687256179574</v>
      </c>
      <c r="E102" s="601">
        <f t="shared" si="11"/>
        <v>2.4990698633423764E-2</v>
      </c>
    </row>
    <row r="103" spans="1:5" s="421" customFormat="1" x14ac:dyDescent="0.2">
      <c r="A103" s="588"/>
      <c r="B103" s="592" t="s">
        <v>801</v>
      </c>
      <c r="C103" s="600">
        <f>SUM(C95+C102)</f>
        <v>0.49628824024082718</v>
      </c>
      <c r="D103" s="600">
        <f>SUM(D95+D102)</f>
        <v>0.49697237939781325</v>
      </c>
      <c r="E103" s="601">
        <f t="shared" si="11"/>
        <v>6.8413915698606331E-4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0.18413539230919929</v>
      </c>
      <c r="D109" s="599">
        <f t="shared" si="12"/>
        <v>0.16393774309791434</v>
      </c>
      <c r="E109" s="599">
        <f t="shared" ref="E109:E117" si="13">D109-C109</f>
        <v>-2.0197649211284946E-2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0.30518934481010257</v>
      </c>
      <c r="D110" s="599">
        <f t="shared" si="12"/>
        <v>0.30969280964867146</v>
      </c>
      <c r="E110" s="599">
        <f t="shared" si="13"/>
        <v>4.5034648385688936E-3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1.7382224060211317E-2</v>
      </c>
      <c r="D111" s="599">
        <f t="shared" si="12"/>
        <v>2.5981488377193683E-2</v>
      </c>
      <c r="E111" s="599">
        <f t="shared" si="13"/>
        <v>8.5992643169823663E-3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1.7292519263561349E-2</v>
      </c>
      <c r="D112" s="599">
        <f t="shared" si="12"/>
        <v>2.5695240614341593E-2</v>
      </c>
      <c r="E112" s="599">
        <f t="shared" si="13"/>
        <v>8.4027213507802435E-3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8.9704796649967491E-5</v>
      </c>
      <c r="D113" s="599">
        <f t="shared" si="12"/>
        <v>2.8624776285208955E-4</v>
      </c>
      <c r="E113" s="599">
        <f t="shared" si="13"/>
        <v>1.9654296620212207E-4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9.4093126303007298E-4</v>
      </c>
      <c r="D114" s="599">
        <f t="shared" si="12"/>
        <v>5.0988748892329713E-4</v>
      </c>
      <c r="E114" s="599">
        <f t="shared" si="13"/>
        <v>-4.3104377410677585E-4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2.1249221334105774E-4</v>
      </c>
      <c r="D115" s="599">
        <f t="shared" si="12"/>
        <v>8.7367929339578058E-4</v>
      </c>
      <c r="E115" s="599">
        <f t="shared" si="13"/>
        <v>6.6118708005472287E-4</v>
      </c>
    </row>
    <row r="116" spans="1:5" s="421" customFormat="1" x14ac:dyDescent="0.2">
      <c r="A116" s="588"/>
      <c r="B116" s="592" t="s">
        <v>797</v>
      </c>
      <c r="C116" s="600">
        <f>SUM(C110+C111+C114)</f>
        <v>0.32351250013334398</v>
      </c>
      <c r="D116" s="600">
        <f>SUM(D110+D111+D114)</f>
        <v>0.3361841855147884</v>
      </c>
      <c r="E116" s="601">
        <f t="shared" si="13"/>
        <v>1.267168538144442E-2</v>
      </c>
    </row>
    <row r="117" spans="1:5" s="421" customFormat="1" x14ac:dyDescent="0.2">
      <c r="A117" s="588"/>
      <c r="B117" s="592" t="s">
        <v>798</v>
      </c>
      <c r="C117" s="600">
        <f>SUM(C109+C116)</f>
        <v>0.50764789244254327</v>
      </c>
      <c r="D117" s="600">
        <f>SUM(D109+D116)</f>
        <v>0.50012192861270277</v>
      </c>
      <c r="E117" s="601">
        <f t="shared" si="13"/>
        <v>-7.5259638298404985E-3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0.32037716731663807</v>
      </c>
      <c r="D121" s="599">
        <f t="shared" si="14"/>
        <v>0.29560273700902867</v>
      </c>
      <c r="E121" s="599">
        <f t="shared" ref="E121:E129" si="15">D121-C121</f>
        <v>-2.4774430307609396E-2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0.11101061056978762</v>
      </c>
      <c r="D122" s="599">
        <f t="shared" si="14"/>
        <v>0.13010284178433273</v>
      </c>
      <c r="E122" s="599">
        <f t="shared" si="15"/>
        <v>1.9092231214545119E-2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6.0053936211115884E-2</v>
      </c>
      <c r="D123" s="599">
        <f t="shared" si="14"/>
        <v>7.3385904066903207E-2</v>
      </c>
      <c r="E123" s="599">
        <f t="shared" si="15"/>
        <v>1.3331967855787323E-2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5.9500172211608214E-2</v>
      </c>
      <c r="D124" s="599">
        <f t="shared" si="14"/>
        <v>7.2851687827828943E-2</v>
      </c>
      <c r="E124" s="599">
        <f t="shared" si="15"/>
        <v>1.3351515616220729E-2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5.5376399950766671E-4</v>
      </c>
      <c r="D125" s="599">
        <f t="shared" si="14"/>
        <v>5.3421623907425476E-4</v>
      </c>
      <c r="E125" s="599">
        <f t="shared" si="15"/>
        <v>-1.9547760433411953E-5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9.1039345991519047E-4</v>
      </c>
      <c r="D126" s="599">
        <f t="shared" si="14"/>
        <v>7.8658852703260588E-4</v>
      </c>
      <c r="E126" s="599">
        <f t="shared" si="15"/>
        <v>-1.2380493288258459E-4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9.3553092478543536E-4</v>
      </c>
      <c r="D127" s="599">
        <f t="shared" si="14"/>
        <v>2.0663577746886422E-3</v>
      </c>
      <c r="E127" s="599">
        <f t="shared" si="15"/>
        <v>1.130826849903207E-3</v>
      </c>
    </row>
    <row r="128" spans="1:5" s="421" customFormat="1" x14ac:dyDescent="0.2">
      <c r="A128" s="588"/>
      <c r="B128" s="592" t="s">
        <v>800</v>
      </c>
      <c r="C128" s="600">
        <f>SUM(C122+C123+C126)</f>
        <v>0.17197494024081869</v>
      </c>
      <c r="D128" s="600">
        <f>SUM(D122+D123+D126)</f>
        <v>0.20427533437826856</v>
      </c>
      <c r="E128" s="601">
        <f t="shared" si="15"/>
        <v>3.2300394137449867E-2</v>
      </c>
    </row>
    <row r="129" spans="1:5" s="421" customFormat="1" x14ac:dyDescent="0.2">
      <c r="A129" s="588"/>
      <c r="B129" s="592" t="s">
        <v>801</v>
      </c>
      <c r="C129" s="600">
        <f>SUM(C121+C128)</f>
        <v>0.49235210755745673</v>
      </c>
      <c r="D129" s="600">
        <f>SUM(D121+D128)</f>
        <v>0.49987807138729723</v>
      </c>
      <c r="E129" s="601">
        <f t="shared" si="15"/>
        <v>7.5259638298404985E-3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1068</v>
      </c>
      <c r="D137" s="606">
        <v>916</v>
      </c>
      <c r="E137" s="607">
        <f t="shared" ref="E137:E145" si="16">D137-C137</f>
        <v>-152</v>
      </c>
    </row>
    <row r="138" spans="1:5" s="421" customFormat="1" x14ac:dyDescent="0.2">
      <c r="A138" s="588">
        <v>2</v>
      </c>
      <c r="B138" s="587" t="s">
        <v>636</v>
      </c>
      <c r="C138" s="606">
        <v>2011</v>
      </c>
      <c r="D138" s="606">
        <v>1867</v>
      </c>
      <c r="E138" s="607">
        <f t="shared" si="16"/>
        <v>-144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259</v>
      </c>
      <c r="D139" s="606">
        <f>D140+D141</f>
        <v>335</v>
      </c>
      <c r="E139" s="607">
        <f t="shared" si="16"/>
        <v>76</v>
      </c>
    </row>
    <row r="140" spans="1:5" s="421" customFormat="1" x14ac:dyDescent="0.2">
      <c r="A140" s="588">
        <v>4</v>
      </c>
      <c r="B140" s="587" t="s">
        <v>115</v>
      </c>
      <c r="C140" s="606">
        <v>258</v>
      </c>
      <c r="D140" s="606">
        <v>333</v>
      </c>
      <c r="E140" s="607">
        <f t="shared" si="16"/>
        <v>75</v>
      </c>
    </row>
    <row r="141" spans="1:5" s="421" customFormat="1" x14ac:dyDescent="0.2">
      <c r="A141" s="588">
        <v>5</v>
      </c>
      <c r="B141" s="587" t="s">
        <v>744</v>
      </c>
      <c r="C141" s="606">
        <v>1</v>
      </c>
      <c r="D141" s="606">
        <v>2</v>
      </c>
      <c r="E141" s="607">
        <f t="shared" si="16"/>
        <v>1</v>
      </c>
    </row>
    <row r="142" spans="1:5" s="421" customFormat="1" x14ac:dyDescent="0.2">
      <c r="A142" s="588">
        <v>6</v>
      </c>
      <c r="B142" s="587" t="s">
        <v>424</v>
      </c>
      <c r="C142" s="606">
        <v>10</v>
      </c>
      <c r="D142" s="606">
        <v>3</v>
      </c>
      <c r="E142" s="607">
        <f t="shared" si="16"/>
        <v>-7</v>
      </c>
    </row>
    <row r="143" spans="1:5" s="421" customFormat="1" x14ac:dyDescent="0.2">
      <c r="A143" s="588">
        <v>7</v>
      </c>
      <c r="B143" s="587" t="s">
        <v>759</v>
      </c>
      <c r="C143" s="606">
        <v>50</v>
      </c>
      <c r="D143" s="606">
        <v>55</v>
      </c>
      <c r="E143" s="607">
        <f t="shared" si="16"/>
        <v>5</v>
      </c>
    </row>
    <row r="144" spans="1:5" s="421" customFormat="1" x14ac:dyDescent="0.2">
      <c r="A144" s="588"/>
      <c r="B144" s="592" t="s">
        <v>808</v>
      </c>
      <c r="C144" s="608">
        <f>SUM(C138+C139+C142)</f>
        <v>2280</v>
      </c>
      <c r="D144" s="608">
        <f>SUM(D138+D139+D142)</f>
        <v>2205</v>
      </c>
      <c r="E144" s="609">
        <f t="shared" si="16"/>
        <v>-75</v>
      </c>
    </row>
    <row r="145" spans="1:5" s="421" customFormat="1" x14ac:dyDescent="0.2">
      <c r="A145" s="588"/>
      <c r="B145" s="592" t="s">
        <v>138</v>
      </c>
      <c r="C145" s="608">
        <f>SUM(C137+C144)</f>
        <v>3348</v>
      </c>
      <c r="D145" s="608">
        <f>SUM(D137+D144)</f>
        <v>3121</v>
      </c>
      <c r="E145" s="609">
        <f t="shared" si="16"/>
        <v>-227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3457</v>
      </c>
      <c r="D149" s="610">
        <v>3068</v>
      </c>
      <c r="E149" s="607">
        <f t="shared" ref="E149:E157" si="17">D149-C149</f>
        <v>-389</v>
      </c>
    </row>
    <row r="150" spans="1:5" s="421" customFormat="1" x14ac:dyDescent="0.2">
      <c r="A150" s="588">
        <v>2</v>
      </c>
      <c r="B150" s="587" t="s">
        <v>636</v>
      </c>
      <c r="C150" s="610">
        <v>9202</v>
      </c>
      <c r="D150" s="610">
        <v>8231</v>
      </c>
      <c r="E150" s="607">
        <f t="shared" si="17"/>
        <v>-971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917</v>
      </c>
      <c r="D151" s="610">
        <f>D152+D153</f>
        <v>1575</v>
      </c>
      <c r="E151" s="607">
        <f t="shared" si="17"/>
        <v>658</v>
      </c>
    </row>
    <row r="152" spans="1:5" s="421" customFormat="1" x14ac:dyDescent="0.2">
      <c r="A152" s="588">
        <v>4</v>
      </c>
      <c r="B152" s="587" t="s">
        <v>115</v>
      </c>
      <c r="C152" s="610">
        <v>911</v>
      </c>
      <c r="D152" s="610">
        <v>1559</v>
      </c>
      <c r="E152" s="607">
        <f t="shared" si="17"/>
        <v>648</v>
      </c>
    </row>
    <row r="153" spans="1:5" s="421" customFormat="1" x14ac:dyDescent="0.2">
      <c r="A153" s="588">
        <v>5</v>
      </c>
      <c r="B153" s="587" t="s">
        <v>744</v>
      </c>
      <c r="C153" s="611">
        <v>6</v>
      </c>
      <c r="D153" s="610">
        <v>16</v>
      </c>
      <c r="E153" s="607">
        <f t="shared" si="17"/>
        <v>10</v>
      </c>
    </row>
    <row r="154" spans="1:5" s="421" customFormat="1" x14ac:dyDescent="0.2">
      <c r="A154" s="588">
        <v>6</v>
      </c>
      <c r="B154" s="587" t="s">
        <v>424</v>
      </c>
      <c r="C154" s="610">
        <v>27</v>
      </c>
      <c r="D154" s="610">
        <v>6</v>
      </c>
      <c r="E154" s="607">
        <f t="shared" si="17"/>
        <v>-21</v>
      </c>
    </row>
    <row r="155" spans="1:5" s="421" customFormat="1" x14ac:dyDescent="0.2">
      <c r="A155" s="588">
        <v>7</v>
      </c>
      <c r="B155" s="587" t="s">
        <v>759</v>
      </c>
      <c r="C155" s="610">
        <v>175</v>
      </c>
      <c r="D155" s="610">
        <v>244</v>
      </c>
      <c r="E155" s="607">
        <f t="shared" si="17"/>
        <v>69</v>
      </c>
    </row>
    <row r="156" spans="1:5" s="421" customFormat="1" x14ac:dyDescent="0.2">
      <c r="A156" s="588"/>
      <c r="B156" s="592" t="s">
        <v>809</v>
      </c>
      <c r="C156" s="608">
        <f>SUM(C150+C151+C154)</f>
        <v>10146</v>
      </c>
      <c r="D156" s="608">
        <f>SUM(D150+D151+D154)</f>
        <v>9812</v>
      </c>
      <c r="E156" s="609">
        <f t="shared" si="17"/>
        <v>-334</v>
      </c>
    </row>
    <row r="157" spans="1:5" s="421" customFormat="1" x14ac:dyDescent="0.2">
      <c r="A157" s="588"/>
      <c r="B157" s="592" t="s">
        <v>140</v>
      </c>
      <c r="C157" s="608">
        <f>SUM(C149+C156)</f>
        <v>13603</v>
      </c>
      <c r="D157" s="608">
        <f>SUM(D149+D156)</f>
        <v>12880</v>
      </c>
      <c r="E157" s="609">
        <f t="shared" si="17"/>
        <v>-723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3.2368913857677901</v>
      </c>
      <c r="D161" s="612">
        <f t="shared" si="18"/>
        <v>3.3493449781659388</v>
      </c>
      <c r="E161" s="613">
        <f t="shared" ref="E161:E169" si="19">D161-C161</f>
        <v>0.11245359239814867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4.5758329189457978</v>
      </c>
      <c r="D162" s="612">
        <f t="shared" si="18"/>
        <v>4.4086770219603642</v>
      </c>
      <c r="E162" s="613">
        <f t="shared" si="19"/>
        <v>-0.16715589698543365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3.5405405405405403</v>
      </c>
      <c r="D163" s="612">
        <f t="shared" si="18"/>
        <v>4.7014925373134329</v>
      </c>
      <c r="E163" s="613">
        <f t="shared" si="19"/>
        <v>1.1609519967728925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3.5310077519379846</v>
      </c>
      <c r="D164" s="612">
        <f t="shared" si="18"/>
        <v>4.681681681681682</v>
      </c>
      <c r="E164" s="613">
        <f t="shared" si="19"/>
        <v>1.1506739297436974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6</v>
      </c>
      <c r="D165" s="612">
        <f t="shared" si="18"/>
        <v>8</v>
      </c>
      <c r="E165" s="613">
        <f t="shared" si="19"/>
        <v>2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2.7</v>
      </c>
      <c r="D166" s="612">
        <f t="shared" si="18"/>
        <v>2</v>
      </c>
      <c r="E166" s="613">
        <f t="shared" si="19"/>
        <v>-0.70000000000000018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3.5</v>
      </c>
      <c r="D167" s="612">
        <f t="shared" si="18"/>
        <v>4.4363636363636365</v>
      </c>
      <c r="E167" s="613">
        <f t="shared" si="19"/>
        <v>0.93636363636363651</v>
      </c>
    </row>
    <row r="168" spans="1:5" s="421" customFormat="1" x14ac:dyDescent="0.2">
      <c r="A168" s="588"/>
      <c r="B168" s="592" t="s">
        <v>811</v>
      </c>
      <c r="C168" s="614">
        <f t="shared" si="18"/>
        <v>4.45</v>
      </c>
      <c r="D168" s="614">
        <f t="shared" si="18"/>
        <v>4.4498866213151924</v>
      </c>
      <c r="E168" s="615">
        <f t="shared" si="19"/>
        <v>-1.1337868480776336E-4</v>
      </c>
    </row>
    <row r="169" spans="1:5" s="421" customFormat="1" x14ac:dyDescent="0.2">
      <c r="A169" s="588"/>
      <c r="B169" s="592" t="s">
        <v>745</v>
      </c>
      <c r="C169" s="614">
        <f t="shared" si="18"/>
        <v>4.0630227001194745</v>
      </c>
      <c r="D169" s="614">
        <f t="shared" si="18"/>
        <v>4.1268824094841401</v>
      </c>
      <c r="E169" s="615">
        <f t="shared" si="19"/>
        <v>6.3859709364665562E-2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1.3443000000000001</v>
      </c>
      <c r="D173" s="617">
        <f t="shared" si="20"/>
        <v>1.397</v>
      </c>
      <c r="E173" s="618">
        <f t="shared" ref="E173:E181" si="21">D173-C173</f>
        <v>5.2699999999999969E-2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1.4765999999999999</v>
      </c>
      <c r="D174" s="617">
        <f t="shared" si="20"/>
        <v>1.4706999999999999</v>
      </c>
      <c r="E174" s="618">
        <f t="shared" si="21"/>
        <v>-5.9000000000000163E-3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1.2093513513513512</v>
      </c>
      <c r="D175" s="617">
        <f t="shared" si="20"/>
        <v>1.1094501492537314</v>
      </c>
      <c r="E175" s="618">
        <f t="shared" si="21"/>
        <v>-9.9901202097619768E-2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1.2069000000000001</v>
      </c>
      <c r="D176" s="617">
        <f t="shared" si="20"/>
        <v>1.111</v>
      </c>
      <c r="E176" s="618">
        <f t="shared" si="21"/>
        <v>-9.5900000000000096E-2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1.8418000000000001</v>
      </c>
      <c r="D177" s="617">
        <f t="shared" si="20"/>
        <v>0.85140000000000005</v>
      </c>
      <c r="E177" s="618">
        <f t="shared" si="21"/>
        <v>-0.99040000000000006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1.2652000000000001</v>
      </c>
      <c r="D178" s="617">
        <f t="shared" si="20"/>
        <v>1.6773999999999998</v>
      </c>
      <c r="E178" s="618">
        <f t="shared" si="21"/>
        <v>0.41219999999999968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0.94562000000000002</v>
      </c>
      <c r="D179" s="617">
        <f t="shared" si="20"/>
        <v>1.2742</v>
      </c>
      <c r="E179" s="618">
        <f t="shared" si="21"/>
        <v>0.32857999999999998</v>
      </c>
    </row>
    <row r="180" spans="1:5" s="421" customFormat="1" x14ac:dyDescent="0.2">
      <c r="A180" s="588"/>
      <c r="B180" s="592" t="s">
        <v>813</v>
      </c>
      <c r="C180" s="619">
        <f t="shared" si="20"/>
        <v>1.4453142982456142</v>
      </c>
      <c r="D180" s="619">
        <f t="shared" si="20"/>
        <v>1.4160974603174603</v>
      </c>
      <c r="E180" s="620">
        <f t="shared" si="21"/>
        <v>-2.9216837928153883E-2</v>
      </c>
    </row>
    <row r="181" spans="1:5" s="421" customFormat="1" x14ac:dyDescent="0.2">
      <c r="A181" s="588"/>
      <c r="B181" s="592" t="s">
        <v>724</v>
      </c>
      <c r="C181" s="619">
        <f t="shared" si="20"/>
        <v>1.41309109916368</v>
      </c>
      <c r="D181" s="619">
        <f t="shared" si="20"/>
        <v>1.4104924383210509</v>
      </c>
      <c r="E181" s="620">
        <f t="shared" si="21"/>
        <v>-2.5986608426291635E-3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68766683</v>
      </c>
      <c r="D185" s="589">
        <v>66221864</v>
      </c>
      <c r="E185" s="590">
        <f>D185-C185</f>
        <v>-2544819</v>
      </c>
    </row>
    <row r="186" spans="1:5" s="421" customFormat="1" ht="25.5" x14ac:dyDescent="0.2">
      <c r="A186" s="588">
        <v>2</v>
      </c>
      <c r="B186" s="587" t="s">
        <v>816</v>
      </c>
      <c r="C186" s="589">
        <v>25786529</v>
      </c>
      <c r="D186" s="589">
        <v>33792844</v>
      </c>
      <c r="E186" s="590">
        <f>D186-C186</f>
        <v>8006315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42980154</v>
      </c>
      <c r="D188" s="622">
        <f>+D185-D186</f>
        <v>32429020</v>
      </c>
      <c r="E188" s="590">
        <f t="shared" ref="E188:E197" si="22">D188-C188</f>
        <v>-10551134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0.62501420927922324</v>
      </c>
      <c r="D189" s="623">
        <f>IF(D185=0,0,+D188/D185)</f>
        <v>0.48970261543830901</v>
      </c>
      <c r="E189" s="599">
        <f t="shared" si="22"/>
        <v>-0.13531159384091423</v>
      </c>
    </row>
    <row r="190" spans="1:5" s="421" customFormat="1" x14ac:dyDescent="0.2">
      <c r="A190" s="588">
        <v>5</v>
      </c>
      <c r="B190" s="587" t="s">
        <v>763</v>
      </c>
      <c r="C190" s="589">
        <v>2775412</v>
      </c>
      <c r="D190" s="589">
        <v>2162080</v>
      </c>
      <c r="E190" s="622">
        <f t="shared" si="22"/>
        <v>-613332</v>
      </c>
    </row>
    <row r="191" spans="1:5" s="421" customFormat="1" x14ac:dyDescent="0.2">
      <c r="A191" s="588">
        <v>6</v>
      </c>
      <c r="B191" s="587" t="s">
        <v>749</v>
      </c>
      <c r="C191" s="589">
        <v>1640438</v>
      </c>
      <c r="D191" s="589">
        <v>2162080</v>
      </c>
      <c r="E191" s="622">
        <f t="shared" si="22"/>
        <v>521642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643601</v>
      </c>
      <c r="D193" s="589">
        <v>579795</v>
      </c>
      <c r="E193" s="622">
        <f t="shared" si="22"/>
        <v>-63806</v>
      </c>
    </row>
    <row r="194" spans="1:5" s="421" customFormat="1" x14ac:dyDescent="0.2">
      <c r="A194" s="588">
        <v>9</v>
      </c>
      <c r="B194" s="587" t="s">
        <v>819</v>
      </c>
      <c r="C194" s="589">
        <v>6456481</v>
      </c>
      <c r="D194" s="589">
        <v>5608309</v>
      </c>
      <c r="E194" s="622">
        <f t="shared" si="22"/>
        <v>-848172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7100082</v>
      </c>
      <c r="D195" s="589">
        <f>+D193+D194</f>
        <v>6188104</v>
      </c>
      <c r="E195" s="625">
        <f t="shared" si="22"/>
        <v>-911978</v>
      </c>
    </row>
    <row r="196" spans="1:5" s="421" customFormat="1" x14ac:dyDescent="0.2">
      <c r="A196" s="588">
        <v>11</v>
      </c>
      <c r="B196" s="587" t="s">
        <v>821</v>
      </c>
      <c r="C196" s="589">
        <v>1449445</v>
      </c>
      <c r="D196" s="589">
        <v>1352459</v>
      </c>
      <c r="E196" s="622">
        <f t="shared" si="22"/>
        <v>-96986</v>
      </c>
    </row>
    <row r="197" spans="1:5" s="421" customFormat="1" x14ac:dyDescent="0.2">
      <c r="A197" s="588">
        <v>12</v>
      </c>
      <c r="B197" s="587" t="s">
        <v>711</v>
      </c>
      <c r="C197" s="589">
        <v>80117246</v>
      </c>
      <c r="D197" s="589">
        <v>72076598</v>
      </c>
      <c r="E197" s="622">
        <f t="shared" si="22"/>
        <v>-8040648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1435.7124000000001</v>
      </c>
      <c r="D203" s="629">
        <v>1279.652</v>
      </c>
      <c r="E203" s="630">
        <f t="shared" ref="E203:E211" si="23">D203-C203</f>
        <v>-156.06040000000007</v>
      </c>
    </row>
    <row r="204" spans="1:5" s="421" customFormat="1" x14ac:dyDescent="0.2">
      <c r="A204" s="588">
        <v>2</v>
      </c>
      <c r="B204" s="587" t="s">
        <v>636</v>
      </c>
      <c r="C204" s="629">
        <v>2969.4425999999999</v>
      </c>
      <c r="D204" s="629">
        <v>2745.7968999999998</v>
      </c>
      <c r="E204" s="630">
        <f t="shared" si="23"/>
        <v>-223.64570000000003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313.22199999999998</v>
      </c>
      <c r="D205" s="629">
        <f>D206+D207</f>
        <v>371.66580000000005</v>
      </c>
      <c r="E205" s="630">
        <f t="shared" si="23"/>
        <v>58.443800000000067</v>
      </c>
    </row>
    <row r="206" spans="1:5" s="421" customFormat="1" x14ac:dyDescent="0.2">
      <c r="A206" s="588">
        <v>4</v>
      </c>
      <c r="B206" s="587" t="s">
        <v>115</v>
      </c>
      <c r="C206" s="629">
        <v>311.3802</v>
      </c>
      <c r="D206" s="629">
        <v>369.96300000000002</v>
      </c>
      <c r="E206" s="630">
        <f t="shared" si="23"/>
        <v>58.58280000000002</v>
      </c>
    </row>
    <row r="207" spans="1:5" s="421" customFormat="1" x14ac:dyDescent="0.2">
      <c r="A207" s="588">
        <v>5</v>
      </c>
      <c r="B207" s="587" t="s">
        <v>744</v>
      </c>
      <c r="C207" s="629">
        <v>1.8418000000000001</v>
      </c>
      <c r="D207" s="629">
        <v>1.7028000000000001</v>
      </c>
      <c r="E207" s="630">
        <f t="shared" si="23"/>
        <v>-0.13900000000000001</v>
      </c>
    </row>
    <row r="208" spans="1:5" s="421" customFormat="1" x14ac:dyDescent="0.2">
      <c r="A208" s="588">
        <v>6</v>
      </c>
      <c r="B208" s="587" t="s">
        <v>424</v>
      </c>
      <c r="C208" s="629">
        <v>12.652000000000001</v>
      </c>
      <c r="D208" s="629">
        <v>5.0321999999999996</v>
      </c>
      <c r="E208" s="630">
        <f t="shared" si="23"/>
        <v>-7.6198000000000015</v>
      </c>
    </row>
    <row r="209" spans="1:5" s="421" customFormat="1" x14ac:dyDescent="0.2">
      <c r="A209" s="588">
        <v>7</v>
      </c>
      <c r="B209" s="587" t="s">
        <v>759</v>
      </c>
      <c r="C209" s="629">
        <v>47.280999999999999</v>
      </c>
      <c r="D209" s="629">
        <v>70.081000000000003</v>
      </c>
      <c r="E209" s="630">
        <f t="shared" si="23"/>
        <v>22.800000000000004</v>
      </c>
    </row>
    <row r="210" spans="1:5" s="421" customFormat="1" x14ac:dyDescent="0.2">
      <c r="A210" s="588"/>
      <c r="B210" s="592" t="s">
        <v>824</v>
      </c>
      <c r="C210" s="631">
        <f>C204+C205+C208</f>
        <v>3295.3166000000001</v>
      </c>
      <c r="D210" s="631">
        <f>D204+D205+D208</f>
        <v>3122.4949000000001</v>
      </c>
      <c r="E210" s="632">
        <f t="shared" si="23"/>
        <v>-172.82169999999996</v>
      </c>
    </row>
    <row r="211" spans="1:5" s="421" customFormat="1" x14ac:dyDescent="0.2">
      <c r="A211" s="588"/>
      <c r="B211" s="592" t="s">
        <v>725</v>
      </c>
      <c r="C211" s="631">
        <f>C210+C203</f>
        <v>4731.0290000000005</v>
      </c>
      <c r="D211" s="631">
        <f>D210+D203</f>
        <v>4402.1468999999997</v>
      </c>
      <c r="E211" s="632">
        <f t="shared" si="23"/>
        <v>-328.88210000000072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1897.6634154712688</v>
      </c>
      <c r="D215" s="633">
        <f>IF(D14*D137=0,0,D25/D14*D137)</f>
        <v>1561.0198699553143</v>
      </c>
      <c r="E215" s="633">
        <f t="shared" ref="E215:E223" si="24">D215-C215</f>
        <v>-336.64354551595443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980.2032977463</v>
      </c>
      <c r="D216" s="633">
        <f>IF(D15*D138=0,0,D26/D15*D138)</f>
        <v>1019.9060072598878</v>
      </c>
      <c r="E216" s="633">
        <f t="shared" si="24"/>
        <v>39.70270951358782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731.50707897052359</v>
      </c>
      <c r="D217" s="633">
        <f>D218+D219</f>
        <v>670.38038944788286</v>
      </c>
      <c r="E217" s="633">
        <f t="shared" si="24"/>
        <v>-61.126689522640731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725.1637777641663</v>
      </c>
      <c r="D218" s="633">
        <f t="shared" si="25"/>
        <v>665.33789178291943</v>
      </c>
      <c r="E218" s="633">
        <f t="shared" si="24"/>
        <v>-59.82588598124687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6.343301206357312</v>
      </c>
      <c r="D219" s="633">
        <f t="shared" si="25"/>
        <v>5.0424976649634639</v>
      </c>
      <c r="E219" s="633">
        <f t="shared" si="24"/>
        <v>-1.3008035413938481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13.225308112190602</v>
      </c>
      <c r="D220" s="633">
        <f t="shared" si="25"/>
        <v>4.5355431176056573</v>
      </c>
      <c r="E220" s="633">
        <f t="shared" si="24"/>
        <v>-8.6897649945849444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201.9724070560608</v>
      </c>
      <c r="D221" s="633">
        <f t="shared" si="25"/>
        <v>105.67087458913539</v>
      </c>
      <c r="E221" s="633">
        <f t="shared" si="24"/>
        <v>-96.301532466925408</v>
      </c>
    </row>
    <row r="222" spans="1:5" s="421" customFormat="1" x14ac:dyDescent="0.2">
      <c r="A222" s="588"/>
      <c r="B222" s="592" t="s">
        <v>826</v>
      </c>
      <c r="C222" s="634">
        <f>C216+C218+C219+C220</f>
        <v>1724.9356848290142</v>
      </c>
      <c r="D222" s="634">
        <f>D216+D218+D219+D220</f>
        <v>1694.8219398253764</v>
      </c>
      <c r="E222" s="634">
        <f t="shared" si="24"/>
        <v>-30.11374500363786</v>
      </c>
    </row>
    <row r="223" spans="1:5" s="421" customFormat="1" x14ac:dyDescent="0.2">
      <c r="A223" s="588"/>
      <c r="B223" s="592" t="s">
        <v>827</v>
      </c>
      <c r="C223" s="634">
        <f>C215+C222</f>
        <v>3622.5991003002828</v>
      </c>
      <c r="D223" s="634">
        <f>D215+D222</f>
        <v>3255.8418097806907</v>
      </c>
      <c r="E223" s="634">
        <f t="shared" si="24"/>
        <v>-366.75729051959206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8668.4554650360333</v>
      </c>
      <c r="D227" s="636">
        <f t="shared" si="26"/>
        <v>8320.0198178879873</v>
      </c>
      <c r="E227" s="636">
        <f t="shared" ref="E227:E235" si="27">D227-C227</f>
        <v>-348.43564714804597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6946.5047076511937</v>
      </c>
      <c r="D228" s="636">
        <f t="shared" si="26"/>
        <v>7324.8713333458863</v>
      </c>
      <c r="E228" s="636">
        <f t="shared" si="27"/>
        <v>378.36662569469263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3750.8093301236827</v>
      </c>
      <c r="D229" s="636">
        <f t="shared" si="26"/>
        <v>4539.9253845793719</v>
      </c>
      <c r="E229" s="636">
        <f t="shared" si="27"/>
        <v>789.11605445568921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3753.523827141225</v>
      </c>
      <c r="D230" s="636">
        <f t="shared" si="26"/>
        <v>4510.5726788895099</v>
      </c>
      <c r="E230" s="636">
        <f t="shared" si="27"/>
        <v>757.04885174828496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3291.8883700727547</v>
      </c>
      <c r="D231" s="636">
        <f t="shared" si="26"/>
        <v>10917.312661498707</v>
      </c>
      <c r="E231" s="636">
        <f t="shared" si="27"/>
        <v>7625.4242914259521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5026.5570660765088</v>
      </c>
      <c r="D232" s="636">
        <f t="shared" si="26"/>
        <v>6580.4220817932519</v>
      </c>
      <c r="E232" s="636">
        <f t="shared" si="27"/>
        <v>1553.8650157167431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303.7583807449081</v>
      </c>
      <c r="D233" s="636">
        <f t="shared" si="26"/>
        <v>809.63456571681331</v>
      </c>
      <c r="E233" s="636">
        <f t="shared" si="27"/>
        <v>505.87618497190522</v>
      </c>
    </row>
    <row r="234" spans="1:5" x14ac:dyDescent="0.2">
      <c r="A234" s="588"/>
      <c r="B234" s="592" t="s">
        <v>829</v>
      </c>
      <c r="C234" s="637">
        <f t="shared" si="26"/>
        <v>6635.3803455485886</v>
      </c>
      <c r="D234" s="637">
        <f t="shared" si="26"/>
        <v>6992.1837182184026</v>
      </c>
      <c r="E234" s="637">
        <f t="shared" si="27"/>
        <v>356.80337266981405</v>
      </c>
    </row>
    <row r="235" spans="1:5" s="421" customFormat="1" x14ac:dyDescent="0.2">
      <c r="A235" s="588"/>
      <c r="B235" s="592" t="s">
        <v>830</v>
      </c>
      <c r="C235" s="637">
        <f t="shared" si="26"/>
        <v>7252.3520781631223</v>
      </c>
      <c r="D235" s="637">
        <f t="shared" si="26"/>
        <v>7378.1699561184569</v>
      </c>
      <c r="E235" s="637">
        <f t="shared" si="27"/>
        <v>125.81787795533455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11410.752203715994</v>
      </c>
      <c r="D239" s="636">
        <f t="shared" si="28"/>
        <v>12298.07984478093</v>
      </c>
      <c r="E239" s="638">
        <f t="shared" ref="E239:E247" si="29">D239-C239</f>
        <v>887.32764106493596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7654.5600461160275</v>
      </c>
      <c r="D240" s="636">
        <f t="shared" si="28"/>
        <v>8284.4545868499536</v>
      </c>
      <c r="E240" s="638">
        <f t="shared" si="29"/>
        <v>629.89454073392608</v>
      </c>
    </row>
    <row r="241" spans="1:5" x14ac:dyDescent="0.2">
      <c r="A241" s="588">
        <v>3</v>
      </c>
      <c r="B241" s="587" t="s">
        <v>778</v>
      </c>
      <c r="C241" s="636">
        <f t="shared" si="28"/>
        <v>5548.7460295152623</v>
      </c>
      <c r="D241" s="636">
        <f t="shared" si="28"/>
        <v>7109.3293822708365</v>
      </c>
      <c r="E241" s="638">
        <f t="shared" si="29"/>
        <v>1560.5833527555742</v>
      </c>
    </row>
    <row r="242" spans="1:5" x14ac:dyDescent="0.2">
      <c r="A242" s="588">
        <v>4</v>
      </c>
      <c r="B242" s="587" t="s">
        <v>115</v>
      </c>
      <c r="C242" s="636">
        <f t="shared" si="28"/>
        <v>5545.6699897493445</v>
      </c>
      <c r="D242" s="636">
        <f t="shared" si="28"/>
        <v>7111.0650068667273</v>
      </c>
      <c r="E242" s="638">
        <f t="shared" si="29"/>
        <v>1565.3950171173828</v>
      </c>
    </row>
    <row r="243" spans="1:5" x14ac:dyDescent="0.2">
      <c r="A243" s="588">
        <v>5</v>
      </c>
      <c r="B243" s="587" t="s">
        <v>744</v>
      </c>
      <c r="C243" s="636">
        <f t="shared" si="28"/>
        <v>5900.3977238995576</v>
      </c>
      <c r="D243" s="636">
        <f t="shared" si="28"/>
        <v>6880.3204890034158</v>
      </c>
      <c r="E243" s="638">
        <f t="shared" si="29"/>
        <v>979.92276510385818</v>
      </c>
    </row>
    <row r="244" spans="1:5" x14ac:dyDescent="0.2">
      <c r="A244" s="588">
        <v>6</v>
      </c>
      <c r="B244" s="587" t="s">
        <v>424</v>
      </c>
      <c r="C244" s="636">
        <f t="shared" si="28"/>
        <v>4652.5948188142456</v>
      </c>
      <c r="D244" s="636">
        <f t="shared" si="28"/>
        <v>11263.039216120951</v>
      </c>
      <c r="E244" s="638">
        <f t="shared" si="29"/>
        <v>6610.4443973067055</v>
      </c>
    </row>
    <row r="245" spans="1:5" x14ac:dyDescent="0.2">
      <c r="A245" s="588">
        <v>7</v>
      </c>
      <c r="B245" s="587" t="s">
        <v>759</v>
      </c>
      <c r="C245" s="636">
        <f t="shared" si="28"/>
        <v>313.06751710123046</v>
      </c>
      <c r="D245" s="636">
        <f t="shared" si="28"/>
        <v>1269.952581747606</v>
      </c>
      <c r="E245" s="638">
        <f t="shared" si="29"/>
        <v>956.88506464637555</v>
      </c>
    </row>
    <row r="246" spans="1:5" ht="25.5" x14ac:dyDescent="0.2">
      <c r="A246" s="588"/>
      <c r="B246" s="592" t="s">
        <v>832</v>
      </c>
      <c r="C246" s="637">
        <f t="shared" si="28"/>
        <v>6738.5144282363144</v>
      </c>
      <c r="D246" s="637">
        <f t="shared" si="28"/>
        <v>7827.6093129682313</v>
      </c>
      <c r="E246" s="639">
        <f t="shared" si="29"/>
        <v>1089.0948847319169</v>
      </c>
    </row>
    <row r="247" spans="1:5" x14ac:dyDescent="0.2">
      <c r="A247" s="588"/>
      <c r="B247" s="592" t="s">
        <v>833</v>
      </c>
      <c r="C247" s="637">
        <f t="shared" si="28"/>
        <v>9186.0208868382906</v>
      </c>
      <c r="D247" s="637">
        <f t="shared" si="28"/>
        <v>9970.9853539188771</v>
      </c>
      <c r="E247" s="639">
        <f t="shared" si="29"/>
        <v>784.96446708058647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1529290.6801641495</v>
      </c>
      <c r="D251" s="622">
        <f>((IF((IF(D15=0,0,D26/D15)*D138)=0,0,D59/(IF(D15=0,0,D26/D15)*D138)))-(IF((IF(D17=0,0,D28/D17)*D140)=0,0,D61/(IF(D17=0,0,D28/D17)*D140))))*(IF(D17=0,0,D28/D17)*D140)</f>
        <v>780700.54938608501</v>
      </c>
      <c r="E251" s="622">
        <f>D251-C251</f>
        <v>-748590.13077806449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17858.252345214245</v>
      </c>
      <c r="D252" s="622">
        <f>IF(D231=0,0,(D228-D231)*D207)+IF(D243=0,0,(D240-D243)*D219)</f>
        <v>963.13381610812394</v>
      </c>
      <c r="E252" s="622">
        <f>D252-C252</f>
        <v>-16895.118529106119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1796854.6065516619</v>
      </c>
      <c r="D253" s="622">
        <f>IF(D233=0,0,(D228-D233)*D209+IF(D221=0,0,(D240-D245)*D221))</f>
        <v>1197822.869598622</v>
      </c>
      <c r="E253" s="622">
        <f>D253-C253</f>
        <v>-599031.73695303989</v>
      </c>
    </row>
    <row r="254" spans="1:5" ht="15" customHeight="1" x14ac:dyDescent="0.2">
      <c r="A254" s="588"/>
      <c r="B254" s="592" t="s">
        <v>760</v>
      </c>
      <c r="C254" s="640">
        <f>+C251+C252+C253</f>
        <v>3344003.5390610257</v>
      </c>
      <c r="D254" s="640">
        <f>+D251+D252+D253</f>
        <v>1979486.5528008151</v>
      </c>
      <c r="E254" s="640">
        <f>D254-C254</f>
        <v>-1364516.9862602106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194913881</v>
      </c>
      <c r="D258" s="625">
        <f>+D44</f>
        <v>197304279</v>
      </c>
      <c r="E258" s="622">
        <f t="shared" ref="E258:E271" si="30">D258-C258</f>
        <v>2390398</v>
      </c>
    </row>
    <row r="259" spans="1:5" x14ac:dyDescent="0.2">
      <c r="A259" s="588">
        <v>2</v>
      </c>
      <c r="B259" s="587" t="s">
        <v>743</v>
      </c>
      <c r="C259" s="622">
        <f>+(C43-C76)</f>
        <v>83011130</v>
      </c>
      <c r="D259" s="625">
        <f>+(D43-D76)</f>
        <v>89220638</v>
      </c>
      <c r="E259" s="622">
        <f t="shared" si="30"/>
        <v>6209508</v>
      </c>
    </row>
    <row r="260" spans="1:5" x14ac:dyDescent="0.2">
      <c r="A260" s="588">
        <v>3</v>
      </c>
      <c r="B260" s="587" t="s">
        <v>747</v>
      </c>
      <c r="C260" s="622">
        <f>C195</f>
        <v>7100082</v>
      </c>
      <c r="D260" s="622">
        <f>D195</f>
        <v>6188104</v>
      </c>
      <c r="E260" s="622">
        <f t="shared" si="30"/>
        <v>-911978</v>
      </c>
    </row>
    <row r="261" spans="1:5" x14ac:dyDescent="0.2">
      <c r="A261" s="588">
        <v>4</v>
      </c>
      <c r="B261" s="587" t="s">
        <v>748</v>
      </c>
      <c r="C261" s="622">
        <f>C188</f>
        <v>42980154</v>
      </c>
      <c r="D261" s="622">
        <f>D188</f>
        <v>32429020</v>
      </c>
      <c r="E261" s="622">
        <f t="shared" si="30"/>
        <v>-10551134</v>
      </c>
    </row>
    <row r="262" spans="1:5" x14ac:dyDescent="0.2">
      <c r="A262" s="588">
        <v>5</v>
      </c>
      <c r="B262" s="587" t="s">
        <v>749</v>
      </c>
      <c r="C262" s="622">
        <f>C191</f>
        <v>1640438</v>
      </c>
      <c r="D262" s="622">
        <f>D191</f>
        <v>2162080</v>
      </c>
      <c r="E262" s="622">
        <f t="shared" si="30"/>
        <v>521642</v>
      </c>
    </row>
    <row r="263" spans="1:5" x14ac:dyDescent="0.2">
      <c r="A263" s="588">
        <v>6</v>
      </c>
      <c r="B263" s="587" t="s">
        <v>750</v>
      </c>
      <c r="C263" s="622">
        <f>+C259+C260+C261+C262</f>
        <v>134731804</v>
      </c>
      <c r="D263" s="622">
        <f>+D259+D260+D261+D262</f>
        <v>129999842</v>
      </c>
      <c r="E263" s="622">
        <f t="shared" si="30"/>
        <v>-4731962</v>
      </c>
    </row>
    <row r="264" spans="1:5" x14ac:dyDescent="0.2">
      <c r="A264" s="588">
        <v>7</v>
      </c>
      <c r="B264" s="587" t="s">
        <v>655</v>
      </c>
      <c r="C264" s="622">
        <f>+C258-C263</f>
        <v>60182077</v>
      </c>
      <c r="D264" s="622">
        <f>+D258-D263</f>
        <v>67304437</v>
      </c>
      <c r="E264" s="622">
        <f t="shared" si="30"/>
        <v>7122360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60182077</v>
      </c>
      <c r="D266" s="622">
        <f>+D264+D265</f>
        <v>67304437</v>
      </c>
      <c r="E266" s="641">
        <f t="shared" si="30"/>
        <v>7122360</v>
      </c>
    </row>
    <row r="267" spans="1:5" x14ac:dyDescent="0.2">
      <c r="A267" s="588">
        <v>10</v>
      </c>
      <c r="B267" s="587" t="s">
        <v>838</v>
      </c>
      <c r="C267" s="642">
        <f>IF(C258=0,0,C266/C258)</f>
        <v>0.30876239645548897</v>
      </c>
      <c r="D267" s="642">
        <f>IF(D258=0,0,D266/D258)</f>
        <v>0.34112000682965421</v>
      </c>
      <c r="E267" s="643">
        <f t="shared" si="30"/>
        <v>3.2357610374165235E-2</v>
      </c>
    </row>
    <row r="268" spans="1:5" x14ac:dyDescent="0.2">
      <c r="A268" s="588">
        <v>11</v>
      </c>
      <c r="B268" s="587" t="s">
        <v>717</v>
      </c>
      <c r="C268" s="622">
        <f>+C260*C267</f>
        <v>2192238.333350481</v>
      </c>
      <c r="D268" s="644">
        <f>+D260*D267</f>
        <v>2110886.0787426108</v>
      </c>
      <c r="E268" s="622">
        <f t="shared" si="30"/>
        <v>-81352.254607870243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984268.04260561056</v>
      </c>
      <c r="D269" s="644">
        <f>((D17+D18+D28+D29)*D267)-(D50+D51+D61+D62)</f>
        <v>2317871.4274497516</v>
      </c>
      <c r="E269" s="622">
        <f t="shared" si="30"/>
        <v>1333603.3848441411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3176506.3759560916</v>
      </c>
      <c r="D271" s="622">
        <f>+D268+D269+D270</f>
        <v>4428757.5061923619</v>
      </c>
      <c r="E271" s="625">
        <f t="shared" si="30"/>
        <v>1252251.1302362704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0.44072589152783753</v>
      </c>
      <c r="D276" s="623">
        <f t="shared" si="31"/>
        <v>0.39447685788231951</v>
      </c>
      <c r="E276" s="650">
        <f t="shared" ref="E276:E284" si="32">D276-C276</f>
        <v>-4.6249033645518023E-2</v>
      </c>
    </row>
    <row r="277" spans="1:5" x14ac:dyDescent="0.2">
      <c r="A277" s="588">
        <v>2</v>
      </c>
      <c r="B277" s="587" t="s">
        <v>636</v>
      </c>
      <c r="C277" s="623">
        <f t="shared" si="31"/>
        <v>0.31974521074626183</v>
      </c>
      <c r="D277" s="623">
        <f t="shared" si="31"/>
        <v>0.31635168773988726</v>
      </c>
      <c r="E277" s="650">
        <f t="shared" si="32"/>
        <v>-3.3935230063745769E-3</v>
      </c>
    </row>
    <row r="278" spans="1:5" x14ac:dyDescent="0.2">
      <c r="A278" s="588">
        <v>3</v>
      </c>
      <c r="B278" s="587" t="s">
        <v>778</v>
      </c>
      <c r="C278" s="623">
        <f t="shared" si="31"/>
        <v>0.2235358451234033</v>
      </c>
      <c r="D278" s="623">
        <f t="shared" si="31"/>
        <v>0.1970283008182466</v>
      </c>
      <c r="E278" s="650">
        <f t="shared" si="32"/>
        <v>-2.6507544305156699E-2</v>
      </c>
    </row>
    <row r="279" spans="1:5" x14ac:dyDescent="0.2">
      <c r="A279" s="588">
        <v>4</v>
      </c>
      <c r="B279" s="587" t="s">
        <v>115</v>
      </c>
      <c r="C279" s="623">
        <f t="shared" si="31"/>
        <v>0.22371601497599705</v>
      </c>
      <c r="D279" s="623">
        <f t="shared" si="31"/>
        <v>0.1965283016912496</v>
      </c>
      <c r="E279" s="650">
        <f t="shared" si="32"/>
        <v>-2.718771328474745E-2</v>
      </c>
    </row>
    <row r="280" spans="1:5" x14ac:dyDescent="0.2">
      <c r="A280" s="588">
        <v>5</v>
      </c>
      <c r="B280" s="587" t="s">
        <v>744</v>
      </c>
      <c r="C280" s="623">
        <f t="shared" si="31"/>
        <v>0.19349588306631774</v>
      </c>
      <c r="D280" s="623">
        <f t="shared" si="31"/>
        <v>0.25534311301576834</v>
      </c>
      <c r="E280" s="650">
        <f t="shared" si="32"/>
        <v>6.1847229949450605E-2</v>
      </c>
    </row>
    <row r="281" spans="1:5" x14ac:dyDescent="0.2">
      <c r="A281" s="588">
        <v>6</v>
      </c>
      <c r="B281" s="587" t="s">
        <v>424</v>
      </c>
      <c r="C281" s="623">
        <f t="shared" si="31"/>
        <v>0.36387563367548947</v>
      </c>
      <c r="D281" s="623">
        <f t="shared" si="31"/>
        <v>0.27745751918758588</v>
      </c>
      <c r="E281" s="650">
        <f t="shared" si="32"/>
        <v>-8.6418114487903597E-2</v>
      </c>
    </row>
    <row r="282" spans="1:5" x14ac:dyDescent="0.2">
      <c r="A282" s="588">
        <v>7</v>
      </c>
      <c r="B282" s="587" t="s">
        <v>759</v>
      </c>
      <c r="C282" s="623">
        <f t="shared" si="31"/>
        <v>1.0532900830707197E-2</v>
      </c>
      <c r="D282" s="623">
        <f t="shared" si="31"/>
        <v>3.6031619428879148E-2</v>
      </c>
      <c r="E282" s="650">
        <f t="shared" si="32"/>
        <v>2.5498718598171953E-2</v>
      </c>
    </row>
    <row r="283" spans="1:5" ht="29.25" customHeight="1" x14ac:dyDescent="0.2">
      <c r="A283" s="588"/>
      <c r="B283" s="592" t="s">
        <v>845</v>
      </c>
      <c r="C283" s="651">
        <f t="shared" si="31"/>
        <v>0.3126259651213763</v>
      </c>
      <c r="D283" s="651">
        <f t="shared" si="31"/>
        <v>0.30214579267287672</v>
      </c>
      <c r="E283" s="652">
        <f t="shared" si="32"/>
        <v>-1.0480172448499581E-2</v>
      </c>
    </row>
    <row r="284" spans="1:5" x14ac:dyDescent="0.2">
      <c r="A284" s="588"/>
      <c r="B284" s="592" t="s">
        <v>846</v>
      </c>
      <c r="C284" s="651">
        <f t="shared" si="31"/>
        <v>0.34946978325025191</v>
      </c>
      <c r="D284" s="651">
        <f t="shared" si="31"/>
        <v>0.3272539140800928</v>
      </c>
      <c r="E284" s="652">
        <f t="shared" si="32"/>
        <v>-2.2215869170159108E-2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0.43156371042277636</v>
      </c>
      <c r="D287" s="623">
        <f t="shared" si="33"/>
        <v>0.41738618636539476</v>
      </c>
      <c r="E287" s="650">
        <f t="shared" ref="E287:E295" si="34">D287-C287</f>
        <v>-1.4177524057381596E-2</v>
      </c>
    </row>
    <row r="288" spans="1:5" x14ac:dyDescent="0.2">
      <c r="A288" s="588">
        <v>2</v>
      </c>
      <c r="B288" s="587" t="s">
        <v>636</v>
      </c>
      <c r="C288" s="623">
        <f t="shared" si="33"/>
        <v>0.23861354005684027</v>
      </c>
      <c r="D288" s="623">
        <f t="shared" si="33"/>
        <v>0.24328200397895305</v>
      </c>
      <c r="E288" s="650">
        <f t="shared" si="34"/>
        <v>4.6684639221127866E-3</v>
      </c>
    </row>
    <row r="289" spans="1:5" x14ac:dyDescent="0.2">
      <c r="A289" s="588">
        <v>3</v>
      </c>
      <c r="B289" s="587" t="s">
        <v>778</v>
      </c>
      <c r="C289" s="623">
        <f t="shared" si="33"/>
        <v>0.27272492104043461</v>
      </c>
      <c r="D289" s="623">
        <f t="shared" si="33"/>
        <v>0.27791591418929834</v>
      </c>
      <c r="E289" s="650">
        <f t="shared" si="34"/>
        <v>5.1909931488637318E-3</v>
      </c>
    </row>
    <row r="290" spans="1:5" x14ac:dyDescent="0.2">
      <c r="A290" s="588">
        <v>4</v>
      </c>
      <c r="B290" s="587" t="s">
        <v>115</v>
      </c>
      <c r="C290" s="623">
        <f t="shared" si="33"/>
        <v>0.27386758518848831</v>
      </c>
      <c r="D290" s="623">
        <f t="shared" si="33"/>
        <v>0.27887784003079691</v>
      </c>
      <c r="E290" s="650">
        <f t="shared" si="34"/>
        <v>5.0102548423086035E-3</v>
      </c>
    </row>
    <row r="291" spans="1:5" x14ac:dyDescent="0.2">
      <c r="A291" s="588">
        <v>5</v>
      </c>
      <c r="B291" s="587" t="s">
        <v>744</v>
      </c>
      <c r="C291" s="623">
        <f t="shared" si="33"/>
        <v>0.18830655913383409</v>
      </c>
      <c r="D291" s="623">
        <f t="shared" si="33"/>
        <v>0.18900940852160364</v>
      </c>
      <c r="E291" s="650">
        <f t="shared" si="34"/>
        <v>7.0284938776954409E-4</v>
      </c>
    </row>
    <row r="292" spans="1:5" x14ac:dyDescent="0.2">
      <c r="A292" s="588">
        <v>6</v>
      </c>
      <c r="B292" s="587" t="s">
        <v>424</v>
      </c>
      <c r="C292" s="623">
        <f t="shared" si="33"/>
        <v>0.26620634755823208</v>
      </c>
      <c r="D292" s="623">
        <f t="shared" si="33"/>
        <v>0.28311423440998468</v>
      </c>
      <c r="E292" s="650">
        <f t="shared" si="34"/>
        <v>1.6907886851752596E-2</v>
      </c>
    </row>
    <row r="293" spans="1:5" x14ac:dyDescent="0.2">
      <c r="A293" s="588">
        <v>7</v>
      </c>
      <c r="B293" s="587" t="s">
        <v>759</v>
      </c>
      <c r="C293" s="623">
        <f t="shared" si="33"/>
        <v>1.1479978801500453E-2</v>
      </c>
      <c r="D293" s="623">
        <f t="shared" si="33"/>
        <v>4.4355210548182505E-2</v>
      </c>
      <c r="E293" s="650">
        <f t="shared" si="34"/>
        <v>3.2875231746682054E-2</v>
      </c>
    </row>
    <row r="294" spans="1:5" ht="29.25" customHeight="1" x14ac:dyDescent="0.2">
      <c r="A294" s="588"/>
      <c r="B294" s="592" t="s">
        <v>848</v>
      </c>
      <c r="C294" s="651">
        <f t="shared" si="33"/>
        <v>0.24965464291859418</v>
      </c>
      <c r="D294" s="651">
        <f t="shared" si="33"/>
        <v>0.25482867970454909</v>
      </c>
      <c r="E294" s="652">
        <f t="shared" si="34"/>
        <v>5.1740367859549052E-3</v>
      </c>
    </row>
    <row r="295" spans="1:5" x14ac:dyDescent="0.2">
      <c r="A295" s="588"/>
      <c r="B295" s="592" t="s">
        <v>849</v>
      </c>
      <c r="C295" s="651">
        <f t="shared" si="33"/>
        <v>0.34400990713999735</v>
      </c>
      <c r="D295" s="651">
        <f t="shared" si="33"/>
        <v>0.33107974943433915</v>
      </c>
      <c r="E295" s="652">
        <f t="shared" si="34"/>
        <v>-1.2930157705658196E-2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67588359</v>
      </c>
      <c r="D301" s="590">
        <f>+D48+D47+D50+D51+D52+D59+D58+D61+D62+D63</f>
        <v>64943739</v>
      </c>
      <c r="E301" s="590">
        <f>D301-C301</f>
        <v>-2644620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67588359</v>
      </c>
      <c r="D303" s="593">
        <f>+D301+D302</f>
        <v>64943739</v>
      </c>
      <c r="E303" s="593">
        <f>D303-C303</f>
        <v>-2644620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2314956</v>
      </c>
      <c r="D305" s="654">
        <v>-1442946</v>
      </c>
      <c r="E305" s="655">
        <f>D305-C305</f>
        <v>-3757902</v>
      </c>
    </row>
    <row r="306" spans="1:5" x14ac:dyDescent="0.2">
      <c r="A306" s="588">
        <v>4</v>
      </c>
      <c r="B306" s="592" t="s">
        <v>856</v>
      </c>
      <c r="C306" s="593">
        <f>+C303+C305+C194+C190-C191</f>
        <v>77494770</v>
      </c>
      <c r="D306" s="593">
        <f>+D303+D305</f>
        <v>63500793</v>
      </c>
      <c r="E306" s="656">
        <f>D306-C306</f>
        <v>-13993977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69903315</v>
      </c>
      <c r="D308" s="589">
        <v>63500794</v>
      </c>
      <c r="E308" s="590">
        <f>D308-C308</f>
        <v>-6402521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7591455</v>
      </c>
      <c r="D310" s="658">
        <f>D306-D308</f>
        <v>-1</v>
      </c>
      <c r="E310" s="656">
        <f>D310-C310</f>
        <v>-7591456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194913881</v>
      </c>
      <c r="D314" s="590">
        <f>+D14+D15+D16+D19+D25+D26+D27+D30</f>
        <v>197304279</v>
      </c>
      <c r="E314" s="590">
        <f>D314-C314</f>
        <v>2390398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194913881</v>
      </c>
      <c r="D316" s="657">
        <f>D314+D315</f>
        <v>197304279</v>
      </c>
      <c r="E316" s="593">
        <f>D316-C316</f>
        <v>2390398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194913879</v>
      </c>
      <c r="D318" s="589">
        <v>197304279</v>
      </c>
      <c r="E318" s="590">
        <f>D318-C318</f>
        <v>2390400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2</v>
      </c>
      <c r="D320" s="657">
        <f>D316-D318</f>
        <v>0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7100082</v>
      </c>
      <c r="D324" s="589">
        <f>+D193+D194</f>
        <v>6188104</v>
      </c>
      <c r="E324" s="590">
        <f>D324-C324</f>
        <v>-911978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7100082</v>
      </c>
      <c r="D326" s="657">
        <f>D324+D325</f>
        <v>6188104</v>
      </c>
      <c r="E326" s="593">
        <f>D326-C326</f>
        <v>-911978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7100082</v>
      </c>
      <c r="D328" s="589">
        <v>6188104</v>
      </c>
      <c r="E328" s="590">
        <f>D328-C328</f>
        <v>-911978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FILING&amp;RMILFORD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26989492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63576740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8563922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8491118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72804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119348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1574728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72260010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99249502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45994687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34730744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17148910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16965353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183557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180436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3025507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52060090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98054777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72984179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124320100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197304279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10646730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20112609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1687335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1668745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18590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33114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56740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21833058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32479788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19197547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8449365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4765955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4731261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34694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51084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134197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13266404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32463951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29844277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35099462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64943739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916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1867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335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333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2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55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2205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3121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1.397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1.4706999999999999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1.1094501492537314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1.111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0.85140000000000005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1.6774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1.2742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1.4160974603174603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1.4104924383210509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66221864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33792844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32429020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0.48970261543830901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2162080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2162080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579795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5608309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6188104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1352459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72076598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64943739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64943739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-1442946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63500793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63500794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197304279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197304279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197304279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6188104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6188104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6188104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FILING&amp;RMILFORD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512</v>
      </c>
      <c r="D12" s="185">
        <v>1024</v>
      </c>
      <c r="E12" s="185">
        <f>+D12-C12</f>
        <v>512</v>
      </c>
      <c r="F12" s="77">
        <f>IF(C12=0,0,+E12/C12)</f>
        <v>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123</v>
      </c>
      <c r="D13" s="185">
        <v>271</v>
      </c>
      <c r="E13" s="185">
        <f>+D13-C13</f>
        <v>148</v>
      </c>
      <c r="F13" s="77">
        <f>IF(C13=0,0,+E13/C13)</f>
        <v>1.2032520325203253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643601</v>
      </c>
      <c r="D15" s="76">
        <v>579795</v>
      </c>
      <c r="E15" s="76">
        <f>+D15-C15</f>
        <v>-63806</v>
      </c>
      <c r="F15" s="77">
        <f>IF(C15=0,0,+E15/C15)</f>
        <v>-9.9139062866589703E-2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5232.5284552845533</v>
      </c>
      <c r="D16" s="79">
        <f>IF(D13=0,0,+D15/+D13)</f>
        <v>2139.4649446494464</v>
      </c>
      <c r="E16" s="79">
        <f>+D16-C16</f>
        <v>-3093.0635106351069</v>
      </c>
      <c r="F16" s="80">
        <f>IF(C16=0,0,+E16/C16)</f>
        <v>-0.591122157684836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0.472501</v>
      </c>
      <c r="D18" s="704">
        <v>0.40800500000000001</v>
      </c>
      <c r="E18" s="704">
        <f>+D18-C18</f>
        <v>-6.4495999999999998E-2</v>
      </c>
      <c r="F18" s="77">
        <f>IF(C18=0,0,+E18/C18)</f>
        <v>-0.1364991820123132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304102.11610099999</v>
      </c>
      <c r="D19" s="79">
        <f>+D15*D18</f>
        <v>236559.258975</v>
      </c>
      <c r="E19" s="79">
        <f>+D19-C19</f>
        <v>-67542.857125999988</v>
      </c>
      <c r="F19" s="80">
        <f>IF(C19=0,0,+E19/C19)</f>
        <v>-0.22210584389214608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2472.3749276504063</v>
      </c>
      <c r="D20" s="79">
        <f>IF(D13=0,0,+D19/D13)</f>
        <v>872.91239474169743</v>
      </c>
      <c r="E20" s="79">
        <f>+D20-C20</f>
        <v>-1599.4625329087089</v>
      </c>
      <c r="F20" s="80">
        <f>IF(C20=0,0,+E20/C20)</f>
        <v>-0.64693364870381542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424743</v>
      </c>
      <c r="D22" s="76">
        <v>216130</v>
      </c>
      <c r="E22" s="76">
        <f>+D22-C22</f>
        <v>-208613</v>
      </c>
      <c r="F22" s="77">
        <f>IF(C22=0,0,+E22/C22)</f>
        <v>-0.49115111961821617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105854</v>
      </c>
      <c r="D23" s="185">
        <v>76980</v>
      </c>
      <c r="E23" s="185">
        <f>+D23-C23</f>
        <v>-28874</v>
      </c>
      <c r="F23" s="77">
        <f>IF(C23=0,0,+E23/C23)</f>
        <v>-0.27277193115045251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113004</v>
      </c>
      <c r="D24" s="185">
        <v>286685</v>
      </c>
      <c r="E24" s="185">
        <f>+D24-C24</f>
        <v>173681</v>
      </c>
      <c r="F24" s="77">
        <f>IF(C24=0,0,+E24/C24)</f>
        <v>1.5369455948462001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643601</v>
      </c>
      <c r="D25" s="79">
        <f>+D22+D23+D24</f>
        <v>579795</v>
      </c>
      <c r="E25" s="79">
        <f>+E22+E23+E24</f>
        <v>-63806</v>
      </c>
      <c r="F25" s="80">
        <f>IF(C25=0,0,+E25/C25)</f>
        <v>-9.9139062866589703E-2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75</v>
      </c>
      <c r="D27" s="185">
        <v>161</v>
      </c>
      <c r="E27" s="185">
        <f>+D27-C27</f>
        <v>86</v>
      </c>
      <c r="F27" s="77">
        <f>IF(C27=0,0,+E27/C27)</f>
        <v>1.1466666666666667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24</v>
      </c>
      <c r="D28" s="185">
        <v>27</v>
      </c>
      <c r="E28" s="185">
        <f>+D28-C28</f>
        <v>3</v>
      </c>
      <c r="F28" s="77">
        <f>IF(C28=0,0,+E28/C28)</f>
        <v>0.125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76</v>
      </c>
      <c r="D29" s="185">
        <v>198</v>
      </c>
      <c r="E29" s="185">
        <f>+D29-C29</f>
        <v>122</v>
      </c>
      <c r="F29" s="77">
        <f>IF(C29=0,0,+E29/C29)</f>
        <v>1.6052631578947369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15</v>
      </c>
      <c r="D30" s="185">
        <v>52</v>
      </c>
      <c r="E30" s="185">
        <f>+D30-C30</f>
        <v>37</v>
      </c>
      <c r="F30" s="77">
        <f>IF(C30=0,0,+E30/C30)</f>
        <v>2.4666666666666668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1408208</v>
      </c>
      <c r="D33" s="76">
        <v>2284924</v>
      </c>
      <c r="E33" s="76">
        <f>+D33-C33</f>
        <v>876716</v>
      </c>
      <c r="F33" s="77">
        <f>IF(C33=0,0,+E33/C33)</f>
        <v>0.62257564223466988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808223</v>
      </c>
      <c r="D34" s="185">
        <v>691475</v>
      </c>
      <c r="E34" s="185">
        <f>+D34-C34</f>
        <v>-116748</v>
      </c>
      <c r="F34" s="77">
        <f>IF(C34=0,0,+E34/C34)</f>
        <v>-0.14445023217602074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4240050</v>
      </c>
      <c r="D35" s="185">
        <v>2631910</v>
      </c>
      <c r="E35" s="185">
        <f>+D35-C35</f>
        <v>-1608140</v>
      </c>
      <c r="F35" s="77">
        <f>IF(C35=0,0,+E35/C35)</f>
        <v>-0.37927382931805048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6456481</v>
      </c>
      <c r="D36" s="79">
        <f>+D33+D34+D35</f>
        <v>5608309</v>
      </c>
      <c r="E36" s="79">
        <f>+E33+E34+E35</f>
        <v>-848172</v>
      </c>
      <c r="F36" s="80">
        <f>IF(C36=0,0,+E36/C36)</f>
        <v>-0.131367535968897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643601</v>
      </c>
      <c r="D39" s="76">
        <f>+D25</f>
        <v>579795</v>
      </c>
      <c r="E39" s="76">
        <f>+D39-C39</f>
        <v>-63806</v>
      </c>
      <c r="F39" s="77">
        <f>IF(C39=0,0,+E39/C39)</f>
        <v>-9.9139062866589703E-2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6456481</v>
      </c>
      <c r="D40" s="185">
        <f>+D36</f>
        <v>5608309</v>
      </c>
      <c r="E40" s="185">
        <f>+D40-C40</f>
        <v>-848172</v>
      </c>
      <c r="F40" s="77">
        <f>IF(C40=0,0,+E40/C40)</f>
        <v>-0.131367535968897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7100082</v>
      </c>
      <c r="D41" s="79">
        <f>+D39+D40</f>
        <v>6188104</v>
      </c>
      <c r="E41" s="79">
        <f>+E39+E40</f>
        <v>-911978</v>
      </c>
      <c r="F41" s="80">
        <f>IF(C41=0,0,+E41/C41)</f>
        <v>-0.12844612217154674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1832951</v>
      </c>
      <c r="D43" s="76">
        <f t="shared" si="0"/>
        <v>2501054</v>
      </c>
      <c r="E43" s="76">
        <f>+D43-C43</f>
        <v>668103</v>
      </c>
      <c r="F43" s="77">
        <f>IF(C43=0,0,+E43/C43)</f>
        <v>0.36449583213080983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914077</v>
      </c>
      <c r="D44" s="185">
        <f t="shared" si="0"/>
        <v>768455</v>
      </c>
      <c r="E44" s="185">
        <f>+D44-C44</f>
        <v>-145622</v>
      </c>
      <c r="F44" s="77">
        <f>IF(C44=0,0,+E44/C44)</f>
        <v>-0.15931043008411763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4353054</v>
      </c>
      <c r="D45" s="185">
        <f t="shared" si="0"/>
        <v>2918595</v>
      </c>
      <c r="E45" s="185">
        <f>+D45-C45</f>
        <v>-1434459</v>
      </c>
      <c r="F45" s="77">
        <f>IF(C45=0,0,+E45/C45)</f>
        <v>-0.32952933733420259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7100082</v>
      </c>
      <c r="D46" s="79">
        <f>+D43+D44+D45</f>
        <v>6188104</v>
      </c>
      <c r="E46" s="79">
        <f>+E43+E44+E45</f>
        <v>-911978</v>
      </c>
      <c r="F46" s="80">
        <f>IF(C46=0,0,+E46/C46)</f>
        <v>-0.12844612217154674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FILING&amp;RMILFORD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68766683</v>
      </c>
      <c r="D15" s="76">
        <v>66221864</v>
      </c>
      <c r="E15" s="76">
        <f>+D15-C15</f>
        <v>-2544819</v>
      </c>
      <c r="F15" s="77">
        <f>IF(C15=0,0,E15/C15)</f>
        <v>-3.7006569009588555E-2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42980154</v>
      </c>
      <c r="D17" s="76">
        <v>32429020</v>
      </c>
      <c r="E17" s="76">
        <f>+D17-C17</f>
        <v>-10551134</v>
      </c>
      <c r="F17" s="77">
        <f>IF(C17=0,0,E17/C17)</f>
        <v>-0.24548851081361878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25786529</v>
      </c>
      <c r="D19" s="79">
        <f>+D15-D17</f>
        <v>33792844</v>
      </c>
      <c r="E19" s="79">
        <f>+D19-C19</f>
        <v>8006315</v>
      </c>
      <c r="F19" s="80">
        <f>IF(C19=0,0,E19/C19)</f>
        <v>0.31048440059536514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0.62501420927922324</v>
      </c>
      <c r="D21" s="720">
        <f>IF(D15=0,0,D17/D15)</f>
        <v>0.48970261543830901</v>
      </c>
      <c r="E21" s="720">
        <f>+D21-C21</f>
        <v>-0.13531159384091423</v>
      </c>
      <c r="F21" s="80">
        <f>IF(C21=0,0,E21/C21)</f>
        <v>-0.21649362819600182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FILING&amp;R&amp;12MILFORD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96546778</v>
      </c>
      <c r="D10" s="744">
        <v>98180414</v>
      </c>
      <c r="E10" s="744">
        <v>99249502</v>
      </c>
    </row>
    <row r="11" spans="1:6" ht="26.1" customHeight="1" x14ac:dyDescent="0.25">
      <c r="A11" s="742">
        <v>2</v>
      </c>
      <c r="B11" s="743" t="s">
        <v>933</v>
      </c>
      <c r="C11" s="744">
        <v>92875386</v>
      </c>
      <c r="D11" s="744">
        <v>96733467</v>
      </c>
      <c r="E11" s="744">
        <v>98054777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189422164</v>
      </c>
      <c r="D12" s="744">
        <f>+D11+D10</f>
        <v>194913881</v>
      </c>
      <c r="E12" s="744">
        <f>+E11+E10</f>
        <v>197304279</v>
      </c>
    </row>
    <row r="13" spans="1:6" ht="26.1" customHeight="1" x14ac:dyDescent="0.25">
      <c r="A13" s="742">
        <v>4</v>
      </c>
      <c r="B13" s="743" t="s">
        <v>507</v>
      </c>
      <c r="C13" s="744">
        <v>84451715</v>
      </c>
      <c r="D13" s="744">
        <v>69903315</v>
      </c>
      <c r="E13" s="744">
        <v>63500794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90685854</v>
      </c>
      <c r="D16" s="744">
        <v>80117246</v>
      </c>
      <c r="E16" s="744">
        <v>72076598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14756</v>
      </c>
      <c r="D19" s="747">
        <v>13603</v>
      </c>
      <c r="E19" s="747">
        <v>12880</v>
      </c>
    </row>
    <row r="20" spans="1:5" ht="26.1" customHeight="1" x14ac:dyDescent="0.25">
      <c r="A20" s="742">
        <v>2</v>
      </c>
      <c r="B20" s="743" t="s">
        <v>381</v>
      </c>
      <c r="C20" s="748">
        <v>3580</v>
      </c>
      <c r="D20" s="748">
        <v>3348</v>
      </c>
      <c r="E20" s="748">
        <v>3121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4.1217877094972071</v>
      </c>
      <c r="D21" s="749">
        <f>IF(D20=0,0,+D19/D20)</f>
        <v>4.0630227001194745</v>
      </c>
      <c r="E21" s="749">
        <f>IF(E20=0,0,+E19/E20)</f>
        <v>4.1268824094841401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28950.872415276252</v>
      </c>
      <c r="D22" s="748">
        <f>IF(D10=0,0,D19*(D12/D10))</f>
        <v>27005.5239657372</v>
      </c>
      <c r="E22" s="748">
        <f>IF(E10=0,0,E19*(E12/E10))</f>
        <v>25604.955816503742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7023.8630554817692</v>
      </c>
      <c r="D23" s="748">
        <f>IF(D10=0,0,D20*(D12/D10))</f>
        <v>6646.6584016237703</v>
      </c>
      <c r="E23" s="748">
        <f>IF(E10=0,0,E20*(E12/E10))</f>
        <v>6204.430675722685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1.3824720837988829</v>
      </c>
      <c r="D26" s="750">
        <v>1.4130910991636796</v>
      </c>
      <c r="E26" s="750">
        <v>1.4104924383210509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20399.758068536317</v>
      </c>
      <c r="D27" s="748">
        <f>D19*D26</f>
        <v>19222.278221923534</v>
      </c>
      <c r="E27" s="748">
        <f>E19*E26</f>
        <v>18167.142605575136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4949.2500600000003</v>
      </c>
      <c r="D28" s="748">
        <f>D20*D26</f>
        <v>4731.0289999999995</v>
      </c>
      <c r="E28" s="748">
        <f>E20*E26</f>
        <v>4402.1468999999997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40023.772915742557</v>
      </c>
      <c r="D29" s="748">
        <f>D22*D26</f>
        <v>38161.265544234673</v>
      </c>
      <c r="E29" s="748">
        <f>E22*E26</f>
        <v>36115.596562723134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9710.2945946298696</v>
      </c>
      <c r="D30" s="748">
        <f>D23*D26</f>
        <v>9392.3338265160401</v>
      </c>
      <c r="E30" s="748">
        <f>E23*E26</f>
        <v>8751.3025521940144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12836.958796421795</v>
      </c>
      <c r="D33" s="744">
        <f>IF(D19=0,0,D12/D19)</f>
        <v>14328.742262736161</v>
      </c>
      <c r="E33" s="744">
        <f>IF(E19=0,0,E12/E19)</f>
        <v>15318.655201863354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52911.218994413408</v>
      </c>
      <c r="D34" s="744">
        <f>IF(D20=0,0,D12/D20)</f>
        <v>58218.005077658301</v>
      </c>
      <c r="E34" s="744">
        <f>IF(E20=0,0,E12/E20)</f>
        <v>63218.288689522589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6542.8827595554349</v>
      </c>
      <c r="D35" s="744">
        <f>IF(D22=0,0,D12/D22)</f>
        <v>7217.5559802984635</v>
      </c>
      <c r="E35" s="744">
        <f>IF(E22=0,0,E12/E22)</f>
        <v>7705.7066770186348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26968.373743016757</v>
      </c>
      <c r="D36" s="744">
        <f>IF(D23=0,0,D12/D23)</f>
        <v>29325.093787335722</v>
      </c>
      <c r="E36" s="744">
        <f>IF(E23=0,0,E12/E23)</f>
        <v>31800.545338032684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4732.7413234821388</v>
      </c>
      <c r="D37" s="744">
        <f>IF(D29=0,0,D12/D29)</f>
        <v>5107.636715403617</v>
      </c>
      <c r="E37" s="744">
        <f>IF(E29=0,0,E12/E29)</f>
        <v>5463.1322137330671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19507.355019358223</v>
      </c>
      <c r="D38" s="744">
        <f>IF(D30=0,0,D12/D30)</f>
        <v>20752.443918648565</v>
      </c>
      <c r="E38" s="744">
        <f>IF(E30=0,0,E12/E30)</f>
        <v>22545.704233541142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3334.848657239635</v>
      </c>
      <c r="D39" s="744">
        <f>IF(D22=0,0,D10/D22)</f>
        <v>3635.5678239964805</v>
      </c>
      <c r="E39" s="744">
        <f>IF(E22=0,0,E10/E22)</f>
        <v>3876.1832947990665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13745.53820844359</v>
      </c>
      <c r="D40" s="744">
        <f>IF(D23=0,0,D10/D23)</f>
        <v>14771.394596721662</v>
      </c>
      <c r="E40" s="744">
        <f>IF(E23=0,0,E10/E23)</f>
        <v>15996.552655242544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5723.211913797777</v>
      </c>
      <c r="D43" s="744">
        <f>IF(D19=0,0,D13/D19)</f>
        <v>5138.8160699845621</v>
      </c>
      <c r="E43" s="744">
        <f>IF(E19=0,0,E13/E19)</f>
        <v>4930.1858695652172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23589.864525139667</v>
      </c>
      <c r="D44" s="744">
        <f>IF(D20=0,0,D13/D20)</f>
        <v>20879.12634408602</v>
      </c>
      <c r="E44" s="744">
        <f>IF(E20=0,0,E13/E20)</f>
        <v>20346.297340595964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2917.0697790591662</v>
      </c>
      <c r="D45" s="744">
        <f>IF(D22=0,0,D13/D22)</f>
        <v>2588.4820856906404</v>
      </c>
      <c r="E45" s="744">
        <f>IF(E22=0,0,E13/E22)</f>
        <v>2480.0196670939144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12023.542363071801</v>
      </c>
      <c r="D46" s="744">
        <f>IF(D23=0,0,D13/D23)</f>
        <v>10517.061473013673</v>
      </c>
      <c r="E46" s="744">
        <f>IF(E23=0,0,E13/E23)</f>
        <v>10234.749539304587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2110.0388306166556</v>
      </c>
      <c r="D47" s="744">
        <f>IF(D29=0,0,D13/D29)</f>
        <v>1831.7871276824269</v>
      </c>
      <c r="E47" s="744">
        <f>IF(E29=0,0,E13/E29)</f>
        <v>1758.2651276358151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8697.1321185975903</v>
      </c>
      <c r="D48" s="744">
        <f>IF(D30=0,0,D13/D30)</f>
        <v>7442.5926815603507</v>
      </c>
      <c r="E48" s="744">
        <f>IF(E30=0,0,E13/E30)</f>
        <v>7256.1534264496313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6145.6935483870966</v>
      </c>
      <c r="D51" s="744">
        <f>IF(D19=0,0,D16/D19)</f>
        <v>5889.674777622583</v>
      </c>
      <c r="E51" s="744">
        <f>IF(E19=0,0,E16/E19)</f>
        <v>5596.0091614906833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25331.244134078213</v>
      </c>
      <c r="D52" s="744">
        <f>IF(D20=0,0,D16/D20)</f>
        <v>23929.882317801672</v>
      </c>
      <c r="E52" s="744">
        <f>IF(E20=0,0,E16/E20)</f>
        <v>23094.071771867992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3132.4048788301316</v>
      </c>
      <c r="D53" s="744">
        <f>IF(D22=0,0,D16/D22)</f>
        <v>2966.698446645486</v>
      </c>
      <c r="E53" s="744">
        <f>IF(E22=0,0,E16/E22)</f>
        <v>2814.9471733726969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12911.107930731121</v>
      </c>
      <c r="D54" s="744">
        <f>IF(D23=0,0,D16/D23)</f>
        <v>12053.763133129793</v>
      </c>
      <c r="E54" s="744">
        <f>IF(E23=0,0,E16/E23)</f>
        <v>11616.955973418882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2265.7997333462413</v>
      </c>
      <c r="D55" s="744">
        <f>IF(D29=0,0,D16/D29)</f>
        <v>2099.4389168548933</v>
      </c>
      <c r="E55" s="744">
        <f>IF(E29=0,0,E16/E29)</f>
        <v>1995.7194359180035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9339.1454930885848</v>
      </c>
      <c r="D56" s="744">
        <f>IF(D30=0,0,D16/D30)</f>
        <v>8530.0679766956728</v>
      </c>
      <c r="E56" s="744">
        <f>IF(E30=0,0,E16/E30)</f>
        <v>8236.0994343556176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16612248</v>
      </c>
      <c r="D59" s="752">
        <v>16446079</v>
      </c>
      <c r="E59" s="752">
        <v>14893505</v>
      </c>
    </row>
    <row r="60" spans="1:6" ht="26.1" customHeight="1" x14ac:dyDescent="0.25">
      <c r="A60" s="742">
        <v>2</v>
      </c>
      <c r="B60" s="743" t="s">
        <v>969</v>
      </c>
      <c r="C60" s="752">
        <v>6871624</v>
      </c>
      <c r="D60" s="752">
        <v>5577143</v>
      </c>
      <c r="E60" s="752">
        <v>4202695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23483872</v>
      </c>
      <c r="D61" s="755">
        <f>D59+D60</f>
        <v>22023222</v>
      </c>
      <c r="E61" s="755">
        <f>E59+E60</f>
        <v>19096200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5506935</v>
      </c>
      <c r="D64" s="744">
        <v>5633239</v>
      </c>
      <c r="E64" s="752">
        <v>4236141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771654</v>
      </c>
      <c r="D65" s="752">
        <v>695961</v>
      </c>
      <c r="E65" s="752">
        <v>560359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6278589</v>
      </c>
      <c r="D66" s="757">
        <f>D64+D65</f>
        <v>6329200</v>
      </c>
      <c r="E66" s="757">
        <f>E64+E65</f>
        <v>4796500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15846036</v>
      </c>
      <c r="D69" s="752">
        <v>15739752</v>
      </c>
      <c r="E69" s="752">
        <v>16557712</v>
      </c>
    </row>
    <row r="70" spans="1:6" ht="26.1" customHeight="1" x14ac:dyDescent="0.25">
      <c r="A70" s="742">
        <v>2</v>
      </c>
      <c r="B70" s="743" t="s">
        <v>977</v>
      </c>
      <c r="C70" s="752">
        <v>6895421</v>
      </c>
      <c r="D70" s="752">
        <v>5907420</v>
      </c>
      <c r="E70" s="752">
        <v>4576268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22741457</v>
      </c>
      <c r="D71" s="755">
        <f>D69+D70</f>
        <v>21647172</v>
      </c>
      <c r="E71" s="755">
        <f>E69+E70</f>
        <v>21133980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37965219</v>
      </c>
      <c r="D75" s="744">
        <f t="shared" si="0"/>
        <v>37819070</v>
      </c>
      <c r="E75" s="744">
        <f t="shared" si="0"/>
        <v>35687358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14538699</v>
      </c>
      <c r="D76" s="744">
        <f t="shared" si="0"/>
        <v>12180524</v>
      </c>
      <c r="E76" s="744">
        <f t="shared" si="0"/>
        <v>9339322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52503918</v>
      </c>
      <c r="D77" s="757">
        <f>D75+D76</f>
        <v>49999594</v>
      </c>
      <c r="E77" s="757">
        <f>E75+E76</f>
        <v>45026680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195</v>
      </c>
      <c r="D80" s="749">
        <v>170.7</v>
      </c>
      <c r="E80" s="749">
        <v>195</v>
      </c>
    </row>
    <row r="81" spans="1:5" ht="26.1" customHeight="1" x14ac:dyDescent="0.25">
      <c r="A81" s="742">
        <v>2</v>
      </c>
      <c r="B81" s="743" t="s">
        <v>617</v>
      </c>
      <c r="C81" s="749">
        <v>18</v>
      </c>
      <c r="D81" s="749">
        <v>20.6</v>
      </c>
      <c r="E81" s="749">
        <v>13</v>
      </c>
    </row>
    <row r="82" spans="1:5" ht="26.1" customHeight="1" x14ac:dyDescent="0.25">
      <c r="A82" s="742">
        <v>3</v>
      </c>
      <c r="B82" s="743" t="s">
        <v>983</v>
      </c>
      <c r="C82" s="749">
        <v>294</v>
      </c>
      <c r="D82" s="749">
        <v>307.3</v>
      </c>
      <c r="E82" s="749">
        <v>260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507</v>
      </c>
      <c r="D83" s="759">
        <f>D80+D81+D82</f>
        <v>498.6</v>
      </c>
      <c r="E83" s="759">
        <f>E80+E81+E82</f>
        <v>468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85191.015384615384</v>
      </c>
      <c r="D86" s="752">
        <f>IF(D80=0,0,D59/D80)</f>
        <v>96344.926772114821</v>
      </c>
      <c r="E86" s="752">
        <f>IF(E80=0,0,E59/E80)</f>
        <v>76376.948717948719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35239.097435897434</v>
      </c>
      <c r="D87" s="752">
        <f>IF(D80=0,0,D60/D80)</f>
        <v>32672.190978324546</v>
      </c>
      <c r="E87" s="752">
        <f>IF(E80=0,0,E60/E80)</f>
        <v>21552.282051282051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120430.11282051282</v>
      </c>
      <c r="D88" s="755">
        <f>+D86+D87</f>
        <v>129017.11775043937</v>
      </c>
      <c r="E88" s="755">
        <f>+E86+E87</f>
        <v>97929.230769230766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305940.83333333331</v>
      </c>
      <c r="D91" s="744">
        <f>IF(D81=0,0,D64/D81)</f>
        <v>273458.20388349512</v>
      </c>
      <c r="E91" s="744">
        <f>IF(E81=0,0,E64/E81)</f>
        <v>325857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42869.666666666664</v>
      </c>
      <c r="D92" s="744">
        <f>IF(D81=0,0,D65/D81)</f>
        <v>33784.514563106794</v>
      </c>
      <c r="E92" s="744">
        <f>IF(E81=0,0,E65/E81)</f>
        <v>43104.538461538461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348810.5</v>
      </c>
      <c r="D93" s="757">
        <f>+D91+D92</f>
        <v>307242.71844660194</v>
      </c>
      <c r="E93" s="757">
        <f>+E91+E92</f>
        <v>368961.53846153844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53898.081632653062</v>
      </c>
      <c r="D96" s="752">
        <f>IF(D82=0,0,D69/D82)</f>
        <v>51219.498861047832</v>
      </c>
      <c r="E96" s="752">
        <f>IF(E82=0,0,E69/E82)</f>
        <v>63683.507692307692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23453.812925170067</v>
      </c>
      <c r="D97" s="752">
        <f>IF(D82=0,0,D70/D82)</f>
        <v>19223.625122030589</v>
      </c>
      <c r="E97" s="752">
        <f>IF(E82=0,0,E70/E82)</f>
        <v>17601.030769230769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77351.894557823136</v>
      </c>
      <c r="D98" s="757">
        <f>+D96+D97</f>
        <v>70443.123983078418</v>
      </c>
      <c r="E98" s="757">
        <f>+E96+E97</f>
        <v>81284.538461538468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74882.088757396443</v>
      </c>
      <c r="D101" s="744">
        <f>IF(D83=0,0,D75/D83)</f>
        <v>75850.521460088246</v>
      </c>
      <c r="E101" s="744">
        <f>IF(E83=0,0,E75/E83)</f>
        <v>76255.038461538468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28675.934911242603</v>
      </c>
      <c r="D102" s="761">
        <f>IF(D83=0,0,D76/D83)</f>
        <v>24429.450461291617</v>
      </c>
      <c r="E102" s="761">
        <f>IF(E83=0,0,E76/E83)</f>
        <v>19955.816239316238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103558.02366863904</v>
      </c>
      <c r="D103" s="757">
        <f>+D101+D102</f>
        <v>100279.97192137987</v>
      </c>
      <c r="E103" s="757">
        <f>+E101+E102</f>
        <v>96210.854700854703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3558.1402819192194</v>
      </c>
      <c r="D108" s="744">
        <f>IF(D19=0,0,D77/D19)</f>
        <v>3675.6299345732559</v>
      </c>
      <c r="E108" s="744">
        <f>IF(E19=0,0,E77/E19)</f>
        <v>3495.8602484472049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14665.898882681564</v>
      </c>
      <c r="D109" s="744">
        <f>IF(D20=0,0,D77/D20)</f>
        <v>14934.167861409796</v>
      </c>
      <c r="E109" s="744">
        <f>IF(E20=0,0,E77/E20)</f>
        <v>14427.004165331624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1813.5521875429122</v>
      </c>
      <c r="D110" s="744">
        <f>IF(D22=0,0,D77/D22)</f>
        <v>1851.4580225673878</v>
      </c>
      <c r="E110" s="744">
        <f>IF(E22=0,0,E77/E22)</f>
        <v>1758.514262734167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7475.0771171461483</v>
      </c>
      <c r="D111" s="744">
        <f>IF(D23=0,0,D77/D23)</f>
        <v>7522.5159740096105</v>
      </c>
      <c r="E111" s="744">
        <f>IF(E23=0,0,E77/E23)</f>
        <v>7257.181577704604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1311.8183063483409</v>
      </c>
      <c r="D112" s="744">
        <f>IF(D29=0,0,D77/D29)</f>
        <v>1310.2184449842973</v>
      </c>
      <c r="E112" s="744">
        <f>IF(E29=0,0,E77/E29)</f>
        <v>1246.7378164943418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5407.0365722000333</v>
      </c>
      <c r="D113" s="744">
        <f>IF(D30=0,0,D77/D30)</f>
        <v>5323.4472840864382</v>
      </c>
      <c r="E113" s="744">
        <f>IF(E30=0,0,E77/E30)</f>
        <v>5145.1403641291645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FILING&amp;R&amp;"Arial,Bold"&amp;12MILFORD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194913879</v>
      </c>
      <c r="D12" s="76">
        <v>197304278</v>
      </c>
      <c r="E12" s="76">
        <f t="shared" ref="E12:E21" si="0">D12-C12</f>
        <v>2390399</v>
      </c>
      <c r="F12" s="77">
        <f t="shared" ref="F12:F21" si="1">IF(C12=0,0,E12/C12)</f>
        <v>1.2263872702466714E-2</v>
      </c>
    </row>
    <row r="13" spans="1:8" ht="23.1" customHeight="1" x14ac:dyDescent="0.2">
      <c r="A13" s="74">
        <v>2</v>
      </c>
      <c r="B13" s="75" t="s">
        <v>72</v>
      </c>
      <c r="C13" s="76">
        <v>117910482</v>
      </c>
      <c r="D13" s="76">
        <v>126172435</v>
      </c>
      <c r="E13" s="76">
        <f t="shared" si="0"/>
        <v>8261953</v>
      </c>
      <c r="F13" s="77">
        <f t="shared" si="1"/>
        <v>7.0069707627859579E-2</v>
      </c>
    </row>
    <row r="14" spans="1:8" ht="23.1" customHeight="1" x14ac:dyDescent="0.2">
      <c r="A14" s="74">
        <v>3</v>
      </c>
      <c r="B14" s="75" t="s">
        <v>73</v>
      </c>
      <c r="C14" s="76">
        <v>643601</v>
      </c>
      <c r="D14" s="76">
        <v>579794</v>
      </c>
      <c r="E14" s="76">
        <f t="shared" si="0"/>
        <v>-63807</v>
      </c>
      <c r="F14" s="77">
        <f t="shared" si="1"/>
        <v>-9.914061662427498E-2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1442946</v>
      </c>
      <c r="E15" s="76">
        <f t="shared" si="0"/>
        <v>1442946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76359796</v>
      </c>
      <c r="D16" s="79">
        <f>D12-D13-D14-D15</f>
        <v>69109103</v>
      </c>
      <c r="E16" s="79">
        <f t="shared" si="0"/>
        <v>-7250693</v>
      </c>
      <c r="F16" s="80">
        <f t="shared" si="1"/>
        <v>-9.4954326488771654E-2</v>
      </c>
    </row>
    <row r="17" spans="1:7" ht="23.1" customHeight="1" x14ac:dyDescent="0.2">
      <c r="A17" s="74">
        <v>5</v>
      </c>
      <c r="B17" s="75" t="s">
        <v>76</v>
      </c>
      <c r="C17" s="76">
        <v>6456481</v>
      </c>
      <c r="D17" s="76">
        <v>5608309</v>
      </c>
      <c r="E17" s="76">
        <f t="shared" si="0"/>
        <v>-848172</v>
      </c>
      <c r="F17" s="77">
        <f t="shared" si="1"/>
        <v>-0.131367535968897</v>
      </c>
      <c r="G17" s="65"/>
    </row>
    <row r="18" spans="1:7" ht="31.5" customHeight="1" x14ac:dyDescent="0.25">
      <c r="A18" s="71"/>
      <c r="B18" s="81" t="s">
        <v>77</v>
      </c>
      <c r="C18" s="79">
        <f>C16-C17</f>
        <v>69903315</v>
      </c>
      <c r="D18" s="79">
        <f>D16-D17</f>
        <v>63500794</v>
      </c>
      <c r="E18" s="79">
        <f t="shared" si="0"/>
        <v>-6402521</v>
      </c>
      <c r="F18" s="80">
        <f t="shared" si="1"/>
        <v>-9.1591092639884103E-2</v>
      </c>
    </row>
    <row r="19" spans="1:7" ht="23.1" customHeight="1" x14ac:dyDescent="0.2">
      <c r="A19" s="74">
        <v>6</v>
      </c>
      <c r="B19" s="75" t="s">
        <v>78</v>
      </c>
      <c r="C19" s="76">
        <v>1449445</v>
      </c>
      <c r="D19" s="76">
        <v>1352459</v>
      </c>
      <c r="E19" s="76">
        <f t="shared" si="0"/>
        <v>-96986</v>
      </c>
      <c r="F19" s="77">
        <f t="shared" si="1"/>
        <v>-6.6912507890951364E-2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71352760</v>
      </c>
      <c r="D21" s="79">
        <f>SUM(D18:D20)</f>
        <v>64853253</v>
      </c>
      <c r="E21" s="79">
        <f t="shared" si="0"/>
        <v>-6499507</v>
      </c>
      <c r="F21" s="80">
        <f t="shared" si="1"/>
        <v>-9.1089777045765291E-2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37819070</v>
      </c>
      <c r="D24" s="76">
        <v>35687358</v>
      </c>
      <c r="E24" s="76">
        <f t="shared" ref="E24:E33" si="2">D24-C24</f>
        <v>-2131712</v>
      </c>
      <c r="F24" s="77">
        <f t="shared" ref="F24:F33" si="3">IF(C24=0,0,E24/C24)</f>
        <v>-5.6366060825927239E-2</v>
      </c>
    </row>
    <row r="25" spans="1:7" ht="23.1" customHeight="1" x14ac:dyDescent="0.2">
      <c r="A25" s="74">
        <v>2</v>
      </c>
      <c r="B25" s="75" t="s">
        <v>83</v>
      </c>
      <c r="C25" s="76">
        <v>12180524</v>
      </c>
      <c r="D25" s="76">
        <v>9339322</v>
      </c>
      <c r="E25" s="76">
        <f t="shared" si="2"/>
        <v>-2841202</v>
      </c>
      <c r="F25" s="77">
        <f t="shared" si="3"/>
        <v>-0.23325778102813968</v>
      </c>
    </row>
    <row r="26" spans="1:7" ht="23.1" customHeight="1" x14ac:dyDescent="0.2">
      <c r="A26" s="74">
        <v>3</v>
      </c>
      <c r="B26" s="75" t="s">
        <v>84</v>
      </c>
      <c r="C26" s="76">
        <v>722901</v>
      </c>
      <c r="D26" s="76">
        <v>770256</v>
      </c>
      <c r="E26" s="76">
        <f t="shared" si="2"/>
        <v>47355</v>
      </c>
      <c r="F26" s="77">
        <f t="shared" si="3"/>
        <v>6.5506895135018492E-2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11584106</v>
      </c>
      <c r="D27" s="76">
        <v>12428440</v>
      </c>
      <c r="E27" s="76">
        <f t="shared" si="2"/>
        <v>844334</v>
      </c>
      <c r="F27" s="77">
        <f t="shared" si="3"/>
        <v>7.2887281936128687E-2</v>
      </c>
    </row>
    <row r="28" spans="1:7" ht="23.1" customHeight="1" x14ac:dyDescent="0.2">
      <c r="A28" s="74">
        <v>5</v>
      </c>
      <c r="B28" s="75" t="s">
        <v>86</v>
      </c>
      <c r="C28" s="76">
        <v>4180977</v>
      </c>
      <c r="D28" s="76">
        <v>2687549</v>
      </c>
      <c r="E28" s="76">
        <f t="shared" si="2"/>
        <v>-1493428</v>
      </c>
      <c r="F28" s="77">
        <f t="shared" si="3"/>
        <v>-0.35719593769590219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34936</v>
      </c>
      <c r="D30" s="76">
        <v>26961</v>
      </c>
      <c r="E30" s="76">
        <f t="shared" si="2"/>
        <v>-7975</v>
      </c>
      <c r="F30" s="77">
        <f t="shared" si="3"/>
        <v>-0.22827455919395467</v>
      </c>
    </row>
    <row r="31" spans="1:7" ht="23.1" customHeight="1" x14ac:dyDescent="0.2">
      <c r="A31" s="74">
        <v>8</v>
      </c>
      <c r="B31" s="75" t="s">
        <v>89</v>
      </c>
      <c r="C31" s="76">
        <v>2479413</v>
      </c>
      <c r="D31" s="76">
        <v>746227</v>
      </c>
      <c r="E31" s="76">
        <f t="shared" si="2"/>
        <v>-1733186</v>
      </c>
      <c r="F31" s="77">
        <f t="shared" si="3"/>
        <v>-0.6990307786560771</v>
      </c>
    </row>
    <row r="32" spans="1:7" ht="23.1" customHeight="1" x14ac:dyDescent="0.2">
      <c r="A32" s="74">
        <v>9</v>
      </c>
      <c r="B32" s="75" t="s">
        <v>90</v>
      </c>
      <c r="C32" s="76">
        <v>11115319</v>
      </c>
      <c r="D32" s="76">
        <v>10390485</v>
      </c>
      <c r="E32" s="76">
        <f t="shared" si="2"/>
        <v>-724834</v>
      </c>
      <c r="F32" s="77">
        <f t="shared" si="3"/>
        <v>-6.5210364182980263E-2</v>
      </c>
    </row>
    <row r="33" spans="1:6" ht="23.1" customHeight="1" x14ac:dyDescent="0.25">
      <c r="A33" s="71"/>
      <c r="B33" s="78" t="s">
        <v>91</v>
      </c>
      <c r="C33" s="79">
        <f>SUM(C24:C32)</f>
        <v>80117246</v>
      </c>
      <c r="D33" s="79">
        <f>SUM(D24:D32)</f>
        <v>72076598</v>
      </c>
      <c r="E33" s="79">
        <f t="shared" si="2"/>
        <v>-8040648</v>
      </c>
      <c r="F33" s="80">
        <f t="shared" si="3"/>
        <v>-0.1003610134077749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-8764486</v>
      </c>
      <c r="D35" s="79">
        <f>+D21-D33</f>
        <v>-7223345</v>
      </c>
      <c r="E35" s="79">
        <f>D35-C35</f>
        <v>1541141</v>
      </c>
      <c r="F35" s="80">
        <f>IF(C35=0,0,E35/C35)</f>
        <v>-0.17583929051857691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324629</v>
      </c>
      <c r="D38" s="76">
        <v>360284</v>
      </c>
      <c r="E38" s="76">
        <f>D38-C38</f>
        <v>35655</v>
      </c>
      <c r="F38" s="77">
        <f>IF(C38=0,0,E38/C38)</f>
        <v>0.1098330709825678</v>
      </c>
    </row>
    <row r="39" spans="1:6" ht="23.1" customHeight="1" x14ac:dyDescent="0.2">
      <c r="A39" s="85">
        <v>2</v>
      </c>
      <c r="B39" s="75" t="s">
        <v>95</v>
      </c>
      <c r="C39" s="76">
        <v>300669</v>
      </c>
      <c r="D39" s="76">
        <v>1905</v>
      </c>
      <c r="E39" s="76">
        <f>D39-C39</f>
        <v>-298764</v>
      </c>
      <c r="F39" s="77">
        <f>IF(C39=0,0,E39/C39)</f>
        <v>-0.99366412899234702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625298</v>
      </c>
      <c r="D41" s="79">
        <f>SUM(D38:D40)</f>
        <v>362189</v>
      </c>
      <c r="E41" s="79">
        <f>D41-C41</f>
        <v>-263109</v>
      </c>
      <c r="F41" s="80">
        <f>IF(C41=0,0,E41/C41)</f>
        <v>-0.42077377506404945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-8139188</v>
      </c>
      <c r="D43" s="79">
        <f>D35+D41</f>
        <v>-6861156</v>
      </c>
      <c r="E43" s="79">
        <f>D43-C43</f>
        <v>1278032</v>
      </c>
      <c r="F43" s="80">
        <f>IF(C43=0,0,E43/C43)</f>
        <v>-0.15702205183121462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-736830</v>
      </c>
      <c r="D46" s="76">
        <v>-342578</v>
      </c>
      <c r="E46" s="76">
        <f>D46-C46</f>
        <v>394252</v>
      </c>
      <c r="F46" s="77">
        <f>IF(C46=0,0,E46/C46)</f>
        <v>-0.5350650760691068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-736830</v>
      </c>
      <c r="D48" s="79">
        <f>SUM(D46:D47)</f>
        <v>-342578</v>
      </c>
      <c r="E48" s="79">
        <f>D48-C48</f>
        <v>394252</v>
      </c>
      <c r="F48" s="80">
        <f>IF(C48=0,0,E48/C48)</f>
        <v>-0.5350650760691068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-8876018</v>
      </c>
      <c r="D50" s="79">
        <f>D43+D48</f>
        <v>-7203734</v>
      </c>
      <c r="E50" s="79">
        <f>D50-C50</f>
        <v>1672284</v>
      </c>
      <c r="F50" s="80">
        <f>IF(C50=0,0,E50/C50)</f>
        <v>-0.18840475537566509</v>
      </c>
    </row>
    <row r="51" spans="1:6" ht="23.1" customHeight="1" x14ac:dyDescent="0.2">
      <c r="A51" s="85"/>
      <c r="B51" s="75" t="s">
        <v>104</v>
      </c>
      <c r="C51" s="76">
        <v>935367</v>
      </c>
      <c r="D51" s="76">
        <v>1</v>
      </c>
      <c r="E51" s="76">
        <f>D51-C51</f>
        <v>-935366</v>
      </c>
      <c r="F51" s="77">
        <f>IF(C51=0,0,E51/C51)</f>
        <v>-0.99999893090091907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FILING&amp;RMILFORD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47673191</v>
      </c>
      <c r="D14" s="113">
        <v>46013180</v>
      </c>
      <c r="E14" s="113">
        <f t="shared" ref="E14:E25" si="0">D14-C14</f>
        <v>-1660011</v>
      </c>
      <c r="F14" s="114">
        <f t="shared" ref="F14:F25" si="1">IF(C14=0,0,E14/C14)</f>
        <v>-3.4820639549804834E-2</v>
      </c>
    </row>
    <row r="15" spans="1:6" x14ac:dyDescent="0.2">
      <c r="A15" s="115">
        <v>2</v>
      </c>
      <c r="B15" s="116" t="s">
        <v>114</v>
      </c>
      <c r="C15" s="113">
        <v>16838321</v>
      </c>
      <c r="D15" s="113">
        <v>17563560</v>
      </c>
      <c r="E15" s="113">
        <f t="shared" si="0"/>
        <v>725239</v>
      </c>
      <c r="F15" s="114">
        <f t="shared" si="1"/>
        <v>4.3070743217212687E-2</v>
      </c>
    </row>
    <row r="16" spans="1:6" x14ac:dyDescent="0.2">
      <c r="A16" s="115">
        <v>3</v>
      </c>
      <c r="B16" s="116" t="s">
        <v>115</v>
      </c>
      <c r="C16" s="113">
        <v>3647163</v>
      </c>
      <c r="D16" s="113">
        <v>8491118</v>
      </c>
      <c r="E16" s="113">
        <f t="shared" si="0"/>
        <v>4843955</v>
      </c>
      <c r="F16" s="114">
        <f t="shared" si="1"/>
        <v>1.3281432719075073</v>
      </c>
    </row>
    <row r="17" spans="1:6" x14ac:dyDescent="0.2">
      <c r="A17" s="115">
        <v>4</v>
      </c>
      <c r="B17" s="116" t="s">
        <v>116</v>
      </c>
      <c r="C17" s="113">
        <v>1577197</v>
      </c>
      <c r="D17" s="113">
        <v>0</v>
      </c>
      <c r="E17" s="113">
        <f t="shared" si="0"/>
        <v>-1577197</v>
      </c>
      <c r="F17" s="114">
        <f t="shared" si="1"/>
        <v>-1</v>
      </c>
    </row>
    <row r="18" spans="1:6" x14ac:dyDescent="0.2">
      <c r="A18" s="115">
        <v>5</v>
      </c>
      <c r="B18" s="116" t="s">
        <v>117</v>
      </c>
      <c r="C18" s="113">
        <v>174774</v>
      </c>
      <c r="D18" s="113">
        <v>119348</v>
      </c>
      <c r="E18" s="113">
        <f t="shared" si="0"/>
        <v>-55426</v>
      </c>
      <c r="F18" s="114">
        <f t="shared" si="1"/>
        <v>-0.3171295501619234</v>
      </c>
    </row>
    <row r="19" spans="1:6" x14ac:dyDescent="0.2">
      <c r="A19" s="115">
        <v>6</v>
      </c>
      <c r="B19" s="116" t="s">
        <v>118</v>
      </c>
      <c r="C19" s="113">
        <v>0</v>
      </c>
      <c r="D19" s="113">
        <v>0</v>
      </c>
      <c r="E19" s="113">
        <f t="shared" si="0"/>
        <v>0</v>
      </c>
      <c r="F19" s="114">
        <f t="shared" si="1"/>
        <v>0</v>
      </c>
    </row>
    <row r="20" spans="1:6" x14ac:dyDescent="0.2">
      <c r="A20" s="115">
        <v>7</v>
      </c>
      <c r="B20" s="116" t="s">
        <v>119</v>
      </c>
      <c r="C20" s="113">
        <v>26124829</v>
      </c>
      <c r="D20" s="113">
        <v>24892987</v>
      </c>
      <c r="E20" s="113">
        <f t="shared" si="0"/>
        <v>-1231842</v>
      </c>
      <c r="F20" s="114">
        <f t="shared" si="1"/>
        <v>-4.7152155522242847E-2</v>
      </c>
    </row>
    <row r="21" spans="1:6" x14ac:dyDescent="0.2">
      <c r="A21" s="115">
        <v>8</v>
      </c>
      <c r="B21" s="116" t="s">
        <v>120</v>
      </c>
      <c r="C21" s="113">
        <v>750068</v>
      </c>
      <c r="D21" s="113">
        <v>521777</v>
      </c>
      <c r="E21" s="113">
        <f t="shared" si="0"/>
        <v>-228291</v>
      </c>
      <c r="F21" s="114">
        <f t="shared" si="1"/>
        <v>-0.30436040465664449</v>
      </c>
    </row>
    <row r="22" spans="1:6" x14ac:dyDescent="0.2">
      <c r="A22" s="115">
        <v>9</v>
      </c>
      <c r="B22" s="116" t="s">
        <v>121</v>
      </c>
      <c r="C22" s="113">
        <v>1363537</v>
      </c>
      <c r="D22" s="113">
        <v>1574728</v>
      </c>
      <c r="E22" s="113">
        <f t="shared" si="0"/>
        <v>211191</v>
      </c>
      <c r="F22" s="114">
        <f t="shared" si="1"/>
        <v>0.1548846859307815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31334</v>
      </c>
      <c r="D24" s="113">
        <v>72804</v>
      </c>
      <c r="E24" s="113">
        <f t="shared" si="0"/>
        <v>41470</v>
      </c>
      <c r="F24" s="114">
        <f t="shared" si="1"/>
        <v>1.3234824790961894</v>
      </c>
    </row>
    <row r="25" spans="1:6" ht="15.75" x14ac:dyDescent="0.25">
      <c r="A25" s="117"/>
      <c r="B25" s="118" t="s">
        <v>124</v>
      </c>
      <c r="C25" s="119">
        <f>SUM(C14:C24)</f>
        <v>98180414</v>
      </c>
      <c r="D25" s="119">
        <f>SUM(D14:D24)</f>
        <v>99249502</v>
      </c>
      <c r="E25" s="119">
        <f t="shared" si="0"/>
        <v>1069088</v>
      </c>
      <c r="F25" s="120">
        <f t="shared" si="1"/>
        <v>1.0889014992338492E-2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21464079</v>
      </c>
      <c r="D27" s="113">
        <v>23774337</v>
      </c>
      <c r="E27" s="113">
        <f t="shared" ref="E27:E38" si="2">D27-C27</f>
        <v>2310258</v>
      </c>
      <c r="F27" s="114">
        <f t="shared" ref="F27:F38" si="3">IF(C27=0,0,E27/C27)</f>
        <v>0.1076336888249433</v>
      </c>
    </row>
    <row r="28" spans="1:6" x14ac:dyDescent="0.2">
      <c r="A28" s="115">
        <v>2</v>
      </c>
      <c r="B28" s="116" t="s">
        <v>114</v>
      </c>
      <c r="C28" s="113">
        <v>9980176</v>
      </c>
      <c r="D28" s="113">
        <v>10956407</v>
      </c>
      <c r="E28" s="113">
        <f t="shared" si="2"/>
        <v>976231</v>
      </c>
      <c r="F28" s="114">
        <f t="shared" si="3"/>
        <v>9.7817012445471904E-2</v>
      </c>
    </row>
    <row r="29" spans="1:6" x14ac:dyDescent="0.2">
      <c r="A29" s="115">
        <v>3</v>
      </c>
      <c r="B29" s="116" t="s">
        <v>115</v>
      </c>
      <c r="C29" s="113">
        <v>7035226</v>
      </c>
      <c r="D29" s="113">
        <v>16965353</v>
      </c>
      <c r="E29" s="113">
        <f t="shared" si="2"/>
        <v>9930127</v>
      </c>
      <c r="F29" s="114">
        <f t="shared" si="3"/>
        <v>1.4114865677378381</v>
      </c>
    </row>
    <row r="30" spans="1:6" x14ac:dyDescent="0.2">
      <c r="A30" s="115">
        <v>4</v>
      </c>
      <c r="B30" s="116" t="s">
        <v>116</v>
      </c>
      <c r="C30" s="113">
        <v>7648947</v>
      </c>
      <c r="D30" s="113">
        <v>0</v>
      </c>
      <c r="E30" s="113">
        <f t="shared" si="2"/>
        <v>-7648947</v>
      </c>
      <c r="F30" s="114">
        <f t="shared" si="3"/>
        <v>-1</v>
      </c>
    </row>
    <row r="31" spans="1:6" x14ac:dyDescent="0.2">
      <c r="A31" s="115">
        <v>5</v>
      </c>
      <c r="B31" s="116" t="s">
        <v>117</v>
      </c>
      <c r="C31" s="113">
        <v>231144</v>
      </c>
      <c r="D31" s="113">
        <v>180436</v>
      </c>
      <c r="E31" s="113">
        <f t="shared" si="2"/>
        <v>-50708</v>
      </c>
      <c r="F31" s="114">
        <f t="shared" si="3"/>
        <v>-0.21937839615131693</v>
      </c>
    </row>
    <row r="32" spans="1:6" x14ac:dyDescent="0.2">
      <c r="A32" s="115">
        <v>6</v>
      </c>
      <c r="B32" s="116" t="s">
        <v>118</v>
      </c>
      <c r="C32" s="113">
        <v>0</v>
      </c>
      <c r="D32" s="113">
        <v>0</v>
      </c>
      <c r="E32" s="113">
        <f t="shared" si="2"/>
        <v>0</v>
      </c>
      <c r="F32" s="114">
        <f t="shared" si="3"/>
        <v>0</v>
      </c>
    </row>
    <row r="33" spans="1:6" x14ac:dyDescent="0.2">
      <c r="A33" s="115">
        <v>7</v>
      </c>
      <c r="B33" s="116" t="s">
        <v>119</v>
      </c>
      <c r="C33" s="113">
        <v>43358999</v>
      </c>
      <c r="D33" s="113">
        <v>41749036</v>
      </c>
      <c r="E33" s="113">
        <f t="shared" si="2"/>
        <v>-1609963</v>
      </c>
      <c r="F33" s="114">
        <f t="shared" si="3"/>
        <v>-3.7131000187527394E-2</v>
      </c>
    </row>
    <row r="34" spans="1:6" x14ac:dyDescent="0.2">
      <c r="A34" s="115">
        <v>8</v>
      </c>
      <c r="B34" s="116" t="s">
        <v>120</v>
      </c>
      <c r="C34" s="113">
        <v>1308198</v>
      </c>
      <c r="D34" s="113">
        <v>1220144</v>
      </c>
      <c r="E34" s="113">
        <f t="shared" si="2"/>
        <v>-88054</v>
      </c>
      <c r="F34" s="114">
        <f t="shared" si="3"/>
        <v>-6.7309382830427811E-2</v>
      </c>
    </row>
    <row r="35" spans="1:6" x14ac:dyDescent="0.2">
      <c r="A35" s="115">
        <v>9</v>
      </c>
      <c r="B35" s="116" t="s">
        <v>121</v>
      </c>
      <c r="C35" s="113">
        <v>5507937</v>
      </c>
      <c r="D35" s="113">
        <v>3025507</v>
      </c>
      <c r="E35" s="113">
        <f t="shared" si="2"/>
        <v>-2482430</v>
      </c>
      <c r="F35" s="114">
        <f t="shared" si="3"/>
        <v>-0.45070050728612182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198761</v>
      </c>
      <c r="D37" s="113">
        <v>183557</v>
      </c>
      <c r="E37" s="113">
        <f t="shared" si="2"/>
        <v>-15204</v>
      </c>
      <c r="F37" s="114">
        <f t="shared" si="3"/>
        <v>-7.6493879584023025E-2</v>
      </c>
    </row>
    <row r="38" spans="1:6" ht="15.75" x14ac:dyDescent="0.25">
      <c r="A38" s="117"/>
      <c r="B38" s="118" t="s">
        <v>126</v>
      </c>
      <c r="C38" s="119">
        <f>SUM(C27:C37)</f>
        <v>96733467</v>
      </c>
      <c r="D38" s="119">
        <f>SUM(D27:D37)</f>
        <v>98054777</v>
      </c>
      <c r="E38" s="119">
        <f t="shared" si="2"/>
        <v>1321310</v>
      </c>
      <c r="F38" s="120">
        <f t="shared" si="3"/>
        <v>1.3659285053848013E-2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69137270</v>
      </c>
      <c r="D41" s="119">
        <f t="shared" si="4"/>
        <v>69787517</v>
      </c>
      <c r="E41" s="123">
        <f t="shared" ref="E41:E52" si="5">D41-C41</f>
        <v>650247</v>
      </c>
      <c r="F41" s="124">
        <f t="shared" ref="F41:F52" si="6">IF(C41=0,0,E41/C41)</f>
        <v>9.4051587515677146E-3</v>
      </c>
    </row>
    <row r="42" spans="1:6" ht="15.75" x14ac:dyDescent="0.25">
      <c r="A42" s="121">
        <v>2</v>
      </c>
      <c r="B42" s="122" t="s">
        <v>114</v>
      </c>
      <c r="C42" s="119">
        <f t="shared" si="4"/>
        <v>26818497</v>
      </c>
      <c r="D42" s="119">
        <f t="shared" si="4"/>
        <v>28519967</v>
      </c>
      <c r="E42" s="123">
        <f t="shared" si="5"/>
        <v>1701470</v>
      </c>
      <c r="F42" s="124">
        <f t="shared" si="6"/>
        <v>6.3443898440691884E-2</v>
      </c>
    </row>
    <row r="43" spans="1:6" ht="15.75" x14ac:dyDescent="0.25">
      <c r="A43" s="121">
        <v>3</v>
      </c>
      <c r="B43" s="122" t="s">
        <v>115</v>
      </c>
      <c r="C43" s="119">
        <f t="shared" si="4"/>
        <v>10682389</v>
      </c>
      <c r="D43" s="119">
        <f t="shared" si="4"/>
        <v>25456471</v>
      </c>
      <c r="E43" s="123">
        <f t="shared" si="5"/>
        <v>14774082</v>
      </c>
      <c r="F43" s="124">
        <f t="shared" si="6"/>
        <v>1.3830316420793138</v>
      </c>
    </row>
    <row r="44" spans="1:6" ht="15.75" x14ac:dyDescent="0.25">
      <c r="A44" s="121">
        <v>4</v>
      </c>
      <c r="B44" s="122" t="s">
        <v>116</v>
      </c>
      <c r="C44" s="119">
        <f t="shared" si="4"/>
        <v>9226144</v>
      </c>
      <c r="D44" s="119">
        <f t="shared" si="4"/>
        <v>0</v>
      </c>
      <c r="E44" s="123">
        <f t="shared" si="5"/>
        <v>-9226144</v>
      </c>
      <c r="F44" s="124">
        <f t="shared" si="6"/>
        <v>-1</v>
      </c>
    </row>
    <row r="45" spans="1:6" ht="15.75" x14ac:dyDescent="0.25">
      <c r="A45" s="121">
        <v>5</v>
      </c>
      <c r="B45" s="122" t="s">
        <v>117</v>
      </c>
      <c r="C45" s="119">
        <f t="shared" si="4"/>
        <v>405918</v>
      </c>
      <c r="D45" s="119">
        <f t="shared" si="4"/>
        <v>299784</v>
      </c>
      <c r="E45" s="123">
        <f t="shared" si="5"/>
        <v>-106134</v>
      </c>
      <c r="F45" s="124">
        <f t="shared" si="6"/>
        <v>-0.2614666016289004</v>
      </c>
    </row>
    <row r="46" spans="1:6" ht="15.75" x14ac:dyDescent="0.25">
      <c r="A46" s="121">
        <v>6</v>
      </c>
      <c r="B46" s="122" t="s">
        <v>118</v>
      </c>
      <c r="C46" s="119">
        <f t="shared" si="4"/>
        <v>0</v>
      </c>
      <c r="D46" s="119">
        <f t="shared" si="4"/>
        <v>0</v>
      </c>
      <c r="E46" s="123">
        <f t="shared" si="5"/>
        <v>0</v>
      </c>
      <c r="F46" s="124">
        <f t="shared" si="6"/>
        <v>0</v>
      </c>
    </row>
    <row r="47" spans="1:6" ht="15.75" x14ac:dyDescent="0.25">
      <c r="A47" s="121">
        <v>7</v>
      </c>
      <c r="B47" s="122" t="s">
        <v>119</v>
      </c>
      <c r="C47" s="119">
        <f t="shared" si="4"/>
        <v>69483828</v>
      </c>
      <c r="D47" s="119">
        <f t="shared" si="4"/>
        <v>66642023</v>
      </c>
      <c r="E47" s="123">
        <f t="shared" si="5"/>
        <v>-2841805</v>
      </c>
      <c r="F47" s="124">
        <f t="shared" si="6"/>
        <v>-4.0898797343174587E-2</v>
      </c>
    </row>
    <row r="48" spans="1:6" ht="15.75" x14ac:dyDescent="0.25">
      <c r="A48" s="121">
        <v>8</v>
      </c>
      <c r="B48" s="122" t="s">
        <v>120</v>
      </c>
      <c r="C48" s="119">
        <f t="shared" si="4"/>
        <v>2058266</v>
      </c>
      <c r="D48" s="119">
        <f t="shared" si="4"/>
        <v>1741921</v>
      </c>
      <c r="E48" s="123">
        <f t="shared" si="5"/>
        <v>-316345</v>
      </c>
      <c r="F48" s="124">
        <f t="shared" si="6"/>
        <v>-0.15369490629491037</v>
      </c>
    </row>
    <row r="49" spans="1:6" ht="15.75" x14ac:dyDescent="0.25">
      <c r="A49" s="121">
        <v>9</v>
      </c>
      <c r="B49" s="122" t="s">
        <v>121</v>
      </c>
      <c r="C49" s="119">
        <f t="shared" si="4"/>
        <v>6871474</v>
      </c>
      <c r="D49" s="119">
        <f t="shared" si="4"/>
        <v>4600235</v>
      </c>
      <c r="E49" s="123">
        <f t="shared" si="5"/>
        <v>-2271239</v>
      </c>
      <c r="F49" s="124">
        <f t="shared" si="6"/>
        <v>-0.33053155698471681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230095</v>
      </c>
      <c r="D51" s="119">
        <f t="shared" si="4"/>
        <v>256361</v>
      </c>
      <c r="E51" s="123">
        <f t="shared" si="5"/>
        <v>26266</v>
      </c>
      <c r="F51" s="124">
        <f t="shared" si="6"/>
        <v>0.11415284990981986</v>
      </c>
    </row>
    <row r="52" spans="1:6" ht="18.75" customHeight="1" thickBot="1" x14ac:dyDescent="0.3">
      <c r="A52" s="125"/>
      <c r="B52" s="126" t="s">
        <v>128</v>
      </c>
      <c r="C52" s="127">
        <f>SUM(C41:C51)</f>
        <v>194913881</v>
      </c>
      <c r="D52" s="128">
        <f>SUM(D41:D51)</f>
        <v>197304279</v>
      </c>
      <c r="E52" s="127">
        <f t="shared" si="5"/>
        <v>2390398</v>
      </c>
      <c r="F52" s="129">
        <f t="shared" si="6"/>
        <v>1.2263867446156901E-2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15052562</v>
      </c>
      <c r="D57" s="113">
        <v>14387850</v>
      </c>
      <c r="E57" s="113">
        <f t="shared" ref="E57:E68" si="7">D57-C57</f>
        <v>-664712</v>
      </c>
      <c r="F57" s="114">
        <f t="shared" ref="F57:F68" si="8">IF(C57=0,0,E57/C57)</f>
        <v>-4.415939293257852E-2</v>
      </c>
    </row>
    <row r="58" spans="1:6" x14ac:dyDescent="0.2">
      <c r="A58" s="115">
        <v>2</v>
      </c>
      <c r="B58" s="116" t="s">
        <v>114</v>
      </c>
      <c r="C58" s="113">
        <v>5574685</v>
      </c>
      <c r="D58" s="113">
        <v>5724759</v>
      </c>
      <c r="E58" s="113">
        <f t="shared" si="7"/>
        <v>150074</v>
      </c>
      <c r="F58" s="114">
        <f t="shared" si="8"/>
        <v>2.6920624214641725E-2</v>
      </c>
    </row>
    <row r="59" spans="1:6" x14ac:dyDescent="0.2">
      <c r="A59" s="115">
        <v>3</v>
      </c>
      <c r="B59" s="116" t="s">
        <v>115</v>
      </c>
      <c r="C59" s="113">
        <v>671541</v>
      </c>
      <c r="D59" s="113">
        <v>1668745</v>
      </c>
      <c r="E59" s="113">
        <f t="shared" si="7"/>
        <v>997204</v>
      </c>
      <c r="F59" s="114">
        <f t="shared" si="8"/>
        <v>1.4849487968716728</v>
      </c>
    </row>
    <row r="60" spans="1:6" x14ac:dyDescent="0.2">
      <c r="A60" s="115">
        <v>4</v>
      </c>
      <c r="B60" s="116" t="s">
        <v>116</v>
      </c>
      <c r="C60" s="113">
        <v>497232</v>
      </c>
      <c r="D60" s="113">
        <v>0</v>
      </c>
      <c r="E60" s="113">
        <f t="shared" si="7"/>
        <v>-497232</v>
      </c>
      <c r="F60" s="114">
        <f t="shared" si="8"/>
        <v>-1</v>
      </c>
    </row>
    <row r="61" spans="1:6" x14ac:dyDescent="0.2">
      <c r="A61" s="115">
        <v>5</v>
      </c>
      <c r="B61" s="116" t="s">
        <v>117</v>
      </c>
      <c r="C61" s="113">
        <v>63596</v>
      </c>
      <c r="D61" s="113">
        <v>33114</v>
      </c>
      <c r="E61" s="113">
        <f t="shared" si="7"/>
        <v>-30482</v>
      </c>
      <c r="F61" s="114">
        <f t="shared" si="8"/>
        <v>-0.47930687464620414</v>
      </c>
    </row>
    <row r="62" spans="1:6" x14ac:dyDescent="0.2">
      <c r="A62" s="115">
        <v>6</v>
      </c>
      <c r="B62" s="116" t="s">
        <v>118</v>
      </c>
      <c r="C62" s="113">
        <v>0</v>
      </c>
      <c r="D62" s="113">
        <v>0</v>
      </c>
      <c r="E62" s="113">
        <f t="shared" si="7"/>
        <v>0</v>
      </c>
      <c r="F62" s="114">
        <f t="shared" si="8"/>
        <v>0</v>
      </c>
    </row>
    <row r="63" spans="1:6" x14ac:dyDescent="0.2">
      <c r="A63" s="115">
        <v>7</v>
      </c>
      <c r="B63" s="116" t="s">
        <v>119</v>
      </c>
      <c r="C63" s="113">
        <v>11944841</v>
      </c>
      <c r="D63" s="113">
        <v>10324547</v>
      </c>
      <c r="E63" s="113">
        <f t="shared" si="7"/>
        <v>-1620294</v>
      </c>
      <c r="F63" s="114">
        <f t="shared" si="8"/>
        <v>-0.13564801741605434</v>
      </c>
    </row>
    <row r="64" spans="1:6" x14ac:dyDescent="0.2">
      <c r="A64" s="115">
        <v>8</v>
      </c>
      <c r="B64" s="116" t="s">
        <v>120</v>
      </c>
      <c r="C64" s="113">
        <v>486206</v>
      </c>
      <c r="D64" s="113">
        <v>265443</v>
      </c>
      <c r="E64" s="113">
        <f t="shared" si="7"/>
        <v>-220763</v>
      </c>
      <c r="F64" s="114">
        <f t="shared" si="8"/>
        <v>-0.45405239754342808</v>
      </c>
    </row>
    <row r="65" spans="1:6" x14ac:dyDescent="0.2">
      <c r="A65" s="115">
        <v>9</v>
      </c>
      <c r="B65" s="116" t="s">
        <v>121</v>
      </c>
      <c r="C65" s="113">
        <v>14362</v>
      </c>
      <c r="D65" s="113">
        <v>56740</v>
      </c>
      <c r="E65" s="113">
        <f t="shared" si="7"/>
        <v>42378</v>
      </c>
      <c r="F65" s="114">
        <f t="shared" si="8"/>
        <v>2.950703244673444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6064</v>
      </c>
      <c r="D67" s="113">
        <v>18590</v>
      </c>
      <c r="E67" s="113">
        <f t="shared" si="7"/>
        <v>12526</v>
      </c>
      <c r="F67" s="114">
        <f t="shared" si="8"/>
        <v>2.0656332453825859</v>
      </c>
    </row>
    <row r="68" spans="1:6" ht="15.75" x14ac:dyDescent="0.25">
      <c r="A68" s="117"/>
      <c r="B68" s="118" t="s">
        <v>131</v>
      </c>
      <c r="C68" s="119">
        <f>SUM(C57:C67)</f>
        <v>34311089</v>
      </c>
      <c r="D68" s="119">
        <f>SUM(D57:D67)</f>
        <v>32479788</v>
      </c>
      <c r="E68" s="119">
        <f t="shared" si="7"/>
        <v>-1831301</v>
      </c>
      <c r="F68" s="120">
        <f t="shared" si="8"/>
        <v>-5.3373444369544783E-2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5059853</v>
      </c>
      <c r="D70" s="113">
        <v>5835248</v>
      </c>
      <c r="E70" s="113">
        <f t="shared" ref="E70:E81" si="9">D70-C70</f>
        <v>775395</v>
      </c>
      <c r="F70" s="114">
        <f t="shared" ref="F70:F81" si="10">IF(C70=0,0,E70/C70)</f>
        <v>0.15324457054384782</v>
      </c>
    </row>
    <row r="71" spans="1:6" x14ac:dyDescent="0.2">
      <c r="A71" s="115">
        <v>2</v>
      </c>
      <c r="B71" s="116" t="s">
        <v>114</v>
      </c>
      <c r="C71" s="113">
        <v>2443172</v>
      </c>
      <c r="D71" s="113">
        <v>2614117</v>
      </c>
      <c r="E71" s="113">
        <f t="shared" si="9"/>
        <v>170945</v>
      </c>
      <c r="F71" s="114">
        <f t="shared" si="10"/>
        <v>6.996846722211944E-2</v>
      </c>
    </row>
    <row r="72" spans="1:6" x14ac:dyDescent="0.2">
      <c r="A72" s="115">
        <v>3</v>
      </c>
      <c r="B72" s="116" t="s">
        <v>115</v>
      </c>
      <c r="C72" s="113">
        <v>1930487</v>
      </c>
      <c r="D72" s="113">
        <v>4731261</v>
      </c>
      <c r="E72" s="113">
        <f t="shared" si="9"/>
        <v>2800774</v>
      </c>
      <c r="F72" s="114">
        <f t="shared" si="10"/>
        <v>1.4508121525811881</v>
      </c>
    </row>
    <row r="73" spans="1:6" x14ac:dyDescent="0.2">
      <c r="A73" s="115">
        <v>4</v>
      </c>
      <c r="B73" s="116" t="s">
        <v>116</v>
      </c>
      <c r="C73" s="113">
        <v>2091032</v>
      </c>
      <c r="D73" s="113">
        <v>0</v>
      </c>
      <c r="E73" s="113">
        <f t="shared" si="9"/>
        <v>-2091032</v>
      </c>
      <c r="F73" s="114">
        <f t="shared" si="10"/>
        <v>-1</v>
      </c>
    </row>
    <row r="74" spans="1:6" x14ac:dyDescent="0.2">
      <c r="A74" s="115">
        <v>5</v>
      </c>
      <c r="B74" s="116" t="s">
        <v>117</v>
      </c>
      <c r="C74" s="113">
        <v>61532</v>
      </c>
      <c r="D74" s="113">
        <v>51084</v>
      </c>
      <c r="E74" s="113">
        <f t="shared" si="9"/>
        <v>-10448</v>
      </c>
      <c r="F74" s="114">
        <f t="shared" si="10"/>
        <v>-0.16979782877202107</v>
      </c>
    </row>
    <row r="75" spans="1:6" x14ac:dyDescent="0.2">
      <c r="A75" s="115">
        <v>6</v>
      </c>
      <c r="B75" s="116" t="s">
        <v>118</v>
      </c>
      <c r="C75" s="113">
        <v>0</v>
      </c>
      <c r="D75" s="113">
        <v>0</v>
      </c>
      <c r="E75" s="113">
        <f t="shared" si="9"/>
        <v>0</v>
      </c>
      <c r="F75" s="114">
        <f t="shared" si="10"/>
        <v>0</v>
      </c>
    </row>
    <row r="76" spans="1:6" x14ac:dyDescent="0.2">
      <c r="A76" s="115">
        <v>7</v>
      </c>
      <c r="B76" s="116" t="s">
        <v>119</v>
      </c>
      <c r="C76" s="113">
        <v>20591132</v>
      </c>
      <c r="D76" s="113">
        <v>18173357</v>
      </c>
      <c r="E76" s="113">
        <f t="shared" si="9"/>
        <v>-2417775</v>
      </c>
      <c r="F76" s="114">
        <f t="shared" si="10"/>
        <v>-0.11741826529983879</v>
      </c>
    </row>
    <row r="77" spans="1:6" x14ac:dyDescent="0.2">
      <c r="A77" s="115">
        <v>8</v>
      </c>
      <c r="B77" s="116" t="s">
        <v>120</v>
      </c>
      <c r="C77" s="113">
        <v>999404</v>
      </c>
      <c r="D77" s="113">
        <v>889993</v>
      </c>
      <c r="E77" s="113">
        <f t="shared" si="9"/>
        <v>-109411</v>
      </c>
      <c r="F77" s="114">
        <f t="shared" si="10"/>
        <v>-0.10947624784371486</v>
      </c>
    </row>
    <row r="78" spans="1:6" x14ac:dyDescent="0.2">
      <c r="A78" s="115">
        <v>9</v>
      </c>
      <c r="B78" s="116" t="s">
        <v>121</v>
      </c>
      <c r="C78" s="113">
        <v>63231</v>
      </c>
      <c r="D78" s="113">
        <v>134197</v>
      </c>
      <c r="E78" s="113">
        <f t="shared" si="9"/>
        <v>70966</v>
      </c>
      <c r="F78" s="114">
        <f t="shared" si="10"/>
        <v>1.1223292372412266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37428</v>
      </c>
      <c r="D80" s="113">
        <v>34694</v>
      </c>
      <c r="E80" s="113">
        <f t="shared" si="9"/>
        <v>-2734</v>
      </c>
      <c r="F80" s="114">
        <f t="shared" si="10"/>
        <v>-7.3046916746820567E-2</v>
      </c>
    </row>
    <row r="81" spans="1:6" ht="15.75" x14ac:dyDescent="0.25">
      <c r="A81" s="117"/>
      <c r="B81" s="118" t="s">
        <v>133</v>
      </c>
      <c r="C81" s="119">
        <f>SUM(C70:C80)</f>
        <v>33277271</v>
      </c>
      <c r="D81" s="119">
        <f>SUM(D70:D80)</f>
        <v>32463951</v>
      </c>
      <c r="E81" s="119">
        <f t="shared" si="9"/>
        <v>-813320</v>
      </c>
      <c r="F81" s="120">
        <f t="shared" si="10"/>
        <v>-2.444070609035218E-2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20112415</v>
      </c>
      <c r="D84" s="119">
        <f t="shared" si="11"/>
        <v>20223098</v>
      </c>
      <c r="E84" s="119">
        <f t="shared" ref="E84:E95" si="12">D84-C84</f>
        <v>110683</v>
      </c>
      <c r="F84" s="120">
        <f t="shared" ref="F84:F95" si="13">IF(C84=0,0,E84/C84)</f>
        <v>5.5032177886146444E-3</v>
      </c>
    </row>
    <row r="85" spans="1:6" ht="15.75" x14ac:dyDescent="0.25">
      <c r="A85" s="130">
        <v>2</v>
      </c>
      <c r="B85" s="122" t="s">
        <v>114</v>
      </c>
      <c r="C85" s="119">
        <f t="shared" si="11"/>
        <v>8017857</v>
      </c>
      <c r="D85" s="119">
        <f t="shared" si="11"/>
        <v>8338876</v>
      </c>
      <c r="E85" s="119">
        <f t="shared" si="12"/>
        <v>321019</v>
      </c>
      <c r="F85" s="120">
        <f t="shared" si="13"/>
        <v>4.0038005167715017E-2</v>
      </c>
    </row>
    <row r="86" spans="1:6" ht="15.75" x14ac:dyDescent="0.25">
      <c r="A86" s="130">
        <v>3</v>
      </c>
      <c r="B86" s="122" t="s">
        <v>115</v>
      </c>
      <c r="C86" s="119">
        <f t="shared" si="11"/>
        <v>2602028</v>
      </c>
      <c r="D86" s="119">
        <f t="shared" si="11"/>
        <v>6400006</v>
      </c>
      <c r="E86" s="119">
        <f t="shared" si="12"/>
        <v>3797978</v>
      </c>
      <c r="F86" s="120">
        <f t="shared" si="13"/>
        <v>1.4596222638649545</v>
      </c>
    </row>
    <row r="87" spans="1:6" ht="15.75" x14ac:dyDescent="0.25">
      <c r="A87" s="130">
        <v>4</v>
      </c>
      <c r="B87" s="122" t="s">
        <v>116</v>
      </c>
      <c r="C87" s="119">
        <f t="shared" si="11"/>
        <v>2588264</v>
      </c>
      <c r="D87" s="119">
        <f t="shared" si="11"/>
        <v>0</v>
      </c>
      <c r="E87" s="119">
        <f t="shared" si="12"/>
        <v>-2588264</v>
      </c>
      <c r="F87" s="120">
        <f t="shared" si="13"/>
        <v>-1</v>
      </c>
    </row>
    <row r="88" spans="1:6" ht="15.75" x14ac:dyDescent="0.25">
      <c r="A88" s="130">
        <v>5</v>
      </c>
      <c r="B88" s="122" t="s">
        <v>117</v>
      </c>
      <c r="C88" s="119">
        <f t="shared" si="11"/>
        <v>125128</v>
      </c>
      <c r="D88" s="119">
        <f t="shared" si="11"/>
        <v>84198</v>
      </c>
      <c r="E88" s="119">
        <f t="shared" si="12"/>
        <v>-40930</v>
      </c>
      <c r="F88" s="120">
        <f t="shared" si="13"/>
        <v>-0.32710504443449906</v>
      </c>
    </row>
    <row r="89" spans="1:6" ht="15.75" x14ac:dyDescent="0.25">
      <c r="A89" s="130">
        <v>6</v>
      </c>
      <c r="B89" s="122" t="s">
        <v>118</v>
      </c>
      <c r="C89" s="119">
        <f t="shared" si="11"/>
        <v>0</v>
      </c>
      <c r="D89" s="119">
        <f t="shared" si="11"/>
        <v>0</v>
      </c>
      <c r="E89" s="119">
        <f t="shared" si="12"/>
        <v>0</v>
      </c>
      <c r="F89" s="120">
        <f t="shared" si="13"/>
        <v>0</v>
      </c>
    </row>
    <row r="90" spans="1:6" ht="15.75" x14ac:dyDescent="0.25">
      <c r="A90" s="130">
        <v>7</v>
      </c>
      <c r="B90" s="122" t="s">
        <v>119</v>
      </c>
      <c r="C90" s="119">
        <f t="shared" si="11"/>
        <v>32535973</v>
      </c>
      <c r="D90" s="119">
        <f t="shared" si="11"/>
        <v>28497904</v>
      </c>
      <c r="E90" s="119">
        <f t="shared" si="12"/>
        <v>-4038069</v>
      </c>
      <c r="F90" s="120">
        <f t="shared" si="13"/>
        <v>-0.12411090333766873</v>
      </c>
    </row>
    <row r="91" spans="1:6" ht="15.75" x14ac:dyDescent="0.25">
      <c r="A91" s="130">
        <v>8</v>
      </c>
      <c r="B91" s="122" t="s">
        <v>120</v>
      </c>
      <c r="C91" s="119">
        <f t="shared" si="11"/>
        <v>1485610</v>
      </c>
      <c r="D91" s="119">
        <f t="shared" si="11"/>
        <v>1155436</v>
      </c>
      <c r="E91" s="119">
        <f t="shared" si="12"/>
        <v>-330174</v>
      </c>
      <c r="F91" s="120">
        <f t="shared" si="13"/>
        <v>-0.22224810010702675</v>
      </c>
    </row>
    <row r="92" spans="1:6" ht="15.75" x14ac:dyDescent="0.25">
      <c r="A92" s="130">
        <v>9</v>
      </c>
      <c r="B92" s="122" t="s">
        <v>121</v>
      </c>
      <c r="C92" s="119">
        <f t="shared" si="11"/>
        <v>77593</v>
      </c>
      <c r="D92" s="119">
        <f t="shared" si="11"/>
        <v>190937</v>
      </c>
      <c r="E92" s="119">
        <f t="shared" si="12"/>
        <v>113344</v>
      </c>
      <c r="F92" s="120">
        <f t="shared" si="13"/>
        <v>1.4607503254159524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43492</v>
      </c>
      <c r="D94" s="119">
        <f t="shared" si="11"/>
        <v>53284</v>
      </c>
      <c r="E94" s="119">
        <f t="shared" si="12"/>
        <v>9792</v>
      </c>
      <c r="F94" s="120">
        <f t="shared" si="13"/>
        <v>0.22514485422606456</v>
      </c>
    </row>
    <row r="95" spans="1:6" ht="18.75" customHeight="1" thickBot="1" x14ac:dyDescent="0.3">
      <c r="A95" s="131"/>
      <c r="B95" s="132" t="s">
        <v>134</v>
      </c>
      <c r="C95" s="128">
        <f>SUM(C84:C94)</f>
        <v>67588360</v>
      </c>
      <c r="D95" s="128">
        <f>SUM(D84:D94)</f>
        <v>64943739</v>
      </c>
      <c r="E95" s="128">
        <f t="shared" si="12"/>
        <v>-2644621</v>
      </c>
      <c r="F95" s="129">
        <f t="shared" si="13"/>
        <v>-3.9128349911138546E-2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1474</v>
      </c>
      <c r="D100" s="133">
        <v>1342</v>
      </c>
      <c r="E100" s="133">
        <f t="shared" ref="E100:E111" si="14">D100-C100</f>
        <v>-132</v>
      </c>
      <c r="F100" s="114">
        <f t="shared" ref="F100:F111" si="15">IF(C100=0,0,E100/C100)</f>
        <v>-8.9552238805970144E-2</v>
      </c>
    </row>
    <row r="101" spans="1:6" x14ac:dyDescent="0.2">
      <c r="A101" s="115">
        <v>2</v>
      </c>
      <c r="B101" s="116" t="s">
        <v>114</v>
      </c>
      <c r="C101" s="133">
        <v>537</v>
      </c>
      <c r="D101" s="133">
        <v>525</v>
      </c>
      <c r="E101" s="133">
        <f t="shared" si="14"/>
        <v>-12</v>
      </c>
      <c r="F101" s="114">
        <f t="shared" si="15"/>
        <v>-2.23463687150838E-2</v>
      </c>
    </row>
    <row r="102" spans="1:6" x14ac:dyDescent="0.2">
      <c r="A102" s="115">
        <v>3</v>
      </c>
      <c r="B102" s="116" t="s">
        <v>115</v>
      </c>
      <c r="C102" s="133">
        <v>143</v>
      </c>
      <c r="D102" s="133">
        <v>333</v>
      </c>
      <c r="E102" s="133">
        <f t="shared" si="14"/>
        <v>190</v>
      </c>
      <c r="F102" s="114">
        <f t="shared" si="15"/>
        <v>1.3286713286713288</v>
      </c>
    </row>
    <row r="103" spans="1:6" x14ac:dyDescent="0.2">
      <c r="A103" s="115">
        <v>4</v>
      </c>
      <c r="B103" s="116" t="s">
        <v>116</v>
      </c>
      <c r="C103" s="133">
        <v>115</v>
      </c>
      <c r="D103" s="133">
        <v>0</v>
      </c>
      <c r="E103" s="133">
        <f t="shared" si="14"/>
        <v>-115</v>
      </c>
      <c r="F103" s="114">
        <f t="shared" si="15"/>
        <v>-1</v>
      </c>
    </row>
    <row r="104" spans="1:6" x14ac:dyDescent="0.2">
      <c r="A104" s="115">
        <v>5</v>
      </c>
      <c r="B104" s="116" t="s">
        <v>117</v>
      </c>
      <c r="C104" s="133">
        <v>10</v>
      </c>
      <c r="D104" s="133">
        <v>3</v>
      </c>
      <c r="E104" s="133">
        <f t="shared" si="14"/>
        <v>-7</v>
      </c>
      <c r="F104" s="114">
        <f t="shared" si="15"/>
        <v>-0.7</v>
      </c>
    </row>
    <row r="105" spans="1:6" x14ac:dyDescent="0.2">
      <c r="A105" s="115">
        <v>6</v>
      </c>
      <c r="B105" s="116" t="s">
        <v>118</v>
      </c>
      <c r="C105" s="133">
        <v>0</v>
      </c>
      <c r="D105" s="133">
        <v>0</v>
      </c>
      <c r="E105" s="133">
        <f t="shared" si="14"/>
        <v>0</v>
      </c>
      <c r="F105" s="114">
        <f t="shared" si="15"/>
        <v>0</v>
      </c>
    </row>
    <row r="106" spans="1:6" x14ac:dyDescent="0.2">
      <c r="A106" s="115">
        <v>7</v>
      </c>
      <c r="B106" s="116" t="s">
        <v>119</v>
      </c>
      <c r="C106" s="133">
        <v>1000</v>
      </c>
      <c r="D106" s="133">
        <v>850</v>
      </c>
      <c r="E106" s="133">
        <f t="shared" si="14"/>
        <v>-150</v>
      </c>
      <c r="F106" s="114">
        <f t="shared" si="15"/>
        <v>-0.15</v>
      </c>
    </row>
    <row r="107" spans="1:6" x14ac:dyDescent="0.2">
      <c r="A107" s="115">
        <v>8</v>
      </c>
      <c r="B107" s="116" t="s">
        <v>120</v>
      </c>
      <c r="C107" s="133">
        <v>18</v>
      </c>
      <c r="D107" s="133">
        <v>11</v>
      </c>
      <c r="E107" s="133">
        <f t="shared" si="14"/>
        <v>-7</v>
      </c>
      <c r="F107" s="114">
        <f t="shared" si="15"/>
        <v>-0.3888888888888889</v>
      </c>
    </row>
    <row r="108" spans="1:6" x14ac:dyDescent="0.2">
      <c r="A108" s="115">
        <v>9</v>
      </c>
      <c r="B108" s="116" t="s">
        <v>121</v>
      </c>
      <c r="C108" s="133">
        <v>50</v>
      </c>
      <c r="D108" s="133">
        <v>55</v>
      </c>
      <c r="E108" s="133">
        <f t="shared" si="14"/>
        <v>5</v>
      </c>
      <c r="F108" s="114">
        <f t="shared" si="15"/>
        <v>0.1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</v>
      </c>
      <c r="D110" s="133">
        <v>2</v>
      </c>
      <c r="E110" s="133">
        <f t="shared" si="14"/>
        <v>1</v>
      </c>
      <c r="F110" s="114">
        <f t="shared" si="15"/>
        <v>1</v>
      </c>
    </row>
    <row r="111" spans="1:6" ht="15.75" x14ac:dyDescent="0.25">
      <c r="A111" s="117"/>
      <c r="B111" s="118" t="s">
        <v>138</v>
      </c>
      <c r="C111" s="134">
        <f>SUM(C100:C110)</f>
        <v>3348</v>
      </c>
      <c r="D111" s="134">
        <f>SUM(D100:D110)</f>
        <v>3121</v>
      </c>
      <c r="E111" s="134">
        <f t="shared" si="14"/>
        <v>-227</v>
      </c>
      <c r="F111" s="120">
        <f t="shared" si="15"/>
        <v>-6.7801672640382324E-2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6826</v>
      </c>
      <c r="D113" s="133">
        <v>6035</v>
      </c>
      <c r="E113" s="133">
        <f t="shared" ref="E113:E124" si="16">D113-C113</f>
        <v>-791</v>
      </c>
      <c r="F113" s="114">
        <f t="shared" ref="F113:F124" si="17">IF(C113=0,0,E113/C113)</f>
        <v>-0.11588045707588632</v>
      </c>
    </row>
    <row r="114" spans="1:6" x14ac:dyDescent="0.2">
      <c r="A114" s="115">
        <v>2</v>
      </c>
      <c r="B114" s="116" t="s">
        <v>114</v>
      </c>
      <c r="C114" s="133">
        <v>2376</v>
      </c>
      <c r="D114" s="133">
        <v>2196</v>
      </c>
      <c r="E114" s="133">
        <f t="shared" si="16"/>
        <v>-180</v>
      </c>
      <c r="F114" s="114">
        <f t="shared" si="17"/>
        <v>-7.575757575757576E-2</v>
      </c>
    </row>
    <row r="115" spans="1:6" x14ac:dyDescent="0.2">
      <c r="A115" s="115">
        <v>3</v>
      </c>
      <c r="B115" s="116" t="s">
        <v>115</v>
      </c>
      <c r="C115" s="133">
        <v>568</v>
      </c>
      <c r="D115" s="133">
        <v>1559</v>
      </c>
      <c r="E115" s="133">
        <f t="shared" si="16"/>
        <v>991</v>
      </c>
      <c r="F115" s="114">
        <f t="shared" si="17"/>
        <v>1.744718309859155</v>
      </c>
    </row>
    <row r="116" spans="1:6" x14ac:dyDescent="0.2">
      <c r="A116" s="115">
        <v>4</v>
      </c>
      <c r="B116" s="116" t="s">
        <v>116</v>
      </c>
      <c r="C116" s="133">
        <v>343</v>
      </c>
      <c r="D116" s="133">
        <v>0</v>
      </c>
      <c r="E116" s="133">
        <f t="shared" si="16"/>
        <v>-343</v>
      </c>
      <c r="F116" s="114">
        <f t="shared" si="17"/>
        <v>-1</v>
      </c>
    </row>
    <row r="117" spans="1:6" x14ac:dyDescent="0.2">
      <c r="A117" s="115">
        <v>5</v>
      </c>
      <c r="B117" s="116" t="s">
        <v>117</v>
      </c>
      <c r="C117" s="133">
        <v>27</v>
      </c>
      <c r="D117" s="133">
        <v>6</v>
      </c>
      <c r="E117" s="133">
        <f t="shared" si="16"/>
        <v>-21</v>
      </c>
      <c r="F117" s="114">
        <f t="shared" si="17"/>
        <v>-0.77777777777777779</v>
      </c>
    </row>
    <row r="118" spans="1:6" x14ac:dyDescent="0.2">
      <c r="A118" s="115">
        <v>6</v>
      </c>
      <c r="B118" s="116" t="s">
        <v>118</v>
      </c>
      <c r="C118" s="133">
        <v>0</v>
      </c>
      <c r="D118" s="133">
        <v>0</v>
      </c>
      <c r="E118" s="133">
        <f t="shared" si="16"/>
        <v>0</v>
      </c>
      <c r="F118" s="114">
        <f t="shared" si="17"/>
        <v>0</v>
      </c>
    </row>
    <row r="119" spans="1:6" x14ac:dyDescent="0.2">
      <c r="A119" s="115">
        <v>7</v>
      </c>
      <c r="B119" s="116" t="s">
        <v>119</v>
      </c>
      <c r="C119" s="133">
        <v>3236</v>
      </c>
      <c r="D119" s="133">
        <v>2792</v>
      </c>
      <c r="E119" s="133">
        <f t="shared" si="16"/>
        <v>-444</v>
      </c>
      <c r="F119" s="114">
        <f t="shared" si="17"/>
        <v>-0.13720642768850433</v>
      </c>
    </row>
    <row r="120" spans="1:6" x14ac:dyDescent="0.2">
      <c r="A120" s="115">
        <v>8</v>
      </c>
      <c r="B120" s="116" t="s">
        <v>120</v>
      </c>
      <c r="C120" s="133">
        <v>46</v>
      </c>
      <c r="D120" s="133">
        <v>32</v>
      </c>
      <c r="E120" s="133">
        <f t="shared" si="16"/>
        <v>-14</v>
      </c>
      <c r="F120" s="114">
        <f t="shared" si="17"/>
        <v>-0.30434782608695654</v>
      </c>
    </row>
    <row r="121" spans="1:6" x14ac:dyDescent="0.2">
      <c r="A121" s="115">
        <v>9</v>
      </c>
      <c r="B121" s="116" t="s">
        <v>121</v>
      </c>
      <c r="C121" s="133">
        <v>175</v>
      </c>
      <c r="D121" s="133">
        <v>244</v>
      </c>
      <c r="E121" s="133">
        <f t="shared" si="16"/>
        <v>69</v>
      </c>
      <c r="F121" s="114">
        <f t="shared" si="17"/>
        <v>0.39428571428571429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</v>
      </c>
      <c r="D123" s="133">
        <v>16</v>
      </c>
      <c r="E123" s="133">
        <f t="shared" si="16"/>
        <v>10</v>
      </c>
      <c r="F123" s="114">
        <f t="shared" si="17"/>
        <v>1.6666666666666667</v>
      </c>
    </row>
    <row r="124" spans="1:6" ht="15.75" x14ac:dyDescent="0.25">
      <c r="A124" s="117"/>
      <c r="B124" s="118" t="s">
        <v>140</v>
      </c>
      <c r="C124" s="134">
        <f>SUM(C113:C123)</f>
        <v>13603</v>
      </c>
      <c r="D124" s="134">
        <f>SUM(D113:D123)</f>
        <v>12880</v>
      </c>
      <c r="E124" s="134">
        <f t="shared" si="16"/>
        <v>-723</v>
      </c>
      <c r="F124" s="120">
        <f t="shared" si="17"/>
        <v>-5.3150040432257593E-2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8518</v>
      </c>
      <c r="D126" s="133">
        <v>8599</v>
      </c>
      <c r="E126" s="133">
        <f t="shared" ref="E126:E137" si="18">D126-C126</f>
        <v>81</v>
      </c>
      <c r="F126" s="114">
        <f t="shared" ref="F126:F137" si="19">IF(C126=0,0,E126/C126)</f>
        <v>9.5092744775768963E-3</v>
      </c>
    </row>
    <row r="127" spans="1:6" x14ac:dyDescent="0.2">
      <c r="A127" s="115">
        <v>2</v>
      </c>
      <c r="B127" s="116" t="s">
        <v>114</v>
      </c>
      <c r="C127" s="133">
        <v>4510</v>
      </c>
      <c r="D127" s="133">
        <v>4330</v>
      </c>
      <c r="E127" s="133">
        <f t="shared" si="18"/>
        <v>-180</v>
      </c>
      <c r="F127" s="114">
        <f t="shared" si="19"/>
        <v>-3.9911308203991129E-2</v>
      </c>
    </row>
    <row r="128" spans="1:6" x14ac:dyDescent="0.2">
      <c r="A128" s="115">
        <v>3</v>
      </c>
      <c r="B128" s="116" t="s">
        <v>115</v>
      </c>
      <c r="C128" s="133">
        <v>4071</v>
      </c>
      <c r="D128" s="133">
        <v>10132</v>
      </c>
      <c r="E128" s="133">
        <f t="shared" si="18"/>
        <v>6061</v>
      </c>
      <c r="F128" s="114">
        <f t="shared" si="19"/>
        <v>1.4888233849177106</v>
      </c>
    </row>
    <row r="129" spans="1:6" x14ac:dyDescent="0.2">
      <c r="A129" s="115">
        <v>4</v>
      </c>
      <c r="B129" s="116" t="s">
        <v>116</v>
      </c>
      <c r="C129" s="133">
        <v>5948</v>
      </c>
      <c r="D129" s="133">
        <v>0</v>
      </c>
      <c r="E129" s="133">
        <f t="shared" si="18"/>
        <v>-5948</v>
      </c>
      <c r="F129" s="114">
        <f t="shared" si="19"/>
        <v>-1</v>
      </c>
    </row>
    <row r="130" spans="1:6" x14ac:dyDescent="0.2">
      <c r="A130" s="115">
        <v>5</v>
      </c>
      <c r="B130" s="116" t="s">
        <v>117</v>
      </c>
      <c r="C130" s="133">
        <v>166</v>
      </c>
      <c r="D130" s="133">
        <v>108</v>
      </c>
      <c r="E130" s="133">
        <f t="shared" si="18"/>
        <v>-58</v>
      </c>
      <c r="F130" s="114">
        <f t="shared" si="19"/>
        <v>-0.3493975903614458</v>
      </c>
    </row>
    <row r="131" spans="1:6" x14ac:dyDescent="0.2">
      <c r="A131" s="115">
        <v>6</v>
      </c>
      <c r="B131" s="116" t="s">
        <v>118</v>
      </c>
      <c r="C131" s="133">
        <v>0</v>
      </c>
      <c r="D131" s="133">
        <v>0</v>
      </c>
      <c r="E131" s="133">
        <f t="shared" si="18"/>
        <v>0</v>
      </c>
      <c r="F131" s="114">
        <f t="shared" si="19"/>
        <v>0</v>
      </c>
    </row>
    <row r="132" spans="1:6" x14ac:dyDescent="0.2">
      <c r="A132" s="115">
        <v>7</v>
      </c>
      <c r="B132" s="116" t="s">
        <v>119</v>
      </c>
      <c r="C132" s="133">
        <v>28673</v>
      </c>
      <c r="D132" s="133">
        <v>25829</v>
      </c>
      <c r="E132" s="133">
        <f t="shared" si="18"/>
        <v>-2844</v>
      </c>
      <c r="F132" s="114">
        <f t="shared" si="19"/>
        <v>-9.9187388832699758E-2</v>
      </c>
    </row>
    <row r="133" spans="1:6" x14ac:dyDescent="0.2">
      <c r="A133" s="115">
        <v>8</v>
      </c>
      <c r="B133" s="116" t="s">
        <v>120</v>
      </c>
      <c r="C133" s="133">
        <v>935</v>
      </c>
      <c r="D133" s="133">
        <v>941</v>
      </c>
      <c r="E133" s="133">
        <f t="shared" si="18"/>
        <v>6</v>
      </c>
      <c r="F133" s="114">
        <f t="shared" si="19"/>
        <v>6.4171122994652408E-3</v>
      </c>
    </row>
    <row r="134" spans="1:6" x14ac:dyDescent="0.2">
      <c r="A134" s="115">
        <v>9</v>
      </c>
      <c r="B134" s="116" t="s">
        <v>121</v>
      </c>
      <c r="C134" s="133">
        <v>2717</v>
      </c>
      <c r="D134" s="133">
        <v>2168</v>
      </c>
      <c r="E134" s="133">
        <f t="shared" si="18"/>
        <v>-549</v>
      </c>
      <c r="F134" s="114">
        <f t="shared" si="19"/>
        <v>-0.2020610967979389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124</v>
      </c>
      <c r="D136" s="133">
        <v>112</v>
      </c>
      <c r="E136" s="133">
        <f t="shared" si="18"/>
        <v>-12</v>
      </c>
      <c r="F136" s="114">
        <f t="shared" si="19"/>
        <v>-9.6774193548387094E-2</v>
      </c>
    </row>
    <row r="137" spans="1:6" ht="15.75" x14ac:dyDescent="0.25">
      <c r="A137" s="117"/>
      <c r="B137" s="118" t="s">
        <v>142</v>
      </c>
      <c r="C137" s="134">
        <f>SUM(C126:C136)</f>
        <v>55662</v>
      </c>
      <c r="D137" s="134">
        <f>SUM(D126:D136)</f>
        <v>52219</v>
      </c>
      <c r="E137" s="134">
        <f t="shared" si="18"/>
        <v>-3443</v>
      </c>
      <c r="F137" s="120">
        <f t="shared" si="19"/>
        <v>-6.1855484890948942E-2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7991432</v>
      </c>
      <c r="D142" s="113">
        <v>7736819</v>
      </c>
      <c r="E142" s="113">
        <f t="shared" ref="E142:E153" si="20">D142-C142</f>
        <v>-254613</v>
      </c>
      <c r="F142" s="114">
        <f t="shared" ref="F142:F153" si="21">IF(C142=0,0,E142/C142)</f>
        <v>-3.1860747860959091E-2</v>
      </c>
    </row>
    <row r="143" spans="1:6" x14ac:dyDescent="0.2">
      <c r="A143" s="115">
        <v>2</v>
      </c>
      <c r="B143" s="116" t="s">
        <v>114</v>
      </c>
      <c r="C143" s="113">
        <v>3220674</v>
      </c>
      <c r="D143" s="113">
        <v>3328587</v>
      </c>
      <c r="E143" s="113">
        <f t="shared" si="20"/>
        <v>107913</v>
      </c>
      <c r="F143" s="114">
        <f t="shared" si="21"/>
        <v>3.3506340598272288E-2</v>
      </c>
    </row>
    <row r="144" spans="1:6" x14ac:dyDescent="0.2">
      <c r="A144" s="115">
        <v>3</v>
      </c>
      <c r="B144" s="116" t="s">
        <v>115</v>
      </c>
      <c r="C144" s="113">
        <v>1342068</v>
      </c>
      <c r="D144" s="113">
        <v>10903073</v>
      </c>
      <c r="E144" s="113">
        <f t="shared" si="20"/>
        <v>9561005</v>
      </c>
      <c r="F144" s="114">
        <f t="shared" si="21"/>
        <v>7.1240838765248853</v>
      </c>
    </row>
    <row r="145" spans="1:6" x14ac:dyDescent="0.2">
      <c r="A145" s="115">
        <v>4</v>
      </c>
      <c r="B145" s="116" t="s">
        <v>116</v>
      </c>
      <c r="C145" s="113">
        <v>5940933</v>
      </c>
      <c r="D145" s="113">
        <v>0</v>
      </c>
      <c r="E145" s="113">
        <f t="shared" si="20"/>
        <v>-5940933</v>
      </c>
      <c r="F145" s="114">
        <f t="shared" si="21"/>
        <v>-1</v>
      </c>
    </row>
    <row r="146" spans="1:6" x14ac:dyDescent="0.2">
      <c r="A146" s="115">
        <v>5</v>
      </c>
      <c r="B146" s="116" t="s">
        <v>117</v>
      </c>
      <c r="C146" s="113">
        <v>153712</v>
      </c>
      <c r="D146" s="113">
        <v>104766</v>
      </c>
      <c r="E146" s="113">
        <f t="shared" si="20"/>
        <v>-48946</v>
      </c>
      <c r="F146" s="114">
        <f t="shared" si="21"/>
        <v>-0.31842666805454356</v>
      </c>
    </row>
    <row r="147" spans="1:6" x14ac:dyDescent="0.2">
      <c r="A147" s="115">
        <v>6</v>
      </c>
      <c r="B147" s="116" t="s">
        <v>118</v>
      </c>
      <c r="C147" s="113">
        <v>0</v>
      </c>
      <c r="D147" s="113">
        <v>0</v>
      </c>
      <c r="E147" s="113">
        <f t="shared" si="20"/>
        <v>0</v>
      </c>
      <c r="F147" s="114">
        <f t="shared" si="21"/>
        <v>0</v>
      </c>
    </row>
    <row r="148" spans="1:6" x14ac:dyDescent="0.2">
      <c r="A148" s="115">
        <v>7</v>
      </c>
      <c r="B148" s="116" t="s">
        <v>119</v>
      </c>
      <c r="C148" s="113">
        <v>23249455</v>
      </c>
      <c r="D148" s="113">
        <v>15161151</v>
      </c>
      <c r="E148" s="113">
        <f t="shared" si="20"/>
        <v>-8088304</v>
      </c>
      <c r="F148" s="114">
        <f t="shared" si="21"/>
        <v>-0.34789219790313364</v>
      </c>
    </row>
    <row r="149" spans="1:6" x14ac:dyDescent="0.2">
      <c r="A149" s="115">
        <v>8</v>
      </c>
      <c r="B149" s="116" t="s">
        <v>120</v>
      </c>
      <c r="C149" s="113">
        <v>953677</v>
      </c>
      <c r="D149" s="113">
        <v>703461</v>
      </c>
      <c r="E149" s="113">
        <f t="shared" si="20"/>
        <v>-250216</v>
      </c>
      <c r="F149" s="114">
        <f t="shared" si="21"/>
        <v>-0.26236975412010566</v>
      </c>
    </row>
    <row r="150" spans="1:6" x14ac:dyDescent="0.2">
      <c r="A150" s="115">
        <v>9</v>
      </c>
      <c r="B150" s="116" t="s">
        <v>121</v>
      </c>
      <c r="C150" s="113">
        <v>3507216</v>
      </c>
      <c r="D150" s="113">
        <v>2484621</v>
      </c>
      <c r="E150" s="113">
        <f t="shared" si="20"/>
        <v>-1022595</v>
      </c>
      <c r="F150" s="114">
        <f t="shared" si="21"/>
        <v>-0.29156886829895851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151918</v>
      </c>
      <c r="D152" s="113">
        <v>143018</v>
      </c>
      <c r="E152" s="113">
        <f t="shared" si="20"/>
        <v>-8900</v>
      </c>
      <c r="F152" s="114">
        <f t="shared" si="21"/>
        <v>-5.8584236232704485E-2</v>
      </c>
    </row>
    <row r="153" spans="1:6" ht="33.75" customHeight="1" x14ac:dyDescent="0.25">
      <c r="A153" s="117"/>
      <c r="B153" s="118" t="s">
        <v>146</v>
      </c>
      <c r="C153" s="119">
        <f>SUM(C142:C152)</f>
        <v>46511085</v>
      </c>
      <c r="D153" s="119">
        <f>SUM(D142:D152)</f>
        <v>40565496</v>
      </c>
      <c r="E153" s="119">
        <f t="shared" si="20"/>
        <v>-5945589</v>
      </c>
      <c r="F153" s="120">
        <f t="shared" si="21"/>
        <v>-0.12783165561500018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1880370</v>
      </c>
      <c r="D155" s="113">
        <v>2079526</v>
      </c>
      <c r="E155" s="113">
        <f t="shared" ref="E155:E166" si="22">D155-C155</f>
        <v>199156</v>
      </c>
      <c r="F155" s="114">
        <f t="shared" ref="F155:F166" si="23">IF(C155=0,0,E155/C155)</f>
        <v>0.10591319793444907</v>
      </c>
    </row>
    <row r="156" spans="1:6" x14ac:dyDescent="0.2">
      <c r="A156" s="115">
        <v>2</v>
      </c>
      <c r="B156" s="116" t="s">
        <v>114</v>
      </c>
      <c r="C156" s="113">
        <v>769435</v>
      </c>
      <c r="D156" s="113">
        <v>1071143</v>
      </c>
      <c r="E156" s="113">
        <f t="shared" si="22"/>
        <v>301708</v>
      </c>
      <c r="F156" s="114">
        <f t="shared" si="23"/>
        <v>0.39211629312417551</v>
      </c>
    </row>
    <row r="157" spans="1:6" x14ac:dyDescent="0.2">
      <c r="A157" s="115">
        <v>3</v>
      </c>
      <c r="B157" s="116" t="s">
        <v>115</v>
      </c>
      <c r="C157" s="113">
        <v>1342068</v>
      </c>
      <c r="D157" s="113">
        <v>2809423</v>
      </c>
      <c r="E157" s="113">
        <f t="shared" si="22"/>
        <v>1467355</v>
      </c>
      <c r="F157" s="114">
        <f t="shared" si="23"/>
        <v>1.0933536899769609</v>
      </c>
    </row>
    <row r="158" spans="1:6" x14ac:dyDescent="0.2">
      <c r="A158" s="115">
        <v>4</v>
      </c>
      <c r="B158" s="116" t="s">
        <v>116</v>
      </c>
      <c r="C158" s="113">
        <v>4340423</v>
      </c>
      <c r="D158" s="113">
        <v>0</v>
      </c>
      <c r="E158" s="113">
        <f t="shared" si="22"/>
        <v>-4340423</v>
      </c>
      <c r="F158" s="114">
        <f t="shared" si="23"/>
        <v>-1</v>
      </c>
    </row>
    <row r="159" spans="1:6" x14ac:dyDescent="0.2">
      <c r="A159" s="115">
        <v>5</v>
      </c>
      <c r="B159" s="116" t="s">
        <v>117</v>
      </c>
      <c r="C159" s="113">
        <v>51003</v>
      </c>
      <c r="D159" s="113">
        <v>27431</v>
      </c>
      <c r="E159" s="113">
        <f t="shared" si="22"/>
        <v>-23572</v>
      </c>
      <c r="F159" s="114">
        <f t="shared" si="23"/>
        <v>-0.46216889202595923</v>
      </c>
    </row>
    <row r="160" spans="1:6" x14ac:dyDescent="0.2">
      <c r="A160" s="115">
        <v>6</v>
      </c>
      <c r="B160" s="116" t="s">
        <v>118</v>
      </c>
      <c r="C160" s="113">
        <v>0</v>
      </c>
      <c r="D160" s="113">
        <v>0</v>
      </c>
      <c r="E160" s="113">
        <f t="shared" si="22"/>
        <v>0</v>
      </c>
      <c r="F160" s="114">
        <f t="shared" si="23"/>
        <v>0</v>
      </c>
    </row>
    <row r="161" spans="1:6" x14ac:dyDescent="0.2">
      <c r="A161" s="115">
        <v>7</v>
      </c>
      <c r="B161" s="116" t="s">
        <v>119</v>
      </c>
      <c r="C161" s="113">
        <v>10254347</v>
      </c>
      <c r="D161" s="113">
        <v>7574417</v>
      </c>
      <c r="E161" s="113">
        <f t="shared" si="22"/>
        <v>-2679930</v>
      </c>
      <c r="F161" s="114">
        <f t="shared" si="23"/>
        <v>-0.2613457492710165</v>
      </c>
    </row>
    <row r="162" spans="1:6" x14ac:dyDescent="0.2">
      <c r="A162" s="115">
        <v>8</v>
      </c>
      <c r="B162" s="116" t="s">
        <v>120</v>
      </c>
      <c r="C162" s="113">
        <v>676606</v>
      </c>
      <c r="D162" s="113">
        <v>509377</v>
      </c>
      <c r="E162" s="113">
        <f t="shared" si="22"/>
        <v>-167229</v>
      </c>
      <c r="F162" s="114">
        <f t="shared" si="23"/>
        <v>-0.24715861224996527</v>
      </c>
    </row>
    <row r="163" spans="1:6" x14ac:dyDescent="0.2">
      <c r="A163" s="115">
        <v>9</v>
      </c>
      <c r="B163" s="116" t="s">
        <v>121</v>
      </c>
      <c r="C163" s="113">
        <v>744309</v>
      </c>
      <c r="D163" s="113">
        <v>74310</v>
      </c>
      <c r="E163" s="113">
        <f t="shared" si="22"/>
        <v>-669999</v>
      </c>
      <c r="F163" s="114">
        <f t="shared" si="23"/>
        <v>-0.90016243253809913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46915</v>
      </c>
      <c r="D165" s="113">
        <v>51576</v>
      </c>
      <c r="E165" s="113">
        <f t="shared" si="22"/>
        <v>4661</v>
      </c>
      <c r="F165" s="114">
        <f t="shared" si="23"/>
        <v>9.9349888095491848E-2</v>
      </c>
    </row>
    <row r="166" spans="1:6" ht="33.75" customHeight="1" x14ac:dyDescent="0.25">
      <c r="A166" s="117"/>
      <c r="B166" s="118" t="s">
        <v>148</v>
      </c>
      <c r="C166" s="119">
        <f>SUM(C155:C165)</f>
        <v>20105476</v>
      </c>
      <c r="D166" s="119">
        <f>SUM(D155:D165)</f>
        <v>14197203</v>
      </c>
      <c r="E166" s="119">
        <f t="shared" si="22"/>
        <v>-5908273</v>
      </c>
      <c r="F166" s="120">
        <f t="shared" si="23"/>
        <v>-0.2938638707186042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4050</v>
      </c>
      <c r="D168" s="133">
        <v>3197</v>
      </c>
      <c r="E168" s="133">
        <f t="shared" ref="E168:E179" si="24">D168-C168</f>
        <v>-853</v>
      </c>
      <c r="F168" s="114">
        <f t="shared" ref="F168:F179" si="25">IF(C168=0,0,E168/C168)</f>
        <v>-0.2106172839506173</v>
      </c>
    </row>
    <row r="169" spans="1:6" x14ac:dyDescent="0.2">
      <c r="A169" s="115">
        <v>2</v>
      </c>
      <c r="B169" s="116" t="s">
        <v>114</v>
      </c>
      <c r="C169" s="133">
        <v>1532</v>
      </c>
      <c r="D169" s="133">
        <v>1302</v>
      </c>
      <c r="E169" s="133">
        <f t="shared" si="24"/>
        <v>-230</v>
      </c>
      <c r="F169" s="114">
        <f t="shared" si="25"/>
        <v>-0.15013054830287206</v>
      </c>
    </row>
    <row r="170" spans="1:6" x14ac:dyDescent="0.2">
      <c r="A170" s="115">
        <v>3</v>
      </c>
      <c r="B170" s="116" t="s">
        <v>115</v>
      </c>
      <c r="C170" s="133">
        <v>3216</v>
      </c>
      <c r="D170" s="133">
        <v>5331</v>
      </c>
      <c r="E170" s="133">
        <f t="shared" si="24"/>
        <v>2115</v>
      </c>
      <c r="F170" s="114">
        <f t="shared" si="25"/>
        <v>0.65764925373134331</v>
      </c>
    </row>
    <row r="171" spans="1:6" x14ac:dyDescent="0.2">
      <c r="A171" s="115">
        <v>4</v>
      </c>
      <c r="B171" s="116" t="s">
        <v>116</v>
      </c>
      <c r="C171" s="133">
        <v>4944</v>
      </c>
      <c r="D171" s="133">
        <v>0</v>
      </c>
      <c r="E171" s="133">
        <f t="shared" si="24"/>
        <v>-4944</v>
      </c>
      <c r="F171" s="114">
        <f t="shared" si="25"/>
        <v>-1</v>
      </c>
    </row>
    <row r="172" spans="1:6" x14ac:dyDescent="0.2">
      <c r="A172" s="115">
        <v>5</v>
      </c>
      <c r="B172" s="116" t="s">
        <v>117</v>
      </c>
      <c r="C172" s="133">
        <v>119</v>
      </c>
      <c r="D172" s="133">
        <v>60</v>
      </c>
      <c r="E172" s="133">
        <f t="shared" si="24"/>
        <v>-59</v>
      </c>
      <c r="F172" s="114">
        <f t="shared" si="25"/>
        <v>-0.49579831932773111</v>
      </c>
    </row>
    <row r="173" spans="1:6" x14ac:dyDescent="0.2">
      <c r="A173" s="115">
        <v>6</v>
      </c>
      <c r="B173" s="116" t="s">
        <v>118</v>
      </c>
      <c r="C173" s="133">
        <v>0</v>
      </c>
      <c r="D173" s="133">
        <v>0</v>
      </c>
      <c r="E173" s="133">
        <f t="shared" si="24"/>
        <v>0</v>
      </c>
      <c r="F173" s="114">
        <f t="shared" si="25"/>
        <v>0</v>
      </c>
    </row>
    <row r="174" spans="1:6" x14ac:dyDescent="0.2">
      <c r="A174" s="115">
        <v>7</v>
      </c>
      <c r="B174" s="116" t="s">
        <v>119</v>
      </c>
      <c r="C174" s="133">
        <v>14791</v>
      </c>
      <c r="D174" s="133">
        <v>7683</v>
      </c>
      <c r="E174" s="133">
        <f t="shared" si="24"/>
        <v>-7108</v>
      </c>
      <c r="F174" s="114">
        <f t="shared" si="25"/>
        <v>-0.48056250422554259</v>
      </c>
    </row>
    <row r="175" spans="1:6" x14ac:dyDescent="0.2">
      <c r="A175" s="115">
        <v>8</v>
      </c>
      <c r="B175" s="116" t="s">
        <v>120</v>
      </c>
      <c r="C175" s="133">
        <v>896</v>
      </c>
      <c r="D175" s="133">
        <v>543</v>
      </c>
      <c r="E175" s="133">
        <f t="shared" si="24"/>
        <v>-353</v>
      </c>
      <c r="F175" s="114">
        <f t="shared" si="25"/>
        <v>-0.3939732142857143</v>
      </c>
    </row>
    <row r="176" spans="1:6" x14ac:dyDescent="0.2">
      <c r="A176" s="115">
        <v>9</v>
      </c>
      <c r="B176" s="116" t="s">
        <v>121</v>
      </c>
      <c r="C176" s="133">
        <v>2508</v>
      </c>
      <c r="D176" s="133">
        <v>1526</v>
      </c>
      <c r="E176" s="133">
        <f t="shared" si="24"/>
        <v>-982</v>
      </c>
      <c r="F176" s="114">
        <f t="shared" si="25"/>
        <v>-0.39154704944178631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119</v>
      </c>
      <c r="D178" s="133">
        <v>93</v>
      </c>
      <c r="E178" s="133">
        <f t="shared" si="24"/>
        <v>-26</v>
      </c>
      <c r="F178" s="114">
        <f t="shared" si="25"/>
        <v>-0.21848739495798319</v>
      </c>
    </row>
    <row r="179" spans="1:6" ht="33.75" customHeight="1" x14ac:dyDescent="0.25">
      <c r="A179" s="117"/>
      <c r="B179" s="118" t="s">
        <v>150</v>
      </c>
      <c r="C179" s="134">
        <f>SUM(C168:C178)</f>
        <v>32175</v>
      </c>
      <c r="D179" s="134">
        <f>SUM(D168:D178)</f>
        <v>19735</v>
      </c>
      <c r="E179" s="134">
        <f t="shared" si="24"/>
        <v>-12440</v>
      </c>
      <c r="F179" s="120">
        <f t="shared" si="25"/>
        <v>-0.38663558663558661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FILING&amp;RMILFORD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16446079</v>
      </c>
      <c r="D15" s="157">
        <v>14893505</v>
      </c>
      <c r="E15" s="157">
        <f>+D15-C15</f>
        <v>-1552574</v>
      </c>
      <c r="F15" s="161">
        <f>IF(C15=0,0,E15/C15)</f>
        <v>-9.4403900163680346E-2</v>
      </c>
    </row>
    <row r="16" spans="1:6" ht="15" customHeight="1" x14ac:dyDescent="0.2">
      <c r="A16" s="147">
        <v>2</v>
      </c>
      <c r="B16" s="160" t="s">
        <v>157</v>
      </c>
      <c r="C16" s="157">
        <v>5633239</v>
      </c>
      <c r="D16" s="157">
        <v>4236141</v>
      </c>
      <c r="E16" s="157">
        <f>+D16-C16</f>
        <v>-1397098</v>
      </c>
      <c r="F16" s="161">
        <f>IF(C16=0,0,E16/C16)</f>
        <v>-0.24800971519227216</v>
      </c>
    </row>
    <row r="17" spans="1:6" ht="15" customHeight="1" x14ac:dyDescent="0.2">
      <c r="A17" s="147">
        <v>3</v>
      </c>
      <c r="B17" s="160" t="s">
        <v>158</v>
      </c>
      <c r="C17" s="157">
        <v>15739752</v>
      </c>
      <c r="D17" s="157">
        <v>16557712</v>
      </c>
      <c r="E17" s="157">
        <f>+D17-C17</f>
        <v>817960</v>
      </c>
      <c r="F17" s="161">
        <f>IF(C17=0,0,E17/C17)</f>
        <v>5.1967781957428551E-2</v>
      </c>
    </row>
    <row r="18" spans="1:6" ht="15.75" customHeight="1" x14ac:dyDescent="0.25">
      <c r="A18" s="147"/>
      <c r="B18" s="162" t="s">
        <v>159</v>
      </c>
      <c r="C18" s="158">
        <f>SUM(C15:C17)</f>
        <v>37819070</v>
      </c>
      <c r="D18" s="158">
        <f>SUM(D15:D17)</f>
        <v>35687358</v>
      </c>
      <c r="E18" s="158">
        <f>+D18-C18</f>
        <v>-2131712</v>
      </c>
      <c r="F18" s="159">
        <f>IF(C18=0,0,E18/C18)</f>
        <v>-5.6366060825927239E-2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5577143</v>
      </c>
      <c r="D21" s="157">
        <v>4202695</v>
      </c>
      <c r="E21" s="157">
        <f>+D21-C21</f>
        <v>-1374448</v>
      </c>
      <c r="F21" s="161">
        <f>IF(C21=0,0,E21/C21)</f>
        <v>-0.24644302647430771</v>
      </c>
    </row>
    <row r="22" spans="1:6" ht="15" customHeight="1" x14ac:dyDescent="0.2">
      <c r="A22" s="147">
        <v>2</v>
      </c>
      <c r="B22" s="160" t="s">
        <v>162</v>
      </c>
      <c r="C22" s="157">
        <v>695961</v>
      </c>
      <c r="D22" s="157">
        <v>560359</v>
      </c>
      <c r="E22" s="157">
        <f>+D22-C22</f>
        <v>-135602</v>
      </c>
      <c r="F22" s="161">
        <f>IF(C22=0,0,E22/C22)</f>
        <v>-0.19484137760592907</v>
      </c>
    </row>
    <row r="23" spans="1:6" ht="15" customHeight="1" x14ac:dyDescent="0.2">
      <c r="A23" s="147">
        <v>3</v>
      </c>
      <c r="B23" s="160" t="s">
        <v>163</v>
      </c>
      <c r="C23" s="157">
        <v>5907420</v>
      </c>
      <c r="D23" s="157">
        <v>4576268</v>
      </c>
      <c r="E23" s="157">
        <f>+D23-C23</f>
        <v>-1331152</v>
      </c>
      <c r="F23" s="161">
        <f>IF(C23=0,0,E23/C23)</f>
        <v>-0.22533559489591057</v>
      </c>
    </row>
    <row r="24" spans="1:6" ht="15.75" customHeight="1" x14ac:dyDescent="0.25">
      <c r="A24" s="147"/>
      <c r="B24" s="162" t="s">
        <v>164</v>
      </c>
      <c r="C24" s="158">
        <f>SUM(C21:C23)</f>
        <v>12180524</v>
      </c>
      <c r="D24" s="158">
        <f>SUM(D21:D23)</f>
        <v>9339322</v>
      </c>
      <c r="E24" s="158">
        <f>+D24-C24</f>
        <v>-2841202</v>
      </c>
      <c r="F24" s="159">
        <f>IF(C24=0,0,E24/C24)</f>
        <v>-0.23325778102813968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279055</v>
      </c>
      <c r="D27" s="157">
        <v>74114</v>
      </c>
      <c r="E27" s="157">
        <f>+D27-C27</f>
        <v>-204941</v>
      </c>
      <c r="F27" s="161">
        <f>IF(C27=0,0,E27/C27)</f>
        <v>-0.73441077923706799</v>
      </c>
    </row>
    <row r="28" spans="1:6" ht="15" customHeight="1" x14ac:dyDescent="0.2">
      <c r="A28" s="147">
        <v>2</v>
      </c>
      <c r="B28" s="160" t="s">
        <v>167</v>
      </c>
      <c r="C28" s="157">
        <v>722901</v>
      </c>
      <c r="D28" s="157">
        <v>770256</v>
      </c>
      <c r="E28" s="157">
        <f>+D28-C28</f>
        <v>47355</v>
      </c>
      <c r="F28" s="161">
        <f>IF(C28=0,0,E28/C28)</f>
        <v>6.5506895135018492E-2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1001956</v>
      </c>
      <c r="D30" s="158">
        <f>SUM(D27:D29)</f>
        <v>844370</v>
      </c>
      <c r="E30" s="158">
        <f>+D30-C30</f>
        <v>-157586</v>
      </c>
      <c r="F30" s="159">
        <f>IF(C30=0,0,E30/C30)</f>
        <v>-0.15727836352095301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9894485</v>
      </c>
      <c r="D33" s="157">
        <v>10406832</v>
      </c>
      <c r="E33" s="157">
        <f>+D33-C33</f>
        <v>512347</v>
      </c>
      <c r="F33" s="161">
        <f>IF(C33=0,0,E33/C33)</f>
        <v>5.1781067938351515E-2</v>
      </c>
    </row>
    <row r="34" spans="1:6" ht="15" customHeight="1" x14ac:dyDescent="0.2">
      <c r="A34" s="147">
        <v>2</v>
      </c>
      <c r="B34" s="160" t="s">
        <v>173</v>
      </c>
      <c r="C34" s="157">
        <v>1689621</v>
      </c>
      <c r="D34" s="157">
        <v>2021608</v>
      </c>
      <c r="E34" s="157">
        <f>+D34-C34</f>
        <v>331987</v>
      </c>
      <c r="F34" s="161">
        <f>IF(C34=0,0,E34/C34)</f>
        <v>0.19648607587145284</v>
      </c>
    </row>
    <row r="35" spans="1:6" ht="15.75" customHeight="1" x14ac:dyDescent="0.25">
      <c r="A35" s="147"/>
      <c r="B35" s="162" t="s">
        <v>174</v>
      </c>
      <c r="C35" s="158">
        <f>SUM(C33:C34)</f>
        <v>11584106</v>
      </c>
      <c r="D35" s="158">
        <f>SUM(D33:D34)</f>
        <v>12428440</v>
      </c>
      <c r="E35" s="158">
        <f>+D35-C35</f>
        <v>844334</v>
      </c>
      <c r="F35" s="159">
        <f>IF(C35=0,0,E35/C35)</f>
        <v>7.2887281936128687E-2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2686630</v>
      </c>
      <c r="D38" s="157">
        <v>1033891</v>
      </c>
      <c r="E38" s="157">
        <f>+D38-C38</f>
        <v>-1652739</v>
      </c>
      <c r="F38" s="161">
        <f>IF(C38=0,0,E38/C38)</f>
        <v>-0.61517179514856901</v>
      </c>
    </row>
    <row r="39" spans="1:6" ht="15" customHeight="1" x14ac:dyDescent="0.2">
      <c r="A39" s="147">
        <v>2</v>
      </c>
      <c r="B39" s="160" t="s">
        <v>178</v>
      </c>
      <c r="C39" s="157">
        <v>1484821</v>
      </c>
      <c r="D39" s="157">
        <v>1653658</v>
      </c>
      <c r="E39" s="157">
        <f>+D39-C39</f>
        <v>168837</v>
      </c>
      <c r="F39" s="161">
        <f>IF(C39=0,0,E39/C39)</f>
        <v>0.1137086557908327</v>
      </c>
    </row>
    <row r="40" spans="1:6" ht="15" customHeight="1" x14ac:dyDescent="0.2">
      <c r="A40" s="147">
        <v>3</v>
      </c>
      <c r="B40" s="160" t="s">
        <v>179</v>
      </c>
      <c r="C40" s="157">
        <v>9526</v>
      </c>
      <c r="D40" s="157">
        <v>0</v>
      </c>
      <c r="E40" s="157">
        <f>+D40-C40</f>
        <v>-9526</v>
      </c>
      <c r="F40" s="161">
        <f>IF(C40=0,0,E40/C40)</f>
        <v>-1</v>
      </c>
    </row>
    <row r="41" spans="1:6" ht="15.75" customHeight="1" x14ac:dyDescent="0.25">
      <c r="A41" s="147"/>
      <c r="B41" s="162" t="s">
        <v>180</v>
      </c>
      <c r="C41" s="158">
        <f>SUM(C38:C40)</f>
        <v>4180977</v>
      </c>
      <c r="D41" s="158">
        <f>SUM(D38:D40)</f>
        <v>2687549</v>
      </c>
      <c r="E41" s="158">
        <f>+D41-C41</f>
        <v>-1493428</v>
      </c>
      <c r="F41" s="159">
        <f>IF(C41=0,0,E41/C41)</f>
        <v>-0.35719593769590219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34936</v>
      </c>
      <c r="D47" s="157">
        <v>26961</v>
      </c>
      <c r="E47" s="157">
        <f>+D47-C47</f>
        <v>-7975</v>
      </c>
      <c r="F47" s="161">
        <f>IF(C47=0,0,E47/C47)</f>
        <v>-0.22827455919395467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2479413</v>
      </c>
      <c r="D50" s="157">
        <v>746227</v>
      </c>
      <c r="E50" s="157">
        <f>+D50-C50</f>
        <v>-1733186</v>
      </c>
      <c r="F50" s="161">
        <f>IF(C50=0,0,E50/C50)</f>
        <v>-0.6990307786560771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84975</v>
      </c>
      <c r="D53" s="157">
        <v>81301</v>
      </c>
      <c r="E53" s="157">
        <f t="shared" ref="E53:E59" si="0">+D53-C53</f>
        <v>-3674</v>
      </c>
      <c r="F53" s="161">
        <f t="shared" ref="F53:F59" si="1">IF(C53=0,0,E53/C53)</f>
        <v>-4.3236245954692554E-2</v>
      </c>
    </row>
    <row r="54" spans="1:6" ht="15" customHeight="1" x14ac:dyDescent="0.2">
      <c r="A54" s="147">
        <v>2</v>
      </c>
      <c r="B54" s="160" t="s">
        <v>189</v>
      </c>
      <c r="C54" s="157">
        <v>533634</v>
      </c>
      <c r="D54" s="157">
        <v>326461</v>
      </c>
      <c r="E54" s="157">
        <f t="shared" si="0"/>
        <v>-207173</v>
      </c>
      <c r="F54" s="161">
        <f t="shared" si="1"/>
        <v>-0.38823051004995934</v>
      </c>
    </row>
    <row r="55" spans="1:6" ht="15" customHeight="1" x14ac:dyDescent="0.2">
      <c r="A55" s="147">
        <v>3</v>
      </c>
      <c r="B55" s="160" t="s">
        <v>190</v>
      </c>
      <c r="C55" s="157">
        <v>34489</v>
      </c>
      <c r="D55" s="157">
        <v>18680</v>
      </c>
      <c r="E55" s="157">
        <f t="shared" si="0"/>
        <v>-15809</v>
      </c>
      <c r="F55" s="161">
        <f t="shared" si="1"/>
        <v>-0.45837803357592277</v>
      </c>
    </row>
    <row r="56" spans="1:6" ht="15" customHeight="1" x14ac:dyDescent="0.2">
      <c r="A56" s="147">
        <v>4</v>
      </c>
      <c r="B56" s="160" t="s">
        <v>191</v>
      </c>
      <c r="C56" s="157">
        <v>1083168</v>
      </c>
      <c r="D56" s="157">
        <v>985369</v>
      </c>
      <c r="E56" s="157">
        <f t="shared" si="0"/>
        <v>-97799</v>
      </c>
      <c r="F56" s="161">
        <f t="shared" si="1"/>
        <v>-9.0289779609441928E-2</v>
      </c>
    </row>
    <row r="57" spans="1:6" ht="15" customHeight="1" x14ac:dyDescent="0.2">
      <c r="A57" s="147">
        <v>5</v>
      </c>
      <c r="B57" s="160" t="s">
        <v>192</v>
      </c>
      <c r="C57" s="157">
        <v>78530</v>
      </c>
      <c r="D57" s="157">
        <v>84843</v>
      </c>
      <c r="E57" s="157">
        <f t="shared" si="0"/>
        <v>6313</v>
      </c>
      <c r="F57" s="161">
        <f t="shared" si="1"/>
        <v>8.0389660002546798E-2</v>
      </c>
    </row>
    <row r="58" spans="1:6" ht="15" customHeight="1" x14ac:dyDescent="0.2">
      <c r="A58" s="147">
        <v>6</v>
      </c>
      <c r="B58" s="160" t="s">
        <v>193</v>
      </c>
      <c r="C58" s="157">
        <v>53913</v>
      </c>
      <c r="D58" s="157">
        <v>52691</v>
      </c>
      <c r="E58" s="157">
        <f t="shared" si="0"/>
        <v>-1222</v>
      </c>
      <c r="F58" s="161">
        <f t="shared" si="1"/>
        <v>-2.2666147311409122E-2</v>
      </c>
    </row>
    <row r="59" spans="1:6" ht="15.75" customHeight="1" x14ac:dyDescent="0.25">
      <c r="A59" s="147"/>
      <c r="B59" s="162" t="s">
        <v>194</v>
      </c>
      <c r="C59" s="158">
        <f>SUM(C53:C58)</f>
        <v>1868709</v>
      </c>
      <c r="D59" s="158">
        <f>SUM(D53:D58)</f>
        <v>1549345</v>
      </c>
      <c r="E59" s="158">
        <f t="shared" si="0"/>
        <v>-319364</v>
      </c>
      <c r="F59" s="159">
        <f t="shared" si="1"/>
        <v>-0.1709008732766846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138117</v>
      </c>
      <c r="D62" s="157">
        <v>232189</v>
      </c>
      <c r="E62" s="157">
        <f t="shared" ref="E62:E90" si="2">+D62-C62</f>
        <v>94072</v>
      </c>
      <c r="F62" s="161">
        <f t="shared" ref="F62:F90" si="3">IF(C62=0,0,E62/C62)</f>
        <v>0.68110370193386771</v>
      </c>
    </row>
    <row r="63" spans="1:6" ht="15" customHeight="1" x14ac:dyDescent="0.2">
      <c r="A63" s="147">
        <v>2</v>
      </c>
      <c r="B63" s="160" t="s">
        <v>198</v>
      </c>
      <c r="C63" s="157">
        <v>372467</v>
      </c>
      <c r="D63" s="157">
        <v>290258</v>
      </c>
      <c r="E63" s="157">
        <f t="shared" si="2"/>
        <v>-82209</v>
      </c>
      <c r="F63" s="161">
        <f t="shared" si="3"/>
        <v>-0.22071485527576939</v>
      </c>
    </row>
    <row r="64" spans="1:6" ht="15" customHeight="1" x14ac:dyDescent="0.2">
      <c r="A64" s="147">
        <v>3</v>
      </c>
      <c r="B64" s="160" t="s">
        <v>199</v>
      </c>
      <c r="C64" s="157">
        <v>167762</v>
      </c>
      <c r="D64" s="157">
        <v>33279</v>
      </c>
      <c r="E64" s="157">
        <f t="shared" si="2"/>
        <v>-134483</v>
      </c>
      <c r="F64" s="161">
        <f t="shared" si="3"/>
        <v>-0.80162968967942683</v>
      </c>
    </row>
    <row r="65" spans="1:6" ht="15" customHeight="1" x14ac:dyDescent="0.2">
      <c r="A65" s="147">
        <v>4</v>
      </c>
      <c r="B65" s="160" t="s">
        <v>200</v>
      </c>
      <c r="C65" s="157">
        <v>229641</v>
      </c>
      <c r="D65" s="157">
        <v>230726</v>
      </c>
      <c r="E65" s="157">
        <f t="shared" si="2"/>
        <v>1085</v>
      </c>
      <c r="F65" s="161">
        <f t="shared" si="3"/>
        <v>4.7247660478747259E-3</v>
      </c>
    </row>
    <row r="66" spans="1:6" ht="15" customHeight="1" x14ac:dyDescent="0.2">
      <c r="A66" s="147">
        <v>5</v>
      </c>
      <c r="B66" s="160" t="s">
        <v>201</v>
      </c>
      <c r="C66" s="157">
        <v>107385</v>
      </c>
      <c r="D66" s="157">
        <v>212590</v>
      </c>
      <c r="E66" s="157">
        <f t="shared" si="2"/>
        <v>105205</v>
      </c>
      <c r="F66" s="161">
        <f t="shared" si="3"/>
        <v>0.97969921311170094</v>
      </c>
    </row>
    <row r="67" spans="1:6" ht="15" customHeight="1" x14ac:dyDescent="0.2">
      <c r="A67" s="147">
        <v>6</v>
      </c>
      <c r="B67" s="160" t="s">
        <v>202</v>
      </c>
      <c r="C67" s="157">
        <v>142371</v>
      </c>
      <c r="D67" s="157">
        <v>142426</v>
      </c>
      <c r="E67" s="157">
        <f t="shared" si="2"/>
        <v>55</v>
      </c>
      <c r="F67" s="161">
        <f t="shared" si="3"/>
        <v>3.863146286814028E-4</v>
      </c>
    </row>
    <row r="68" spans="1:6" ht="15" customHeight="1" x14ac:dyDescent="0.2">
      <c r="A68" s="147">
        <v>7</v>
      </c>
      <c r="B68" s="160" t="s">
        <v>203</v>
      </c>
      <c r="C68" s="157">
        <v>232040</v>
      </c>
      <c r="D68" s="157">
        <v>119286</v>
      </c>
      <c r="E68" s="157">
        <f t="shared" si="2"/>
        <v>-112754</v>
      </c>
      <c r="F68" s="161">
        <f t="shared" si="3"/>
        <v>-0.48592484054473367</v>
      </c>
    </row>
    <row r="69" spans="1:6" ht="15" customHeight="1" x14ac:dyDescent="0.2">
      <c r="A69" s="147">
        <v>8</v>
      </c>
      <c r="B69" s="160" t="s">
        <v>204</v>
      </c>
      <c r="C69" s="157">
        <v>117407</v>
      </c>
      <c r="D69" s="157">
        <v>224540</v>
      </c>
      <c r="E69" s="157">
        <f t="shared" si="2"/>
        <v>107133</v>
      </c>
      <c r="F69" s="161">
        <f t="shared" si="3"/>
        <v>0.9124924408255044</v>
      </c>
    </row>
    <row r="70" spans="1:6" ht="15" customHeight="1" x14ac:dyDescent="0.2">
      <c r="A70" s="147">
        <v>9</v>
      </c>
      <c r="B70" s="160" t="s">
        <v>205</v>
      </c>
      <c r="C70" s="157">
        <v>26472</v>
      </c>
      <c r="D70" s="157">
        <v>28825</v>
      </c>
      <c r="E70" s="157">
        <f t="shared" si="2"/>
        <v>2353</v>
      </c>
      <c r="F70" s="161">
        <f t="shared" si="3"/>
        <v>8.888637050468419E-2</v>
      </c>
    </row>
    <row r="71" spans="1:6" ht="15" customHeight="1" x14ac:dyDescent="0.2">
      <c r="A71" s="147">
        <v>10</v>
      </c>
      <c r="B71" s="160" t="s">
        <v>206</v>
      </c>
      <c r="C71" s="157">
        <v>33782</v>
      </c>
      <c r="D71" s="157">
        <v>29486</v>
      </c>
      <c r="E71" s="157">
        <f t="shared" si="2"/>
        <v>-4296</v>
      </c>
      <c r="F71" s="161">
        <f t="shared" si="3"/>
        <v>-0.12716831448700491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650726</v>
      </c>
      <c r="D73" s="157">
        <v>647825</v>
      </c>
      <c r="E73" s="157">
        <f t="shared" si="2"/>
        <v>-2901</v>
      </c>
      <c r="F73" s="161">
        <f t="shared" si="3"/>
        <v>-4.4580975710206755E-3</v>
      </c>
    </row>
    <row r="74" spans="1:6" ht="15" customHeight="1" x14ac:dyDescent="0.2">
      <c r="A74" s="147">
        <v>13</v>
      </c>
      <c r="B74" s="160" t="s">
        <v>209</v>
      </c>
      <c r="C74" s="157">
        <v>152014</v>
      </c>
      <c r="D74" s="157">
        <v>210516</v>
      </c>
      <c r="E74" s="157">
        <f t="shared" si="2"/>
        <v>58502</v>
      </c>
      <c r="F74" s="161">
        <f t="shared" si="3"/>
        <v>0.38484613259305062</v>
      </c>
    </row>
    <row r="75" spans="1:6" ht="15" customHeight="1" x14ac:dyDescent="0.2">
      <c r="A75" s="147">
        <v>14</v>
      </c>
      <c r="B75" s="160" t="s">
        <v>210</v>
      </c>
      <c r="C75" s="157">
        <v>48402</v>
      </c>
      <c r="D75" s="157">
        <v>29569</v>
      </c>
      <c r="E75" s="157">
        <f t="shared" si="2"/>
        <v>-18833</v>
      </c>
      <c r="F75" s="161">
        <f t="shared" si="3"/>
        <v>-0.38909549192182141</v>
      </c>
    </row>
    <row r="76" spans="1:6" ht="15" customHeight="1" x14ac:dyDescent="0.2">
      <c r="A76" s="147">
        <v>15</v>
      </c>
      <c r="B76" s="160" t="s">
        <v>211</v>
      </c>
      <c r="C76" s="157">
        <v>126444</v>
      </c>
      <c r="D76" s="157">
        <v>103779</v>
      </c>
      <c r="E76" s="157">
        <f t="shared" si="2"/>
        <v>-22665</v>
      </c>
      <c r="F76" s="161">
        <f t="shared" si="3"/>
        <v>-0.1792493119483724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632006</v>
      </c>
      <c r="D80" s="157">
        <v>681140</v>
      </c>
      <c r="E80" s="157">
        <f t="shared" si="2"/>
        <v>49134</v>
      </c>
      <c r="F80" s="161">
        <f t="shared" si="3"/>
        <v>7.7742932820258029E-2</v>
      </c>
    </row>
    <row r="81" spans="1:6" ht="15" customHeight="1" x14ac:dyDescent="0.2">
      <c r="A81" s="147">
        <v>20</v>
      </c>
      <c r="B81" s="160" t="s">
        <v>216</v>
      </c>
      <c r="C81" s="157">
        <v>777655</v>
      </c>
      <c r="D81" s="157">
        <v>643733</v>
      </c>
      <c r="E81" s="157">
        <f t="shared" si="2"/>
        <v>-133922</v>
      </c>
      <c r="F81" s="161">
        <f t="shared" si="3"/>
        <v>-0.17221261356256953</v>
      </c>
    </row>
    <row r="82" spans="1:6" ht="15" customHeight="1" x14ac:dyDescent="0.2">
      <c r="A82" s="147">
        <v>21</v>
      </c>
      <c r="B82" s="160" t="s">
        <v>217</v>
      </c>
      <c r="C82" s="157">
        <v>434524</v>
      </c>
      <c r="D82" s="157">
        <v>511346</v>
      </c>
      <c r="E82" s="157">
        <f t="shared" si="2"/>
        <v>76822</v>
      </c>
      <c r="F82" s="161">
        <f t="shared" si="3"/>
        <v>0.17679575811692794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286339</v>
      </c>
      <c r="D84" s="157">
        <v>257339</v>
      </c>
      <c r="E84" s="157">
        <f t="shared" si="2"/>
        <v>-29000</v>
      </c>
      <c r="F84" s="161">
        <f t="shared" si="3"/>
        <v>-0.10127855444071537</v>
      </c>
    </row>
    <row r="85" spans="1:6" ht="15" customHeight="1" x14ac:dyDescent="0.2">
      <c r="A85" s="147">
        <v>24</v>
      </c>
      <c r="B85" s="160" t="s">
        <v>220</v>
      </c>
      <c r="C85" s="157">
        <v>587547</v>
      </c>
      <c r="D85" s="157">
        <v>770256</v>
      </c>
      <c r="E85" s="157">
        <f t="shared" si="2"/>
        <v>182709</v>
      </c>
      <c r="F85" s="161">
        <f t="shared" si="3"/>
        <v>0.31096916501998989</v>
      </c>
    </row>
    <row r="86" spans="1:6" ht="15" customHeight="1" x14ac:dyDescent="0.2">
      <c r="A86" s="147">
        <v>25</v>
      </c>
      <c r="B86" s="160" t="s">
        <v>221</v>
      </c>
      <c r="C86" s="157">
        <v>27223</v>
      </c>
      <c r="D86" s="157">
        <v>36462</v>
      </c>
      <c r="E86" s="157">
        <f t="shared" si="2"/>
        <v>9239</v>
      </c>
      <c r="F86" s="161">
        <f t="shared" si="3"/>
        <v>0.33938214010211953</v>
      </c>
    </row>
    <row r="87" spans="1:6" ht="15" customHeight="1" x14ac:dyDescent="0.2">
      <c r="A87" s="147">
        <v>26</v>
      </c>
      <c r="B87" s="160" t="s">
        <v>222</v>
      </c>
      <c r="C87" s="157">
        <v>733755</v>
      </c>
      <c r="D87" s="157">
        <v>414749</v>
      </c>
      <c r="E87" s="157">
        <f t="shared" si="2"/>
        <v>-319006</v>
      </c>
      <c r="F87" s="161">
        <f t="shared" si="3"/>
        <v>-0.43475819585556486</v>
      </c>
    </row>
    <row r="88" spans="1:6" ht="15" customHeight="1" x14ac:dyDescent="0.2">
      <c r="A88" s="147">
        <v>27</v>
      </c>
      <c r="B88" s="160" t="s">
        <v>223</v>
      </c>
      <c r="C88" s="157">
        <v>811969</v>
      </c>
      <c r="D88" s="157">
        <v>506915</v>
      </c>
      <c r="E88" s="157">
        <f t="shared" si="2"/>
        <v>-305054</v>
      </c>
      <c r="F88" s="161">
        <f t="shared" si="3"/>
        <v>-0.37569660910699793</v>
      </c>
    </row>
    <row r="89" spans="1:6" ht="15" customHeight="1" x14ac:dyDescent="0.2">
      <c r="A89" s="147">
        <v>28</v>
      </c>
      <c r="B89" s="160" t="s">
        <v>224</v>
      </c>
      <c r="C89" s="157">
        <v>421817</v>
      </c>
      <c r="D89" s="157">
        <v>338532</v>
      </c>
      <c r="E89" s="157">
        <f t="shared" si="2"/>
        <v>-83285</v>
      </c>
      <c r="F89" s="161">
        <f t="shared" si="3"/>
        <v>-0.19744344111308931</v>
      </c>
    </row>
    <row r="90" spans="1:6" ht="15.75" customHeight="1" x14ac:dyDescent="0.25">
      <c r="A90" s="147"/>
      <c r="B90" s="162" t="s">
        <v>225</v>
      </c>
      <c r="C90" s="158">
        <f>SUM(C62:C89)</f>
        <v>7257865</v>
      </c>
      <c r="D90" s="158">
        <f>SUM(D62:D89)</f>
        <v>6695766</v>
      </c>
      <c r="E90" s="158">
        <f t="shared" si="2"/>
        <v>-562099</v>
      </c>
      <c r="F90" s="159">
        <f t="shared" si="3"/>
        <v>-7.7446880039791319E-2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1709690</v>
      </c>
      <c r="D93" s="157">
        <v>2071260</v>
      </c>
      <c r="E93" s="157">
        <f>+D93-C93</f>
        <v>361570</v>
      </c>
      <c r="F93" s="161">
        <f>IF(C93=0,0,E93/C93)</f>
        <v>0.21148278342857477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80117246</v>
      </c>
      <c r="D95" s="158">
        <f>+D93+D90+D59+D50+D47+D44+D41+D35+D30+D24+D18</f>
        <v>72076598</v>
      </c>
      <c r="E95" s="158">
        <f>+D95-C95</f>
        <v>-8040648</v>
      </c>
      <c r="F95" s="159">
        <f>IF(C95=0,0,E95/C95)</f>
        <v>-0.1003610134077749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4647379</v>
      </c>
      <c r="D103" s="157">
        <v>2689660</v>
      </c>
      <c r="E103" s="157">
        <f t="shared" ref="E103:E121" si="4">D103-C103</f>
        <v>-1957719</v>
      </c>
      <c r="F103" s="161">
        <f t="shared" ref="F103:F121" si="5">IF(C103=0,0,E103/C103)</f>
        <v>-0.42125228004860377</v>
      </c>
    </row>
    <row r="104" spans="1:6" ht="15" customHeight="1" x14ac:dyDescent="0.2">
      <c r="A104" s="147">
        <v>2</v>
      </c>
      <c r="B104" s="169" t="s">
        <v>234</v>
      </c>
      <c r="C104" s="157">
        <v>666700</v>
      </c>
      <c r="D104" s="157">
        <v>746062</v>
      </c>
      <c r="E104" s="157">
        <f t="shared" si="4"/>
        <v>79362</v>
      </c>
      <c r="F104" s="161">
        <f t="shared" si="5"/>
        <v>0.11903704814759263</v>
      </c>
    </row>
    <row r="105" spans="1:6" ht="15" customHeight="1" x14ac:dyDescent="0.2">
      <c r="A105" s="147">
        <v>3</v>
      </c>
      <c r="B105" s="169" t="s">
        <v>235</v>
      </c>
      <c r="C105" s="157">
        <v>1527966</v>
      </c>
      <c r="D105" s="157">
        <v>1211626</v>
      </c>
      <c r="E105" s="157">
        <f t="shared" si="4"/>
        <v>-316340</v>
      </c>
      <c r="F105" s="161">
        <f t="shared" si="5"/>
        <v>-0.20703340257571176</v>
      </c>
    </row>
    <row r="106" spans="1:6" ht="15" customHeight="1" x14ac:dyDescent="0.2">
      <c r="A106" s="147">
        <v>4</v>
      </c>
      <c r="B106" s="169" t="s">
        <v>236</v>
      </c>
      <c r="C106" s="157">
        <v>628133</v>
      </c>
      <c r="D106" s="157">
        <v>631657</v>
      </c>
      <c r="E106" s="157">
        <f t="shared" si="4"/>
        <v>3524</v>
      </c>
      <c r="F106" s="161">
        <f t="shared" si="5"/>
        <v>5.6102768044347297E-3</v>
      </c>
    </row>
    <row r="107" spans="1:6" ht="15" customHeight="1" x14ac:dyDescent="0.2">
      <c r="A107" s="147">
        <v>5</v>
      </c>
      <c r="B107" s="169" t="s">
        <v>237</v>
      </c>
      <c r="C107" s="157">
        <v>1919935</v>
      </c>
      <c r="D107" s="157">
        <v>2426865</v>
      </c>
      <c r="E107" s="157">
        <f t="shared" si="4"/>
        <v>506930</v>
      </c>
      <c r="F107" s="161">
        <f t="shared" si="5"/>
        <v>0.26403498035089729</v>
      </c>
    </row>
    <row r="108" spans="1:6" ht="15" customHeight="1" x14ac:dyDescent="0.2">
      <c r="A108" s="147">
        <v>6</v>
      </c>
      <c r="B108" s="169" t="s">
        <v>238</v>
      </c>
      <c r="C108" s="157">
        <v>437632</v>
      </c>
      <c r="D108" s="157">
        <v>444823</v>
      </c>
      <c r="E108" s="157">
        <f t="shared" si="4"/>
        <v>7191</v>
      </c>
      <c r="F108" s="161">
        <f t="shared" si="5"/>
        <v>1.6431613775957882E-2</v>
      </c>
    </row>
    <row r="109" spans="1:6" ht="15" customHeight="1" x14ac:dyDescent="0.2">
      <c r="A109" s="147">
        <v>7</v>
      </c>
      <c r="B109" s="169" t="s">
        <v>239</v>
      </c>
      <c r="C109" s="157">
        <v>362818</v>
      </c>
      <c r="D109" s="157">
        <v>379037</v>
      </c>
      <c r="E109" s="157">
        <f t="shared" si="4"/>
        <v>16219</v>
      </c>
      <c r="F109" s="161">
        <f t="shared" si="5"/>
        <v>4.470285377241482E-2</v>
      </c>
    </row>
    <row r="110" spans="1:6" ht="15" customHeight="1" x14ac:dyDescent="0.2">
      <c r="A110" s="147">
        <v>8</v>
      </c>
      <c r="B110" s="169" t="s">
        <v>240</v>
      </c>
      <c r="C110" s="157">
        <v>179801</v>
      </c>
      <c r="D110" s="157">
        <v>152558</v>
      </c>
      <c r="E110" s="157">
        <f t="shared" si="4"/>
        <v>-27243</v>
      </c>
      <c r="F110" s="161">
        <f t="shared" si="5"/>
        <v>-0.15151751102607883</v>
      </c>
    </row>
    <row r="111" spans="1:6" ht="15" customHeight="1" x14ac:dyDescent="0.2">
      <c r="A111" s="147">
        <v>9</v>
      </c>
      <c r="B111" s="169" t="s">
        <v>241</v>
      </c>
      <c r="C111" s="157">
        <v>232864</v>
      </c>
      <c r="D111" s="157">
        <v>226432</v>
      </c>
      <c r="E111" s="157">
        <f t="shared" si="4"/>
        <v>-6432</v>
      </c>
      <c r="F111" s="161">
        <f t="shared" si="5"/>
        <v>-2.7621272502404839E-2</v>
      </c>
    </row>
    <row r="112" spans="1:6" ht="15" customHeight="1" x14ac:dyDescent="0.2">
      <c r="A112" s="147">
        <v>10</v>
      </c>
      <c r="B112" s="169" t="s">
        <v>242</v>
      </c>
      <c r="C112" s="157">
        <v>1642128</v>
      </c>
      <c r="D112" s="157">
        <v>1532506</v>
      </c>
      <c r="E112" s="157">
        <f t="shared" si="4"/>
        <v>-109622</v>
      </c>
      <c r="F112" s="161">
        <f t="shared" si="5"/>
        <v>-6.6756062864770593E-2</v>
      </c>
    </row>
    <row r="113" spans="1:6" ht="15" customHeight="1" x14ac:dyDescent="0.2">
      <c r="A113" s="147">
        <v>11</v>
      </c>
      <c r="B113" s="169" t="s">
        <v>243</v>
      </c>
      <c r="C113" s="157">
        <v>1171432</v>
      </c>
      <c r="D113" s="157">
        <v>1163361</v>
      </c>
      <c r="E113" s="157">
        <f t="shared" si="4"/>
        <v>-8071</v>
      </c>
      <c r="F113" s="161">
        <f t="shared" si="5"/>
        <v>-6.8898578833427801E-3</v>
      </c>
    </row>
    <row r="114" spans="1:6" ht="15" customHeight="1" x14ac:dyDescent="0.2">
      <c r="A114" s="147">
        <v>12</v>
      </c>
      <c r="B114" s="169" t="s">
        <v>244</v>
      </c>
      <c r="C114" s="157">
        <v>61624</v>
      </c>
      <c r="D114" s="157">
        <v>46730</v>
      </c>
      <c r="E114" s="157">
        <f t="shared" si="4"/>
        <v>-14894</v>
      </c>
      <c r="F114" s="161">
        <f t="shared" si="5"/>
        <v>-0.24169154874724133</v>
      </c>
    </row>
    <row r="115" spans="1:6" ht="15" customHeight="1" x14ac:dyDescent="0.2">
      <c r="A115" s="147">
        <v>13</v>
      </c>
      <c r="B115" s="169" t="s">
        <v>245</v>
      </c>
      <c r="C115" s="157">
        <v>3466032</v>
      </c>
      <c r="D115" s="157">
        <v>2904106</v>
      </c>
      <c r="E115" s="157">
        <f t="shared" si="4"/>
        <v>-561926</v>
      </c>
      <c r="F115" s="161">
        <f t="shared" si="5"/>
        <v>-0.16212371957327573</v>
      </c>
    </row>
    <row r="116" spans="1:6" ht="15" customHeight="1" x14ac:dyDescent="0.2">
      <c r="A116" s="147">
        <v>14</v>
      </c>
      <c r="B116" s="169" t="s">
        <v>246</v>
      </c>
      <c r="C116" s="157">
        <v>234512</v>
      </c>
      <c r="D116" s="157">
        <v>233793</v>
      </c>
      <c r="E116" s="157">
        <f t="shared" si="4"/>
        <v>-719</v>
      </c>
      <c r="F116" s="161">
        <f t="shared" si="5"/>
        <v>-3.0659411885106094E-3</v>
      </c>
    </row>
    <row r="117" spans="1:6" ht="15" customHeight="1" x14ac:dyDescent="0.2">
      <c r="A117" s="147">
        <v>15</v>
      </c>
      <c r="B117" s="169" t="s">
        <v>203</v>
      </c>
      <c r="C117" s="157">
        <v>795600</v>
      </c>
      <c r="D117" s="157">
        <v>737514</v>
      </c>
      <c r="E117" s="157">
        <f t="shared" si="4"/>
        <v>-58086</v>
      </c>
      <c r="F117" s="161">
        <f t="shared" si="5"/>
        <v>-7.3009049773755649E-2</v>
      </c>
    </row>
    <row r="118" spans="1:6" ht="15" customHeight="1" x14ac:dyDescent="0.2">
      <c r="A118" s="147">
        <v>16</v>
      </c>
      <c r="B118" s="169" t="s">
        <v>247</v>
      </c>
      <c r="C118" s="157">
        <v>418352</v>
      </c>
      <c r="D118" s="157">
        <v>382451</v>
      </c>
      <c r="E118" s="157">
        <f t="shared" si="4"/>
        <v>-35901</v>
      </c>
      <c r="F118" s="161">
        <f t="shared" si="5"/>
        <v>-8.5815294297624967E-2</v>
      </c>
    </row>
    <row r="119" spans="1:6" ht="15" customHeight="1" x14ac:dyDescent="0.2">
      <c r="A119" s="147">
        <v>17</v>
      </c>
      <c r="B119" s="169" t="s">
        <v>248</v>
      </c>
      <c r="C119" s="157">
        <v>2573605</v>
      </c>
      <c r="D119" s="157">
        <v>2873691</v>
      </c>
      <c r="E119" s="157">
        <f t="shared" si="4"/>
        <v>300086</v>
      </c>
      <c r="F119" s="161">
        <f t="shared" si="5"/>
        <v>0.11660142096397855</v>
      </c>
    </row>
    <row r="120" spans="1:6" ht="15" customHeight="1" x14ac:dyDescent="0.2">
      <c r="A120" s="147">
        <v>18</v>
      </c>
      <c r="B120" s="169" t="s">
        <v>249</v>
      </c>
      <c r="C120" s="157">
        <v>4315319</v>
      </c>
      <c r="D120" s="157">
        <v>4614832</v>
      </c>
      <c r="E120" s="157">
        <f t="shared" si="4"/>
        <v>299513</v>
      </c>
      <c r="F120" s="161">
        <f t="shared" si="5"/>
        <v>6.940691985922709E-2</v>
      </c>
    </row>
    <row r="121" spans="1:6" ht="15.75" customHeight="1" x14ac:dyDescent="0.25">
      <c r="A121" s="147"/>
      <c r="B121" s="165" t="s">
        <v>250</v>
      </c>
      <c r="C121" s="158">
        <f>SUM(C103:C120)</f>
        <v>25281832</v>
      </c>
      <c r="D121" s="158">
        <f>SUM(D103:D120)</f>
        <v>23397704</v>
      </c>
      <c r="E121" s="158">
        <f t="shared" si="4"/>
        <v>-1884128</v>
      </c>
      <c r="F121" s="159">
        <f t="shared" si="5"/>
        <v>-7.4524979044240144E-2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620294</v>
      </c>
      <c r="D124" s="157">
        <v>564504</v>
      </c>
      <c r="E124" s="157">
        <f t="shared" ref="E124:E130" si="6">D124-C124</f>
        <v>-55790</v>
      </c>
      <c r="F124" s="161">
        <f t="shared" ref="F124:F130" si="7">IF(C124=0,0,E124/C124)</f>
        <v>-8.9941221420810138E-2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1260371</v>
      </c>
      <c r="D126" s="157">
        <v>1138875</v>
      </c>
      <c r="E126" s="157">
        <f t="shared" si="6"/>
        <v>-121496</v>
      </c>
      <c r="F126" s="161">
        <f t="shared" si="7"/>
        <v>-9.6397013260381262E-2</v>
      </c>
    </row>
    <row r="127" spans="1:6" ht="15" customHeight="1" x14ac:dyDescent="0.2">
      <c r="A127" s="147">
        <v>4</v>
      </c>
      <c r="B127" s="169" t="s">
        <v>255</v>
      </c>
      <c r="C127" s="157">
        <v>895689</v>
      </c>
      <c r="D127" s="157">
        <v>824655</v>
      </c>
      <c r="E127" s="157">
        <f t="shared" si="6"/>
        <v>-71034</v>
      </c>
      <c r="F127" s="161">
        <f t="shared" si="7"/>
        <v>-7.9306545017299529E-2</v>
      </c>
    </row>
    <row r="128" spans="1:6" ht="15" customHeight="1" x14ac:dyDescent="0.2">
      <c r="A128" s="147">
        <v>5</v>
      </c>
      <c r="B128" s="169" t="s">
        <v>256</v>
      </c>
      <c r="C128" s="157">
        <v>256505</v>
      </c>
      <c r="D128" s="157">
        <v>267911</v>
      </c>
      <c r="E128" s="157">
        <f t="shared" si="6"/>
        <v>11406</v>
      </c>
      <c r="F128" s="161">
        <f t="shared" si="7"/>
        <v>4.4466969454786454E-2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3032859</v>
      </c>
      <c r="D130" s="158">
        <f>SUM(D124:D129)</f>
        <v>2795945</v>
      </c>
      <c r="E130" s="158">
        <f t="shared" si="6"/>
        <v>-236914</v>
      </c>
      <c r="F130" s="159">
        <f t="shared" si="7"/>
        <v>-7.811573172376296E-2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2208844</v>
      </c>
      <c r="D133" s="157">
        <v>2280979</v>
      </c>
      <c r="E133" s="157">
        <f t="shared" ref="E133:E167" si="8">D133-C133</f>
        <v>72135</v>
      </c>
      <c r="F133" s="161">
        <f t="shared" ref="F133:F167" si="9">IF(C133=0,0,E133/C133)</f>
        <v>3.265735380135492E-2</v>
      </c>
    </row>
    <row r="134" spans="1:6" ht="15" customHeight="1" x14ac:dyDescent="0.2">
      <c r="A134" s="147">
        <v>2</v>
      </c>
      <c r="B134" s="169" t="s">
        <v>261</v>
      </c>
      <c r="C134" s="157">
        <v>477572</v>
      </c>
      <c r="D134" s="157">
        <v>471539</v>
      </c>
      <c r="E134" s="157">
        <f t="shared" si="8"/>
        <v>-6033</v>
      </c>
      <c r="F134" s="161">
        <f t="shared" si="9"/>
        <v>-1.2632650155369242E-2</v>
      </c>
    </row>
    <row r="135" spans="1:6" ht="15" customHeight="1" x14ac:dyDescent="0.2">
      <c r="A135" s="147">
        <v>3</v>
      </c>
      <c r="B135" s="169" t="s">
        <v>262</v>
      </c>
      <c r="C135" s="157">
        <v>103757</v>
      </c>
      <c r="D135" s="157">
        <v>109122</v>
      </c>
      <c r="E135" s="157">
        <f t="shared" si="8"/>
        <v>5365</v>
      </c>
      <c r="F135" s="161">
        <f t="shared" si="9"/>
        <v>5.1707354684503215E-2</v>
      </c>
    </row>
    <row r="136" spans="1:6" ht="15" customHeight="1" x14ac:dyDescent="0.2">
      <c r="A136" s="147">
        <v>4</v>
      </c>
      <c r="B136" s="169" t="s">
        <v>263</v>
      </c>
      <c r="C136" s="157">
        <v>211343</v>
      </c>
      <c r="D136" s="157">
        <v>190066</v>
      </c>
      <c r="E136" s="157">
        <f t="shared" si="8"/>
        <v>-21277</v>
      </c>
      <c r="F136" s="161">
        <f t="shared" si="9"/>
        <v>-0.10067520570825625</v>
      </c>
    </row>
    <row r="137" spans="1:6" ht="15" customHeight="1" x14ac:dyDescent="0.2">
      <c r="A137" s="147">
        <v>5</v>
      </c>
      <c r="B137" s="169" t="s">
        <v>264</v>
      </c>
      <c r="C137" s="157">
        <v>2728421</v>
      </c>
      <c r="D137" s="157">
        <v>2745865</v>
      </c>
      <c r="E137" s="157">
        <f t="shared" si="8"/>
        <v>17444</v>
      </c>
      <c r="F137" s="161">
        <f t="shared" si="9"/>
        <v>6.3934414813549669E-3</v>
      </c>
    </row>
    <row r="138" spans="1:6" ht="15" customHeight="1" x14ac:dyDescent="0.2">
      <c r="A138" s="147">
        <v>6</v>
      </c>
      <c r="B138" s="169" t="s">
        <v>265</v>
      </c>
      <c r="C138" s="157">
        <v>477111</v>
      </c>
      <c r="D138" s="157">
        <v>504576</v>
      </c>
      <c r="E138" s="157">
        <f t="shared" si="8"/>
        <v>27465</v>
      </c>
      <c r="F138" s="161">
        <f t="shared" si="9"/>
        <v>5.7565220671919111E-2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0</v>
      </c>
      <c r="D140" s="157">
        <v>0</v>
      </c>
      <c r="E140" s="157">
        <f t="shared" si="8"/>
        <v>0</v>
      </c>
      <c r="F140" s="161">
        <f t="shared" si="9"/>
        <v>0</v>
      </c>
    </row>
    <row r="141" spans="1:6" ht="15" customHeight="1" x14ac:dyDescent="0.2">
      <c r="A141" s="147">
        <v>9</v>
      </c>
      <c r="B141" s="169" t="s">
        <v>268</v>
      </c>
      <c r="C141" s="157">
        <v>638756</v>
      </c>
      <c r="D141" s="157">
        <v>626172</v>
      </c>
      <c r="E141" s="157">
        <f t="shared" si="8"/>
        <v>-12584</v>
      </c>
      <c r="F141" s="161">
        <f t="shared" si="9"/>
        <v>-1.9700793417204692E-2</v>
      </c>
    </row>
    <row r="142" spans="1:6" ht="15" customHeight="1" x14ac:dyDescent="0.2">
      <c r="A142" s="147">
        <v>10</v>
      </c>
      <c r="B142" s="169" t="s">
        <v>269</v>
      </c>
      <c r="C142" s="157">
        <v>4083838</v>
      </c>
      <c r="D142" s="157">
        <v>3987670</v>
      </c>
      <c r="E142" s="157">
        <f t="shared" si="8"/>
        <v>-96168</v>
      </c>
      <c r="F142" s="161">
        <f t="shared" si="9"/>
        <v>-2.3548436544250775E-2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98161</v>
      </c>
      <c r="D145" s="157">
        <v>100219</v>
      </c>
      <c r="E145" s="157">
        <f t="shared" si="8"/>
        <v>2058</v>
      </c>
      <c r="F145" s="161">
        <f t="shared" si="9"/>
        <v>2.0965556585609356E-2</v>
      </c>
    </row>
    <row r="146" spans="1:6" ht="15" customHeight="1" x14ac:dyDescent="0.2">
      <c r="A146" s="147">
        <v>14</v>
      </c>
      <c r="B146" s="169" t="s">
        <v>273</v>
      </c>
      <c r="C146" s="157">
        <v>15092</v>
      </c>
      <c r="D146" s="157">
        <v>6517</v>
      </c>
      <c r="E146" s="157">
        <f t="shared" si="8"/>
        <v>-8575</v>
      </c>
      <c r="F146" s="161">
        <f t="shared" si="9"/>
        <v>-0.56818181818181823</v>
      </c>
    </row>
    <row r="147" spans="1:6" ht="15" customHeight="1" x14ac:dyDescent="0.2">
      <c r="A147" s="147">
        <v>15</v>
      </c>
      <c r="B147" s="169" t="s">
        <v>274</v>
      </c>
      <c r="C147" s="157">
        <v>53472</v>
      </c>
      <c r="D147" s="157">
        <v>60512</v>
      </c>
      <c r="E147" s="157">
        <f t="shared" si="8"/>
        <v>7040</v>
      </c>
      <c r="F147" s="161">
        <f t="shared" si="9"/>
        <v>0.13165769000598443</v>
      </c>
    </row>
    <row r="148" spans="1:6" ht="15" customHeight="1" x14ac:dyDescent="0.2">
      <c r="A148" s="147">
        <v>16</v>
      </c>
      <c r="B148" s="169" t="s">
        <v>275</v>
      </c>
      <c r="C148" s="157">
        <v>41307</v>
      </c>
      <c r="D148" s="157">
        <v>42851</v>
      </c>
      <c r="E148" s="157">
        <f t="shared" si="8"/>
        <v>1544</v>
      </c>
      <c r="F148" s="161">
        <f t="shared" si="9"/>
        <v>3.7378652528627113E-2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1002450</v>
      </c>
      <c r="D150" s="157">
        <v>898779</v>
      </c>
      <c r="E150" s="157">
        <f t="shared" si="8"/>
        <v>-103671</v>
      </c>
      <c r="F150" s="161">
        <f t="shared" si="9"/>
        <v>-0.10341762681430496</v>
      </c>
    </row>
    <row r="151" spans="1:6" ht="15" customHeight="1" x14ac:dyDescent="0.2">
      <c r="A151" s="147">
        <v>19</v>
      </c>
      <c r="B151" s="169" t="s">
        <v>278</v>
      </c>
      <c r="C151" s="157">
        <v>101010</v>
      </c>
      <c r="D151" s="157">
        <v>102314</v>
      </c>
      <c r="E151" s="157">
        <f t="shared" si="8"/>
        <v>1304</v>
      </c>
      <c r="F151" s="161">
        <f t="shared" si="9"/>
        <v>1.290961290961291E-2</v>
      </c>
    </row>
    <row r="152" spans="1:6" ht="15" customHeight="1" x14ac:dyDescent="0.2">
      <c r="A152" s="147">
        <v>20</v>
      </c>
      <c r="B152" s="169" t="s">
        <v>279</v>
      </c>
      <c r="C152" s="157">
        <v>280915</v>
      </c>
      <c r="D152" s="157">
        <v>305523</v>
      </c>
      <c r="E152" s="157">
        <f t="shared" si="8"/>
        <v>24608</v>
      </c>
      <c r="F152" s="161">
        <f t="shared" si="9"/>
        <v>8.7599451791467164E-2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167535</v>
      </c>
      <c r="D155" s="157">
        <v>0</v>
      </c>
      <c r="E155" s="157">
        <f t="shared" si="8"/>
        <v>-167535</v>
      </c>
      <c r="F155" s="161">
        <f t="shared" si="9"/>
        <v>-1</v>
      </c>
    </row>
    <row r="156" spans="1:6" ht="15" customHeight="1" x14ac:dyDescent="0.2">
      <c r="A156" s="147">
        <v>24</v>
      </c>
      <c r="B156" s="169" t="s">
        <v>283</v>
      </c>
      <c r="C156" s="157">
        <v>7748021</v>
      </c>
      <c r="D156" s="157">
        <v>6266290</v>
      </c>
      <c r="E156" s="157">
        <f t="shared" si="8"/>
        <v>-1481731</v>
      </c>
      <c r="F156" s="161">
        <f t="shared" si="9"/>
        <v>-0.19123993081588189</v>
      </c>
    </row>
    <row r="157" spans="1:6" ht="15" customHeight="1" x14ac:dyDescent="0.2">
      <c r="A157" s="147">
        <v>25</v>
      </c>
      <c r="B157" s="169" t="s">
        <v>284</v>
      </c>
      <c r="C157" s="157">
        <v>413312</v>
      </c>
      <c r="D157" s="157">
        <v>405833</v>
      </c>
      <c r="E157" s="157">
        <f t="shared" si="8"/>
        <v>-7479</v>
      </c>
      <c r="F157" s="161">
        <f t="shared" si="9"/>
        <v>-1.8095288789098791E-2</v>
      </c>
    </row>
    <row r="158" spans="1:6" ht="15" customHeight="1" x14ac:dyDescent="0.2">
      <c r="A158" s="147">
        <v>26</v>
      </c>
      <c r="B158" s="169" t="s">
        <v>285</v>
      </c>
      <c r="C158" s="157">
        <v>68476</v>
      </c>
      <c r="D158" s="157">
        <v>72397</v>
      </c>
      <c r="E158" s="157">
        <f t="shared" si="8"/>
        <v>3921</v>
      </c>
      <c r="F158" s="161">
        <f t="shared" si="9"/>
        <v>5.7260938138909985E-2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454384</v>
      </c>
      <c r="D160" s="157">
        <v>604769</v>
      </c>
      <c r="E160" s="157">
        <f t="shared" si="8"/>
        <v>150385</v>
      </c>
      <c r="F160" s="161">
        <f t="shared" si="9"/>
        <v>0.33096455861121871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606802</v>
      </c>
      <c r="D164" s="157">
        <v>612444</v>
      </c>
      <c r="E164" s="157">
        <f t="shared" si="8"/>
        <v>5642</v>
      </c>
      <c r="F164" s="161">
        <f t="shared" si="9"/>
        <v>9.2979258473109838E-3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17616783</v>
      </c>
      <c r="D166" s="157">
        <v>12998543</v>
      </c>
      <c r="E166" s="157">
        <f t="shared" si="8"/>
        <v>-4618240</v>
      </c>
      <c r="F166" s="161">
        <f t="shared" si="9"/>
        <v>-0.26215001910394198</v>
      </c>
    </row>
    <row r="167" spans="1:6" ht="15.75" customHeight="1" x14ac:dyDescent="0.25">
      <c r="A167" s="147"/>
      <c r="B167" s="165" t="s">
        <v>294</v>
      </c>
      <c r="C167" s="158">
        <f>SUM(C133:C166)</f>
        <v>39597362</v>
      </c>
      <c r="D167" s="158">
        <f>SUM(D133:D166)</f>
        <v>33392980</v>
      </c>
      <c r="E167" s="158">
        <f t="shared" si="8"/>
        <v>-6204382</v>
      </c>
      <c r="F167" s="159">
        <f t="shared" si="9"/>
        <v>-0.15668675100124094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7597640</v>
      </c>
      <c r="D170" s="157">
        <v>7820852</v>
      </c>
      <c r="E170" s="157">
        <f t="shared" ref="E170:E183" si="10">D170-C170</f>
        <v>223212</v>
      </c>
      <c r="F170" s="161">
        <f t="shared" ref="F170:F183" si="11">IF(C170=0,0,E170/C170)</f>
        <v>2.9379122990823466E-2</v>
      </c>
    </row>
    <row r="171" spans="1:6" ht="15" customHeight="1" x14ac:dyDescent="0.2">
      <c r="A171" s="147">
        <v>2</v>
      </c>
      <c r="B171" s="169" t="s">
        <v>297</v>
      </c>
      <c r="C171" s="157">
        <v>2083907</v>
      </c>
      <c r="D171" s="157">
        <v>2250929</v>
      </c>
      <c r="E171" s="157">
        <f t="shared" si="10"/>
        <v>167022</v>
      </c>
      <c r="F171" s="161">
        <f t="shared" si="11"/>
        <v>8.0148490311707773E-2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974021</v>
      </c>
      <c r="D175" s="157">
        <v>866045</v>
      </c>
      <c r="E175" s="157">
        <f t="shared" si="10"/>
        <v>-107976</v>
      </c>
      <c r="F175" s="161">
        <f t="shared" si="11"/>
        <v>-0.11085592610426263</v>
      </c>
    </row>
    <row r="176" spans="1:6" ht="15" customHeight="1" x14ac:dyDescent="0.2">
      <c r="A176" s="147">
        <v>7</v>
      </c>
      <c r="B176" s="169" t="s">
        <v>302</v>
      </c>
      <c r="C176" s="157">
        <v>974021</v>
      </c>
      <c r="D176" s="157">
        <v>895508</v>
      </c>
      <c r="E176" s="157">
        <f t="shared" si="10"/>
        <v>-78513</v>
      </c>
      <c r="F176" s="161">
        <f t="shared" si="11"/>
        <v>-8.0607091633547942E-2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575604</v>
      </c>
      <c r="D179" s="157">
        <v>656635</v>
      </c>
      <c r="E179" s="157">
        <f t="shared" si="10"/>
        <v>81031</v>
      </c>
      <c r="F179" s="161">
        <f t="shared" si="11"/>
        <v>0.14077560267128095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12205193</v>
      </c>
      <c r="D183" s="158">
        <f>SUM(D170:D182)</f>
        <v>12489969</v>
      </c>
      <c r="E183" s="158">
        <f t="shared" si="10"/>
        <v>284776</v>
      </c>
      <c r="F183" s="159">
        <f t="shared" si="11"/>
        <v>2.3332363527557493E-2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80117246</v>
      </c>
      <c r="D188" s="158">
        <f>+D186+D183+D167+D130+D121</f>
        <v>72076598</v>
      </c>
      <c r="E188" s="158">
        <f>D188-C188</f>
        <v>-8040648</v>
      </c>
      <c r="F188" s="159">
        <f>IF(C188=0,0,E188/C188)</f>
        <v>-0.1003610134077749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84451715</v>
      </c>
      <c r="D11" s="183">
        <v>69903315</v>
      </c>
      <c r="E11" s="76">
        <v>63500794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2505143</v>
      </c>
      <c r="D12" s="185">
        <v>1449445</v>
      </c>
      <c r="E12" s="185">
        <v>1352459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86956858</v>
      </c>
      <c r="D13" s="76">
        <f>+D11+D12</f>
        <v>71352760</v>
      </c>
      <c r="E13" s="76">
        <f>+E11+E12</f>
        <v>64853253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90685854</v>
      </c>
      <c r="D14" s="185">
        <v>80117246</v>
      </c>
      <c r="E14" s="185">
        <v>72076598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-3728996</v>
      </c>
      <c r="D15" s="76">
        <f>+D13-D14</f>
        <v>-8764486</v>
      </c>
      <c r="E15" s="76">
        <f>+E13-E14</f>
        <v>-7223345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1943229</v>
      </c>
      <c r="D16" s="185">
        <v>-111532</v>
      </c>
      <c r="E16" s="185">
        <v>19611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-1785767</v>
      </c>
      <c r="D17" s="76">
        <f>D15+D16</f>
        <v>-8876018</v>
      </c>
      <c r="E17" s="76">
        <f>E15+E16</f>
        <v>-7203734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-4.1945920705341942E-2</v>
      </c>
      <c r="D20" s="189">
        <f>IF(+D27=0,0,+D24/+D27)</f>
        <v>-0.12302547620318953</v>
      </c>
      <c r="E20" s="189">
        <f>IF(+E27=0,0,+E24/+E27)</f>
        <v>-0.11134617087354121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2.1858572534355337E-2</v>
      </c>
      <c r="D21" s="189">
        <f>IF(D27=0,0,+D26/D27)</f>
        <v>-1.5655541479436597E-3</v>
      </c>
      <c r="E21" s="189">
        <f>IF(E27=0,0,+E26/E27)</f>
        <v>3.0229897049095908E-4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-2.0087348170986605E-2</v>
      </c>
      <c r="D22" s="189">
        <f>IF(D27=0,0,+D28/D27)</f>
        <v>-0.1245910303511332</v>
      </c>
      <c r="E22" s="189">
        <f>IF(E27=0,0,+E28/E27)</f>
        <v>-0.11104387190305025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-3728996</v>
      </c>
      <c r="D24" s="76">
        <f>+D15</f>
        <v>-8764486</v>
      </c>
      <c r="E24" s="76">
        <f>+E15</f>
        <v>-7223345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86956858</v>
      </c>
      <c r="D25" s="76">
        <f>+D13</f>
        <v>71352760</v>
      </c>
      <c r="E25" s="76">
        <f>+E13</f>
        <v>64853253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1943229</v>
      </c>
      <c r="D26" s="76">
        <f>+D16</f>
        <v>-111532</v>
      </c>
      <c r="E26" s="76">
        <f>+E16</f>
        <v>19611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88900087</v>
      </c>
      <c r="D27" s="76">
        <f>+D25+D26</f>
        <v>71241228</v>
      </c>
      <c r="E27" s="76">
        <f>+E25+E26</f>
        <v>64872864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-1785767</v>
      </c>
      <c r="D28" s="76">
        <f>+D17</f>
        <v>-8876018</v>
      </c>
      <c r="E28" s="76">
        <f>+E17</f>
        <v>-7203734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5927259</v>
      </c>
      <c r="D31" s="76">
        <v>7157824</v>
      </c>
      <c r="E31" s="76">
        <v>-2536448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7270463</v>
      </c>
      <c r="D32" s="76">
        <v>8606097</v>
      </c>
      <c r="E32" s="76">
        <v>-1022209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-8224756</v>
      </c>
      <c r="D33" s="76">
        <f>+D32-C32</f>
        <v>1335634</v>
      </c>
      <c r="E33" s="76">
        <f>+E32-D32</f>
        <v>-9628306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0.46920000000000001</v>
      </c>
      <c r="D34" s="193">
        <f>IF(C32=0,0,+D33/C32)</f>
        <v>0.18370686983758805</v>
      </c>
      <c r="E34" s="193">
        <f>IF(D32=0,0,+E33/D32)</f>
        <v>-1.1187773040438656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0.47250104957706723</v>
      </c>
      <c r="D38" s="195">
        <f>IF((D40+D41)=0,0,+D39/(D40+D41))</f>
        <v>0.40800513839330671</v>
      </c>
      <c r="E38" s="195">
        <f>IF((E40+E41)=0,0,+E39/(E40+E41))</f>
        <v>0.36281980025263477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90685854</v>
      </c>
      <c r="D39" s="76">
        <v>80117246</v>
      </c>
      <c r="E39" s="196">
        <v>72076598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189422164</v>
      </c>
      <c r="D40" s="76">
        <v>194913881</v>
      </c>
      <c r="E40" s="196">
        <v>197304279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2505143</v>
      </c>
      <c r="D41" s="76">
        <v>1449445</v>
      </c>
      <c r="E41" s="196">
        <v>1352459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1.0140844446500192</v>
      </c>
      <c r="D43" s="197">
        <f>IF(D38=0,0,IF((D46-D47)=0,0,((+D44-D45)/(D46-D47)/D38)))</f>
        <v>1.165540145941276</v>
      </c>
      <c r="E43" s="197">
        <f>IF(E38=0,0,IF((E46-E47)=0,0,((+E44-E45)/(E46-E47)/E38)))</f>
        <v>1.1951667225536593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35503735</v>
      </c>
      <c r="D44" s="76">
        <v>34099176</v>
      </c>
      <c r="E44" s="196">
        <v>29844277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249764</v>
      </c>
      <c r="D45" s="76">
        <v>77593</v>
      </c>
      <c r="E45" s="196">
        <v>190937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79203642</v>
      </c>
      <c r="D46" s="76">
        <v>78413568</v>
      </c>
      <c r="E46" s="196">
        <v>72984179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5628494</v>
      </c>
      <c r="D47" s="76">
        <v>6871474</v>
      </c>
      <c r="E47" s="76">
        <v>4600235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0.69535053861230101</v>
      </c>
      <c r="D49" s="198">
        <f>IF(D38=0,0,IF(D51=0,0,(D50/D51)/D38))</f>
        <v>0.71851728084969346</v>
      </c>
      <c r="E49" s="198">
        <f>IF(E38=0,0,IF(E51=0,0,(E50/E51)/E38))</f>
        <v>0.80077528063329706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29632816</v>
      </c>
      <c r="D50" s="199">
        <v>28130272</v>
      </c>
      <c r="E50" s="199">
        <v>28561974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90191654</v>
      </c>
      <c r="D51" s="199">
        <v>95955767</v>
      </c>
      <c r="E51" s="199">
        <v>98307484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0.55957201052308991</v>
      </c>
      <c r="D53" s="198">
        <f>IF(D38=0,0,IF(D55=0,0,(D54/D55)/D38))</f>
        <v>0.6389794622334467</v>
      </c>
      <c r="E53" s="198">
        <f>IF(E38=0,0,IF(E55=0,0,(E54/E55)/E38))</f>
        <v>0.69293293451779847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5177495</v>
      </c>
      <c r="D54" s="199">
        <v>5190292</v>
      </c>
      <c r="E54" s="199">
        <v>6400006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19582175</v>
      </c>
      <c r="D55" s="199">
        <v>19908533</v>
      </c>
      <c r="E55" s="199">
        <v>25456471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3412141.2869651634</v>
      </c>
      <c r="D57" s="88">
        <f>+D60*D38</f>
        <v>2896869.9390138257</v>
      </c>
      <c r="E57" s="88">
        <f>+E60*E38</f>
        <v>2245166.6572225303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192533</v>
      </c>
      <c r="D58" s="199">
        <v>643601</v>
      </c>
      <c r="E58" s="199">
        <v>579795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7028914</v>
      </c>
      <c r="D59" s="199">
        <v>6456481</v>
      </c>
      <c r="E59" s="199">
        <v>5608309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7221447</v>
      </c>
      <c r="D60" s="76">
        <v>7100082</v>
      </c>
      <c r="E60" s="201">
        <v>6188104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3.7625948661906668E-2</v>
      </c>
      <c r="D62" s="202">
        <f>IF(D63=0,0,+D57/D63)</f>
        <v>3.6157882149541506E-2</v>
      </c>
      <c r="E62" s="202">
        <f>IF(E63=0,0,+E57/E63)</f>
        <v>3.1149731251501774E-2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90685854</v>
      </c>
      <c r="D63" s="199">
        <v>80117246</v>
      </c>
      <c r="E63" s="199">
        <v>72076598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0.9983730228565959</v>
      </c>
      <c r="D67" s="203">
        <f>IF(D69=0,0,D68/D69)</f>
        <v>0.89368995808256524</v>
      </c>
      <c r="E67" s="203">
        <f>IF(E69=0,0,E68/E69)</f>
        <v>0.97556863217539969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16168102</v>
      </c>
      <c r="D68" s="204">
        <v>14823966</v>
      </c>
      <c r="E68" s="204">
        <v>18171554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16194450</v>
      </c>
      <c r="D69" s="204">
        <v>16587370</v>
      </c>
      <c r="E69" s="204">
        <v>18626628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2.6151241503140601</v>
      </c>
      <c r="D71" s="203">
        <f>IF((D77/365)=0,0,+D74/(D77/365))</f>
        <v>8.5348441335720615</v>
      </c>
      <c r="E71" s="203">
        <f>IF((E77/365)=0,0,+E74/(E77/365))</f>
        <v>36.839635603018571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404540</v>
      </c>
      <c r="D72" s="183">
        <v>1665016</v>
      </c>
      <c r="E72" s="183">
        <v>6892694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225160</v>
      </c>
      <c r="D73" s="206">
        <v>110612</v>
      </c>
      <c r="E73" s="206">
        <v>110778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629700</v>
      </c>
      <c r="D74" s="204">
        <f>+D72+D73</f>
        <v>1775628</v>
      </c>
      <c r="E74" s="204">
        <f>+E72+E73</f>
        <v>7003472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90685854</v>
      </c>
      <c r="D75" s="204">
        <f>+D14</f>
        <v>80117246</v>
      </c>
      <c r="E75" s="204">
        <f>+E14</f>
        <v>72076598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2796910</v>
      </c>
      <c r="D76" s="204">
        <v>4180977</v>
      </c>
      <c r="E76" s="204">
        <v>2687549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87888944</v>
      </c>
      <c r="D77" s="204">
        <f>+D75-D76</f>
        <v>75936269</v>
      </c>
      <c r="E77" s="204">
        <f>+E75-E76</f>
        <v>69389049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49.261789710250405</v>
      </c>
      <c r="D79" s="203">
        <f>IF((D84/365)=0,0,+D83/(D84/365))</f>
        <v>41.387830963381354</v>
      </c>
      <c r="E79" s="203">
        <f>IF((E84/365)=0,0,+E83/(E84/365))</f>
        <v>38.078203478841544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12293728</v>
      </c>
      <c r="D80" s="212">
        <v>9618035</v>
      </c>
      <c r="E80" s="212">
        <v>8850797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895803</v>
      </c>
      <c r="D82" s="212">
        <v>1691606</v>
      </c>
      <c r="E82" s="212">
        <v>2226150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11397925</v>
      </c>
      <c r="D83" s="212">
        <f>+D80+D81-D82</f>
        <v>7926429</v>
      </c>
      <c r="E83" s="212">
        <f>+E80+E81-E82</f>
        <v>6624647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84451715</v>
      </c>
      <c r="D84" s="204">
        <f>+D11</f>
        <v>69903315</v>
      </c>
      <c r="E84" s="204">
        <f>+E11</f>
        <v>63500794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67.255037789508535</v>
      </c>
      <c r="D86" s="203">
        <f>IF((D90/365)=0,0,+D87/(D90/365))</f>
        <v>79.729885728254573</v>
      </c>
      <c r="E86" s="203">
        <f>IF((E90/365)=0,0,+E87/(E90/365))</f>
        <v>97.979714637680075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16194450</v>
      </c>
      <c r="D87" s="76">
        <f>+D69</f>
        <v>16587370</v>
      </c>
      <c r="E87" s="76">
        <f>+E69</f>
        <v>18626628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90685854</v>
      </c>
      <c r="D88" s="76">
        <f t="shared" si="0"/>
        <v>80117246</v>
      </c>
      <c r="E88" s="76">
        <f t="shared" si="0"/>
        <v>72076598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2796910</v>
      </c>
      <c r="D89" s="201">
        <f t="shared" si="0"/>
        <v>4180977</v>
      </c>
      <c r="E89" s="201">
        <f t="shared" si="0"/>
        <v>2687549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87888944</v>
      </c>
      <c r="D90" s="76">
        <f>+D88-D89</f>
        <v>75936269</v>
      </c>
      <c r="E90" s="76">
        <f>+E88-E89</f>
        <v>69389049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12.486909331232047</v>
      </c>
      <c r="D94" s="214">
        <f>IF(D96=0,0,(D95/D96)*100)</f>
        <v>17.789980913918029</v>
      </c>
      <c r="E94" s="214">
        <f>IF(E96=0,0,(E95/E96)*100)</f>
        <v>-2.1775970945290579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7270463</v>
      </c>
      <c r="D95" s="76">
        <f>+D32</f>
        <v>8606097</v>
      </c>
      <c r="E95" s="76">
        <f>+E32</f>
        <v>-1022209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58224680</v>
      </c>
      <c r="D96" s="76">
        <v>48376089</v>
      </c>
      <c r="E96" s="76">
        <v>46942063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6.2437625235806093</v>
      </c>
      <c r="D98" s="214">
        <f>IF(D104=0,0,(D101/D104)*100)</f>
        <v>-28.304915125182596</v>
      </c>
      <c r="E98" s="214">
        <f>IF(E104=0,0,(E101/E104)*100)</f>
        <v>-18.338625166222513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-1785767</v>
      </c>
      <c r="D99" s="76">
        <f>+D28</f>
        <v>-8876018</v>
      </c>
      <c r="E99" s="76">
        <f>+E28</f>
        <v>-7203734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2796910</v>
      </c>
      <c r="D100" s="201">
        <f>+D76</f>
        <v>4180977</v>
      </c>
      <c r="E100" s="201">
        <f>+E76</f>
        <v>2687549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1011143</v>
      </c>
      <c r="D101" s="76">
        <f>+D99+D100</f>
        <v>-4695041</v>
      </c>
      <c r="E101" s="76">
        <f>+E99+E100</f>
        <v>-4516185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16194450</v>
      </c>
      <c r="D102" s="204">
        <f>+D69</f>
        <v>16587370</v>
      </c>
      <c r="E102" s="204">
        <f>+E69</f>
        <v>18626628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6000000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16194450</v>
      </c>
      <c r="D104" s="204">
        <f>+D102+D103</f>
        <v>16587370</v>
      </c>
      <c r="E104" s="204">
        <f>+E102+E103</f>
        <v>24626628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120.53539411357367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6000000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7270463</v>
      </c>
      <c r="D108" s="204">
        <f>+D32</f>
        <v>8606097</v>
      </c>
      <c r="E108" s="204">
        <f>+E32</f>
        <v>-1022209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7270463</v>
      </c>
      <c r="D109" s="204">
        <f>+D107+D108</f>
        <v>8606097</v>
      </c>
      <c r="E109" s="204">
        <f>+E107+E108</f>
        <v>4977791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1.0524268907721903</v>
      </c>
      <c r="D111" s="214">
        <f>IF((+D113+D115)=0,0,((+D112+D113+D114)/(+D113+D115)))</f>
        <v>-4.8027317240078613</v>
      </c>
      <c r="E111" s="214">
        <f>IF((+E113+E115)=0,0,((+E112+E113+E114)/(+E113+E115)))</f>
        <v>-166.50189155107188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-1785767</v>
      </c>
      <c r="D112" s="76">
        <f>+D17</f>
        <v>-8876018</v>
      </c>
      <c r="E112" s="76">
        <f>+E17</f>
        <v>-7203734</v>
      </c>
    </row>
    <row r="113" spans="1:8" ht="24" customHeight="1" x14ac:dyDescent="0.2">
      <c r="A113" s="85">
        <v>17</v>
      </c>
      <c r="B113" s="75" t="s">
        <v>88</v>
      </c>
      <c r="C113" s="218">
        <v>102151</v>
      </c>
      <c r="D113" s="76">
        <v>34936</v>
      </c>
      <c r="E113" s="76">
        <v>26961</v>
      </c>
    </row>
    <row r="114" spans="1:8" ht="24" customHeight="1" x14ac:dyDescent="0.2">
      <c r="A114" s="85">
        <v>18</v>
      </c>
      <c r="B114" s="75" t="s">
        <v>374</v>
      </c>
      <c r="C114" s="218">
        <v>2796910</v>
      </c>
      <c r="D114" s="76">
        <v>4180977</v>
      </c>
      <c r="E114" s="76">
        <v>2687549</v>
      </c>
    </row>
    <row r="115" spans="1:8" ht="24" customHeight="1" x14ac:dyDescent="0.2">
      <c r="A115" s="85">
        <v>19</v>
      </c>
      <c r="B115" s="75" t="s">
        <v>104</v>
      </c>
      <c r="C115" s="218">
        <v>955684</v>
      </c>
      <c r="D115" s="76">
        <v>935367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17.439651615532856</v>
      </c>
      <c r="D119" s="214">
        <f>IF(+D121=0,0,(+D120)/(+D121))</f>
        <v>6.7046972513840668</v>
      </c>
      <c r="E119" s="214">
        <f>IF(+E121=0,0,(+E120)/(+E121))</f>
        <v>11.428549209707432</v>
      </c>
    </row>
    <row r="120" spans="1:8" ht="24" customHeight="1" x14ac:dyDescent="0.2">
      <c r="A120" s="85">
        <v>21</v>
      </c>
      <c r="B120" s="75" t="s">
        <v>378</v>
      </c>
      <c r="C120" s="218">
        <v>48777136</v>
      </c>
      <c r="D120" s="218">
        <v>28032185</v>
      </c>
      <c r="E120" s="218">
        <v>30714786</v>
      </c>
    </row>
    <row r="121" spans="1:8" ht="24" customHeight="1" x14ac:dyDescent="0.2">
      <c r="A121" s="85">
        <v>22</v>
      </c>
      <c r="B121" s="75" t="s">
        <v>374</v>
      </c>
      <c r="C121" s="218">
        <v>2796910</v>
      </c>
      <c r="D121" s="218">
        <v>4180977</v>
      </c>
      <c r="E121" s="218">
        <v>2687549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14756</v>
      </c>
      <c r="D124" s="218">
        <v>13603</v>
      </c>
      <c r="E124" s="218">
        <v>12880</v>
      </c>
    </row>
    <row r="125" spans="1:8" ht="24" customHeight="1" x14ac:dyDescent="0.2">
      <c r="A125" s="85">
        <v>2</v>
      </c>
      <c r="B125" s="75" t="s">
        <v>381</v>
      </c>
      <c r="C125" s="218">
        <v>3580</v>
      </c>
      <c r="D125" s="218">
        <v>3348</v>
      </c>
      <c r="E125" s="218">
        <v>3121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4.1217877094972071</v>
      </c>
      <c r="D126" s="219">
        <f>IF(D125=0,0,D124/D125)</f>
        <v>4.0630227001194745</v>
      </c>
      <c r="E126" s="219">
        <f>IF(E125=0,0,E124/E125)</f>
        <v>4.1268824094841401</v>
      </c>
    </row>
    <row r="127" spans="1:8" ht="24" customHeight="1" x14ac:dyDescent="0.2">
      <c r="A127" s="85">
        <v>4</v>
      </c>
      <c r="B127" s="75" t="s">
        <v>383</v>
      </c>
      <c r="C127" s="218">
        <v>47</v>
      </c>
      <c r="D127" s="218">
        <v>46</v>
      </c>
      <c r="E127" s="218">
        <v>43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118</v>
      </c>
      <c r="E128" s="218">
        <v>118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118</v>
      </c>
      <c r="D129" s="218">
        <v>118</v>
      </c>
      <c r="E129" s="218">
        <v>118</v>
      </c>
    </row>
    <row r="130" spans="1:7" ht="24" customHeight="1" x14ac:dyDescent="0.2">
      <c r="A130" s="85">
        <v>7</v>
      </c>
      <c r="B130" s="75" t="s">
        <v>386</v>
      </c>
      <c r="C130" s="193">
        <v>0.86009999999999998</v>
      </c>
      <c r="D130" s="193">
        <v>0.81010000000000004</v>
      </c>
      <c r="E130" s="193">
        <v>0.8206</v>
      </c>
    </row>
    <row r="131" spans="1:7" ht="24" customHeight="1" x14ac:dyDescent="0.2">
      <c r="A131" s="85">
        <v>8</v>
      </c>
      <c r="B131" s="75" t="s">
        <v>387</v>
      </c>
      <c r="C131" s="193">
        <v>0.34260000000000002</v>
      </c>
      <c r="D131" s="193">
        <v>0.31580000000000003</v>
      </c>
      <c r="E131" s="193">
        <v>0.29899999999999999</v>
      </c>
    </row>
    <row r="132" spans="1:7" ht="24" customHeight="1" x14ac:dyDescent="0.2">
      <c r="A132" s="85">
        <v>9</v>
      </c>
      <c r="B132" s="75" t="s">
        <v>388</v>
      </c>
      <c r="C132" s="219">
        <v>507</v>
      </c>
      <c r="D132" s="219">
        <v>498.6</v>
      </c>
      <c r="E132" s="219">
        <v>468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0.38841889695653564</v>
      </c>
      <c r="D135" s="227">
        <f>IF(D149=0,0,D143/D149)</f>
        <v>0.36704463341941257</v>
      </c>
      <c r="E135" s="227">
        <f>IF(E149=0,0,E143/E149)</f>
        <v>0.34659128705465125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0.47614097577303571</v>
      </c>
      <c r="D136" s="227">
        <f>IF(D149=0,0,D144/D149)</f>
        <v>0.49229827299985884</v>
      </c>
      <c r="E136" s="227">
        <f>IF(E149=0,0,E144/E149)</f>
        <v>0.49825317777319972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0.1033784779272187</v>
      </c>
      <c r="D137" s="227">
        <f>IF(D149=0,0,D145/D149)</f>
        <v>0.10214014978235439</v>
      </c>
      <c r="E137" s="227">
        <f>IF(E149=0,0,E145/E149)</f>
        <v>0.12902138326153587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1.1813242720635374E-3</v>
      </c>
      <c r="D138" s="227">
        <f>IF(D149=0,0,D146/D149)</f>
        <v>1.1804957082558938E-3</v>
      </c>
      <c r="E138" s="227">
        <f>IF(E149=0,0,E146/E149)</f>
        <v>1.2993179940106621E-3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2.9714020160808638E-2</v>
      </c>
      <c r="D139" s="227">
        <f>IF(D149=0,0,D147/D149)</f>
        <v>3.5253897591829286E-2</v>
      </c>
      <c r="E139" s="227">
        <f>IF(E149=0,0,E147/E149)</f>
        <v>2.3315434532466477E-2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1.1663049103377364E-3</v>
      </c>
      <c r="D140" s="227">
        <f>IF(D149=0,0,D148/D149)</f>
        <v>2.0825504982890366E-3</v>
      </c>
      <c r="E140" s="227">
        <f>IF(E149=0,0,E148/E149)</f>
        <v>1.5193993841360125E-3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73575148</v>
      </c>
      <c r="D143" s="229">
        <f>+D46-D147</f>
        <v>71542094</v>
      </c>
      <c r="E143" s="229">
        <f>+E46-E147</f>
        <v>68383944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90191654</v>
      </c>
      <c r="D144" s="229">
        <f>+D51</f>
        <v>95955767</v>
      </c>
      <c r="E144" s="229">
        <f>+E51</f>
        <v>98307484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19582175</v>
      </c>
      <c r="D145" s="229">
        <f>+D55</f>
        <v>19908533</v>
      </c>
      <c r="E145" s="229">
        <f>+E55</f>
        <v>25456471</v>
      </c>
    </row>
    <row r="146" spans="1:7" ht="20.100000000000001" customHeight="1" x14ac:dyDescent="0.2">
      <c r="A146" s="226">
        <v>11</v>
      </c>
      <c r="B146" s="224" t="s">
        <v>400</v>
      </c>
      <c r="C146" s="228">
        <v>223769</v>
      </c>
      <c r="D146" s="229">
        <v>230095</v>
      </c>
      <c r="E146" s="229">
        <v>256361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5628494</v>
      </c>
      <c r="D147" s="229">
        <f>+D47</f>
        <v>6871474</v>
      </c>
      <c r="E147" s="229">
        <f>+E47</f>
        <v>4600235</v>
      </c>
    </row>
    <row r="148" spans="1:7" ht="20.100000000000001" customHeight="1" x14ac:dyDescent="0.2">
      <c r="A148" s="226">
        <v>13</v>
      </c>
      <c r="B148" s="224" t="s">
        <v>402</v>
      </c>
      <c r="C148" s="230">
        <v>220924</v>
      </c>
      <c r="D148" s="229">
        <v>405918</v>
      </c>
      <c r="E148" s="229">
        <v>299784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189422164</v>
      </c>
      <c r="D149" s="229">
        <f>SUM(D143:D148)</f>
        <v>194913881</v>
      </c>
      <c r="E149" s="229">
        <f>SUM(E143:E148)</f>
        <v>197304279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0.50048771115256596</v>
      </c>
      <c r="D152" s="227">
        <f>IF(D166=0,0,D160/D166)</f>
        <v>0.50336453648771085</v>
      </c>
      <c r="E152" s="227">
        <f>IF(E166=0,0,E160/E166)</f>
        <v>0.45660044303885861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0.42068623290253271</v>
      </c>
      <c r="D153" s="227">
        <f>IF(D166=0,0,D161/D166)</f>
        <v>0.41619995537989019</v>
      </c>
      <c r="E153" s="227">
        <f>IF(E166=0,0,E161/E166)</f>
        <v>0.4397956514330042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7.3502999762887822E-2</v>
      </c>
      <c r="D154" s="227">
        <f>IF(D166=0,0,D162/D166)</f>
        <v>7.6792691475169567E-2</v>
      </c>
      <c r="E154" s="227">
        <f>IF(E166=0,0,E162/E166)</f>
        <v>9.8546928442170542E-2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7.66263301500411E-4</v>
      </c>
      <c r="D155" s="227">
        <f>IF(D166=0,0,D163/D166)</f>
        <v>6.4346879615763419E-4</v>
      </c>
      <c r="E155" s="227">
        <f>IF(E166=0,0,E163/E166)</f>
        <v>8.2046400192634431E-4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3.5458080080768622E-3</v>
      </c>
      <c r="D156" s="227">
        <f>IF(D166=0,0,D164/D166)</f>
        <v>1.1480231381264931E-3</v>
      </c>
      <c r="E156" s="227">
        <f>IF(E166=0,0,E164/E166)</f>
        <v>2.940037068084423E-3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1.0109848724362902E-3</v>
      </c>
      <c r="D157" s="227">
        <f>IF(D166=0,0,D165/D166)</f>
        <v>1.8513247229452634E-3</v>
      </c>
      <c r="E157" s="227">
        <f>IF(E166=0,0,E165/E166)</f>
        <v>1.296476015955903E-3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35253971</v>
      </c>
      <c r="D160" s="229">
        <f>+D44-D164</f>
        <v>34021583</v>
      </c>
      <c r="E160" s="229">
        <f>+E44-E164</f>
        <v>29653340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29632816</v>
      </c>
      <c r="D161" s="229">
        <f>+D50</f>
        <v>28130272</v>
      </c>
      <c r="E161" s="229">
        <f>+E50</f>
        <v>28561974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5177495</v>
      </c>
      <c r="D162" s="229">
        <f>+D54</f>
        <v>5190292</v>
      </c>
      <c r="E162" s="229">
        <f>+E54</f>
        <v>6400006</v>
      </c>
    </row>
    <row r="163" spans="1:6" ht="20.100000000000001" customHeight="1" x14ac:dyDescent="0.2">
      <c r="A163" s="226">
        <v>11</v>
      </c>
      <c r="B163" s="224" t="s">
        <v>415</v>
      </c>
      <c r="C163" s="228">
        <v>53975</v>
      </c>
      <c r="D163" s="229">
        <v>43491</v>
      </c>
      <c r="E163" s="229">
        <v>53284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249764</v>
      </c>
      <c r="D164" s="229">
        <f>+D45</f>
        <v>77593</v>
      </c>
      <c r="E164" s="229">
        <f>+E45</f>
        <v>190937</v>
      </c>
    </row>
    <row r="165" spans="1:6" ht="20.100000000000001" customHeight="1" x14ac:dyDescent="0.2">
      <c r="A165" s="226">
        <v>13</v>
      </c>
      <c r="B165" s="224" t="s">
        <v>417</v>
      </c>
      <c r="C165" s="230">
        <v>71213</v>
      </c>
      <c r="D165" s="229">
        <v>125128</v>
      </c>
      <c r="E165" s="229">
        <v>84198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70439234</v>
      </c>
      <c r="D166" s="229">
        <f>SUM(D160:D165)</f>
        <v>67588359</v>
      </c>
      <c r="E166" s="229">
        <f>SUM(E160:E165)</f>
        <v>64943739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1240</v>
      </c>
      <c r="D169" s="218">
        <v>1068</v>
      </c>
      <c r="E169" s="218">
        <v>916</v>
      </c>
    </row>
    <row r="170" spans="1:6" ht="20.100000000000001" customHeight="1" x14ac:dyDescent="0.2">
      <c r="A170" s="226">
        <v>2</v>
      </c>
      <c r="B170" s="224" t="s">
        <v>420</v>
      </c>
      <c r="C170" s="218">
        <v>1986</v>
      </c>
      <c r="D170" s="218">
        <v>2011</v>
      </c>
      <c r="E170" s="218">
        <v>1867</v>
      </c>
    </row>
    <row r="171" spans="1:6" ht="20.100000000000001" customHeight="1" x14ac:dyDescent="0.2">
      <c r="A171" s="226">
        <v>3</v>
      </c>
      <c r="B171" s="224" t="s">
        <v>421</v>
      </c>
      <c r="C171" s="218">
        <v>351</v>
      </c>
      <c r="D171" s="218">
        <v>259</v>
      </c>
      <c r="E171" s="218">
        <v>335</v>
      </c>
    </row>
    <row r="172" spans="1:6" ht="20.100000000000001" customHeight="1" x14ac:dyDescent="0.2">
      <c r="A172" s="226">
        <v>4</v>
      </c>
      <c r="B172" s="224" t="s">
        <v>422</v>
      </c>
      <c r="C172" s="218">
        <v>349</v>
      </c>
      <c r="D172" s="218">
        <v>258</v>
      </c>
      <c r="E172" s="218">
        <v>333</v>
      </c>
    </row>
    <row r="173" spans="1:6" ht="20.100000000000001" customHeight="1" x14ac:dyDescent="0.2">
      <c r="A173" s="226">
        <v>5</v>
      </c>
      <c r="B173" s="224" t="s">
        <v>423</v>
      </c>
      <c r="C173" s="218">
        <v>2</v>
      </c>
      <c r="D173" s="218">
        <v>1</v>
      </c>
      <c r="E173" s="218">
        <v>2</v>
      </c>
    </row>
    <row r="174" spans="1:6" ht="20.100000000000001" customHeight="1" x14ac:dyDescent="0.2">
      <c r="A174" s="226">
        <v>6</v>
      </c>
      <c r="B174" s="224" t="s">
        <v>424</v>
      </c>
      <c r="C174" s="218">
        <v>3</v>
      </c>
      <c r="D174" s="218">
        <v>10</v>
      </c>
      <c r="E174" s="218">
        <v>3</v>
      </c>
    </row>
    <row r="175" spans="1:6" ht="20.100000000000001" customHeight="1" x14ac:dyDescent="0.2">
      <c r="A175" s="226">
        <v>7</v>
      </c>
      <c r="B175" s="224" t="s">
        <v>425</v>
      </c>
      <c r="C175" s="218">
        <v>63</v>
      </c>
      <c r="D175" s="218">
        <v>50</v>
      </c>
      <c r="E175" s="218">
        <v>55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3580</v>
      </c>
      <c r="D176" s="218">
        <f>+D169+D170+D171+D174</f>
        <v>3348</v>
      </c>
      <c r="E176" s="218">
        <f>+E169+E170+E171+E174</f>
        <v>3121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1.3326</v>
      </c>
      <c r="D179" s="231">
        <v>1.3443000000000001</v>
      </c>
      <c r="E179" s="231">
        <v>1.397</v>
      </c>
    </row>
    <row r="180" spans="1:6" ht="20.100000000000001" customHeight="1" x14ac:dyDescent="0.2">
      <c r="A180" s="226">
        <v>2</v>
      </c>
      <c r="B180" s="224" t="s">
        <v>420</v>
      </c>
      <c r="C180" s="231">
        <v>1.4881899999999999</v>
      </c>
      <c r="D180" s="231">
        <v>1.4765999999999999</v>
      </c>
      <c r="E180" s="231">
        <v>1.4706999999999999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0.96735400000000005</v>
      </c>
      <c r="D181" s="231">
        <v>1.2093510000000001</v>
      </c>
      <c r="E181" s="231">
        <v>1.10945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0.96408000000000005</v>
      </c>
      <c r="D182" s="231">
        <v>1.2069000000000001</v>
      </c>
      <c r="E182" s="231">
        <v>1.111</v>
      </c>
    </row>
    <row r="183" spans="1:6" ht="20.100000000000001" customHeight="1" x14ac:dyDescent="0.2">
      <c r="A183" s="226">
        <v>5</v>
      </c>
      <c r="B183" s="224" t="s">
        <v>423</v>
      </c>
      <c r="C183" s="231">
        <v>1.5387</v>
      </c>
      <c r="D183" s="231">
        <v>1.8418000000000001</v>
      </c>
      <c r="E183" s="231">
        <v>0.85140000000000005</v>
      </c>
    </row>
    <row r="184" spans="1:6" ht="20.100000000000001" customHeight="1" x14ac:dyDescent="0.2">
      <c r="A184" s="226">
        <v>6</v>
      </c>
      <c r="B184" s="224" t="s">
        <v>424</v>
      </c>
      <c r="C184" s="231">
        <v>0.57979999999999998</v>
      </c>
      <c r="D184" s="231">
        <v>1.2652000000000001</v>
      </c>
      <c r="E184" s="231">
        <v>1.6774</v>
      </c>
    </row>
    <row r="185" spans="1:6" ht="20.100000000000001" customHeight="1" x14ac:dyDescent="0.2">
      <c r="A185" s="226">
        <v>7</v>
      </c>
      <c r="B185" s="224" t="s">
        <v>425</v>
      </c>
      <c r="C185" s="231">
        <v>1.3215399999999999</v>
      </c>
      <c r="D185" s="231">
        <v>0.94562000000000002</v>
      </c>
      <c r="E185" s="231">
        <v>1.2742</v>
      </c>
    </row>
    <row r="186" spans="1:6" ht="20.100000000000001" customHeight="1" x14ac:dyDescent="0.2">
      <c r="A186" s="226">
        <v>8</v>
      </c>
      <c r="B186" s="224" t="s">
        <v>429</v>
      </c>
      <c r="C186" s="231">
        <v>1.3824719999999999</v>
      </c>
      <c r="D186" s="231">
        <v>1.4130910000000001</v>
      </c>
      <c r="E186" s="231">
        <v>1.4104920000000001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3025</v>
      </c>
      <c r="D189" s="218">
        <v>3065</v>
      </c>
      <c r="E189" s="218">
        <v>2897</v>
      </c>
    </row>
    <row r="190" spans="1:6" ht="20.100000000000001" customHeight="1" x14ac:dyDescent="0.2">
      <c r="A190" s="226">
        <v>2</v>
      </c>
      <c r="B190" s="224" t="s">
        <v>433</v>
      </c>
      <c r="C190" s="218">
        <v>33427</v>
      </c>
      <c r="D190" s="218">
        <v>32175</v>
      </c>
      <c r="E190" s="218">
        <v>19735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36452</v>
      </c>
      <c r="D191" s="218">
        <f>+D190+D189</f>
        <v>35240</v>
      </c>
      <c r="E191" s="218">
        <f>+E190+E189</f>
        <v>22632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FILING&amp;RMILFORD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1080277</v>
      </c>
      <c r="D14" s="258">
        <v>547150</v>
      </c>
      <c r="E14" s="258">
        <f t="shared" ref="E14:E24" si="0">D14-C14</f>
        <v>-533127</v>
      </c>
      <c r="F14" s="259">
        <f t="shared" ref="F14:F24" si="1">IF(C14=0,0,E14/C14)</f>
        <v>-0.49350953505443512</v>
      </c>
    </row>
    <row r="15" spans="1:7" ht="20.25" customHeight="1" x14ac:dyDescent="0.3">
      <c r="A15" s="256">
        <v>2</v>
      </c>
      <c r="B15" s="257" t="s">
        <v>442</v>
      </c>
      <c r="C15" s="258">
        <v>375784</v>
      </c>
      <c r="D15" s="258">
        <v>102277</v>
      </c>
      <c r="E15" s="258">
        <f t="shared" si="0"/>
        <v>-273507</v>
      </c>
      <c r="F15" s="259">
        <f t="shared" si="1"/>
        <v>-0.72783034934962643</v>
      </c>
    </row>
    <row r="16" spans="1:7" ht="20.25" customHeight="1" x14ac:dyDescent="0.3">
      <c r="A16" s="256">
        <v>3</v>
      </c>
      <c r="B16" s="257" t="s">
        <v>443</v>
      </c>
      <c r="C16" s="258">
        <v>448970</v>
      </c>
      <c r="D16" s="258">
        <v>107926</v>
      </c>
      <c r="E16" s="258">
        <f t="shared" si="0"/>
        <v>-341044</v>
      </c>
      <c r="F16" s="259">
        <f t="shared" si="1"/>
        <v>-0.7596142281221463</v>
      </c>
    </row>
    <row r="17" spans="1:6" ht="20.25" customHeight="1" x14ac:dyDescent="0.3">
      <c r="A17" s="256">
        <v>4</v>
      </c>
      <c r="B17" s="257" t="s">
        <v>444</v>
      </c>
      <c r="C17" s="258">
        <v>129613</v>
      </c>
      <c r="D17" s="258">
        <v>66237</v>
      </c>
      <c r="E17" s="258">
        <f t="shared" si="0"/>
        <v>-63376</v>
      </c>
      <c r="F17" s="259">
        <f t="shared" si="1"/>
        <v>-0.48896329843457059</v>
      </c>
    </row>
    <row r="18" spans="1:6" ht="20.25" customHeight="1" x14ac:dyDescent="0.3">
      <c r="A18" s="256">
        <v>5</v>
      </c>
      <c r="B18" s="257" t="s">
        <v>381</v>
      </c>
      <c r="C18" s="260">
        <v>22</v>
      </c>
      <c r="D18" s="260">
        <v>14</v>
      </c>
      <c r="E18" s="260">
        <f t="shared" si="0"/>
        <v>-8</v>
      </c>
      <c r="F18" s="259">
        <f t="shared" si="1"/>
        <v>-0.36363636363636365</v>
      </c>
    </row>
    <row r="19" spans="1:6" ht="20.25" customHeight="1" x14ac:dyDescent="0.3">
      <c r="A19" s="256">
        <v>6</v>
      </c>
      <c r="B19" s="257" t="s">
        <v>380</v>
      </c>
      <c r="C19" s="260">
        <v>130</v>
      </c>
      <c r="D19" s="260">
        <v>90</v>
      </c>
      <c r="E19" s="260">
        <f t="shared" si="0"/>
        <v>-40</v>
      </c>
      <c r="F19" s="259">
        <f t="shared" si="1"/>
        <v>-0.30769230769230771</v>
      </c>
    </row>
    <row r="20" spans="1:6" ht="20.25" customHeight="1" x14ac:dyDescent="0.3">
      <c r="A20" s="256">
        <v>7</v>
      </c>
      <c r="B20" s="257" t="s">
        <v>445</v>
      </c>
      <c r="C20" s="260">
        <v>117</v>
      </c>
      <c r="D20" s="260">
        <v>18</v>
      </c>
      <c r="E20" s="260">
        <f t="shared" si="0"/>
        <v>-99</v>
      </c>
      <c r="F20" s="259">
        <f t="shared" si="1"/>
        <v>-0.84615384615384615</v>
      </c>
    </row>
    <row r="21" spans="1:6" ht="20.25" customHeight="1" x14ac:dyDescent="0.3">
      <c r="A21" s="256">
        <v>8</v>
      </c>
      <c r="B21" s="257" t="s">
        <v>446</v>
      </c>
      <c r="C21" s="260">
        <v>55</v>
      </c>
      <c r="D21" s="260">
        <v>13</v>
      </c>
      <c r="E21" s="260">
        <f t="shared" si="0"/>
        <v>-42</v>
      </c>
      <c r="F21" s="259">
        <f t="shared" si="1"/>
        <v>-0.76363636363636367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1529247</v>
      </c>
      <c r="D23" s="263">
        <f>+D14+D16</f>
        <v>655076</v>
      </c>
      <c r="E23" s="263">
        <f t="shared" si="0"/>
        <v>-874171</v>
      </c>
      <c r="F23" s="264">
        <f t="shared" si="1"/>
        <v>-0.57163492882444755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505397</v>
      </c>
      <c r="D24" s="263">
        <f>+D15+D17</f>
        <v>168514</v>
      </c>
      <c r="E24" s="263">
        <f t="shared" si="0"/>
        <v>-336883</v>
      </c>
      <c r="F24" s="264">
        <f t="shared" si="1"/>
        <v>-0.66657103227759562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4759867</v>
      </c>
      <c r="D40" s="258">
        <v>5858616</v>
      </c>
      <c r="E40" s="258">
        <f t="shared" ref="E40:E50" si="4">D40-C40</f>
        <v>1098749</v>
      </c>
      <c r="F40" s="259">
        <f t="shared" ref="F40:F50" si="5">IF(C40=0,0,E40/C40)</f>
        <v>0.23083607168015408</v>
      </c>
    </row>
    <row r="41" spans="1:6" ht="20.25" customHeight="1" x14ac:dyDescent="0.3">
      <c r="A41" s="256">
        <v>2</v>
      </c>
      <c r="B41" s="257" t="s">
        <v>442</v>
      </c>
      <c r="C41" s="258">
        <v>1654060</v>
      </c>
      <c r="D41" s="258">
        <v>1926748</v>
      </c>
      <c r="E41" s="258">
        <f t="shared" si="4"/>
        <v>272688</v>
      </c>
      <c r="F41" s="259">
        <f t="shared" si="5"/>
        <v>0.16485979952359647</v>
      </c>
    </row>
    <row r="42" spans="1:6" ht="20.25" customHeight="1" x14ac:dyDescent="0.3">
      <c r="A42" s="256">
        <v>3</v>
      </c>
      <c r="B42" s="257" t="s">
        <v>443</v>
      </c>
      <c r="C42" s="258">
        <v>2848838</v>
      </c>
      <c r="D42" s="258">
        <v>3429385</v>
      </c>
      <c r="E42" s="258">
        <f t="shared" si="4"/>
        <v>580547</v>
      </c>
      <c r="F42" s="259">
        <f t="shared" si="5"/>
        <v>0.20378378833756078</v>
      </c>
    </row>
    <row r="43" spans="1:6" ht="20.25" customHeight="1" x14ac:dyDescent="0.3">
      <c r="A43" s="256">
        <v>4</v>
      </c>
      <c r="B43" s="257" t="s">
        <v>444</v>
      </c>
      <c r="C43" s="258">
        <v>752826</v>
      </c>
      <c r="D43" s="258">
        <v>790550</v>
      </c>
      <c r="E43" s="258">
        <f t="shared" si="4"/>
        <v>37724</v>
      </c>
      <c r="F43" s="259">
        <f t="shared" si="5"/>
        <v>5.0109852741536558E-2</v>
      </c>
    </row>
    <row r="44" spans="1:6" ht="20.25" customHeight="1" x14ac:dyDescent="0.3">
      <c r="A44" s="256">
        <v>5</v>
      </c>
      <c r="B44" s="257" t="s">
        <v>381</v>
      </c>
      <c r="C44" s="260">
        <v>157</v>
      </c>
      <c r="D44" s="260">
        <v>167</v>
      </c>
      <c r="E44" s="260">
        <f t="shared" si="4"/>
        <v>10</v>
      </c>
      <c r="F44" s="259">
        <f t="shared" si="5"/>
        <v>6.3694267515923567E-2</v>
      </c>
    </row>
    <row r="45" spans="1:6" ht="20.25" customHeight="1" x14ac:dyDescent="0.3">
      <c r="A45" s="256">
        <v>6</v>
      </c>
      <c r="B45" s="257" t="s">
        <v>380</v>
      </c>
      <c r="C45" s="260">
        <v>624</v>
      </c>
      <c r="D45" s="260">
        <v>730</v>
      </c>
      <c r="E45" s="260">
        <f t="shared" si="4"/>
        <v>106</v>
      </c>
      <c r="F45" s="259">
        <f t="shared" si="5"/>
        <v>0.16987179487179488</v>
      </c>
    </row>
    <row r="46" spans="1:6" ht="20.25" customHeight="1" x14ac:dyDescent="0.3">
      <c r="A46" s="256">
        <v>7</v>
      </c>
      <c r="B46" s="257" t="s">
        <v>445</v>
      </c>
      <c r="C46" s="260">
        <v>621</v>
      </c>
      <c r="D46" s="260">
        <v>701</v>
      </c>
      <c r="E46" s="260">
        <f t="shared" si="4"/>
        <v>80</v>
      </c>
      <c r="F46" s="259">
        <f t="shared" si="5"/>
        <v>0.1288244766505636</v>
      </c>
    </row>
    <row r="47" spans="1:6" ht="20.25" customHeight="1" x14ac:dyDescent="0.3">
      <c r="A47" s="256">
        <v>8</v>
      </c>
      <c r="B47" s="257" t="s">
        <v>446</v>
      </c>
      <c r="C47" s="260">
        <v>423</v>
      </c>
      <c r="D47" s="260">
        <v>399</v>
      </c>
      <c r="E47" s="260">
        <f t="shared" si="4"/>
        <v>-24</v>
      </c>
      <c r="F47" s="259">
        <f t="shared" si="5"/>
        <v>-5.6737588652482268E-2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7608705</v>
      </c>
      <c r="D49" s="263">
        <f>+D40+D42</f>
        <v>9288001</v>
      </c>
      <c r="E49" s="263">
        <f t="shared" si="4"/>
        <v>1679296</v>
      </c>
      <c r="F49" s="264">
        <f t="shared" si="5"/>
        <v>0.22070720313115044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2406886</v>
      </c>
      <c r="D50" s="263">
        <f>+D41+D43</f>
        <v>2717298</v>
      </c>
      <c r="E50" s="263">
        <f t="shared" si="4"/>
        <v>310412</v>
      </c>
      <c r="F50" s="264">
        <f t="shared" si="5"/>
        <v>0.12896830178080723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11462</v>
      </c>
      <c r="D66" s="258">
        <v>44041</v>
      </c>
      <c r="E66" s="258">
        <f t="shared" ref="E66:E76" si="8">D66-C66</f>
        <v>32579</v>
      </c>
      <c r="F66" s="259">
        <f t="shared" ref="F66:F76" si="9">IF(C66=0,0,E66/C66)</f>
        <v>2.8423486302564998</v>
      </c>
    </row>
    <row r="67" spans="1:6" ht="20.25" customHeight="1" x14ac:dyDescent="0.3">
      <c r="A67" s="256">
        <v>2</v>
      </c>
      <c r="B67" s="257" t="s">
        <v>442</v>
      </c>
      <c r="C67" s="258">
        <v>7357</v>
      </c>
      <c r="D67" s="258">
        <v>10367</v>
      </c>
      <c r="E67" s="258">
        <f t="shared" si="8"/>
        <v>3010</v>
      </c>
      <c r="F67" s="259">
        <f t="shared" si="9"/>
        <v>0.40913415794481445</v>
      </c>
    </row>
    <row r="68" spans="1:6" ht="20.25" customHeight="1" x14ac:dyDescent="0.3">
      <c r="A68" s="256">
        <v>3</v>
      </c>
      <c r="B68" s="257" t="s">
        <v>443</v>
      </c>
      <c r="C68" s="258">
        <v>9253</v>
      </c>
      <c r="D68" s="258">
        <v>48202</v>
      </c>
      <c r="E68" s="258">
        <f t="shared" si="8"/>
        <v>38949</v>
      </c>
      <c r="F68" s="259">
        <f t="shared" si="9"/>
        <v>4.2093375121582186</v>
      </c>
    </row>
    <row r="69" spans="1:6" ht="20.25" customHeight="1" x14ac:dyDescent="0.3">
      <c r="A69" s="256">
        <v>4</v>
      </c>
      <c r="B69" s="257" t="s">
        <v>444</v>
      </c>
      <c r="C69" s="258">
        <v>1984</v>
      </c>
      <c r="D69" s="258">
        <v>19110</v>
      </c>
      <c r="E69" s="258">
        <f t="shared" si="8"/>
        <v>17126</v>
      </c>
      <c r="F69" s="259">
        <f t="shared" si="9"/>
        <v>8.6320564516129039</v>
      </c>
    </row>
    <row r="70" spans="1:6" ht="20.25" customHeight="1" x14ac:dyDescent="0.3">
      <c r="A70" s="256">
        <v>5</v>
      </c>
      <c r="B70" s="257" t="s">
        <v>381</v>
      </c>
      <c r="C70" s="260">
        <v>1</v>
      </c>
      <c r="D70" s="260">
        <v>2</v>
      </c>
      <c r="E70" s="260">
        <f t="shared" si="8"/>
        <v>1</v>
      </c>
      <c r="F70" s="259">
        <f t="shared" si="9"/>
        <v>1</v>
      </c>
    </row>
    <row r="71" spans="1:6" ht="20.25" customHeight="1" x14ac:dyDescent="0.3">
      <c r="A71" s="256">
        <v>6</v>
      </c>
      <c r="B71" s="257" t="s">
        <v>380</v>
      </c>
      <c r="C71" s="260">
        <v>1</v>
      </c>
      <c r="D71" s="260">
        <v>7</v>
      </c>
      <c r="E71" s="260">
        <f t="shared" si="8"/>
        <v>6</v>
      </c>
      <c r="F71" s="259">
        <f t="shared" si="9"/>
        <v>6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2</v>
      </c>
      <c r="E72" s="260">
        <f t="shared" si="8"/>
        <v>2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6</v>
      </c>
      <c r="D73" s="260">
        <v>16</v>
      </c>
      <c r="E73" s="260">
        <f t="shared" si="8"/>
        <v>10</v>
      </c>
      <c r="F73" s="259">
        <f t="shared" si="9"/>
        <v>1.6666666666666667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20715</v>
      </c>
      <c r="D75" s="263">
        <f>+D66+D68</f>
        <v>92243</v>
      </c>
      <c r="E75" s="263">
        <f t="shared" si="8"/>
        <v>71528</v>
      </c>
      <c r="F75" s="264">
        <f t="shared" si="9"/>
        <v>3.4529567945932897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9341</v>
      </c>
      <c r="D76" s="263">
        <f>+D67+D69</f>
        <v>29477</v>
      </c>
      <c r="E76" s="263">
        <f t="shared" si="8"/>
        <v>20136</v>
      </c>
      <c r="F76" s="264">
        <f t="shared" si="9"/>
        <v>2.1556578524783214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8985384</v>
      </c>
      <c r="D92" s="258">
        <v>7204601</v>
      </c>
      <c r="E92" s="258">
        <f t="shared" ref="E92:E102" si="12">D92-C92</f>
        <v>-1780783</v>
      </c>
      <c r="F92" s="259">
        <f t="shared" ref="F92:F102" si="13">IF(C92=0,0,E92/C92)</f>
        <v>-0.19818663286955793</v>
      </c>
    </row>
    <row r="93" spans="1:6" ht="20.25" customHeight="1" x14ac:dyDescent="0.3">
      <c r="A93" s="256">
        <v>2</v>
      </c>
      <c r="B93" s="257" t="s">
        <v>442</v>
      </c>
      <c r="C93" s="258">
        <v>2843333</v>
      </c>
      <c r="D93" s="258">
        <v>2393897</v>
      </c>
      <c r="E93" s="258">
        <f t="shared" si="12"/>
        <v>-449436</v>
      </c>
      <c r="F93" s="259">
        <f t="shared" si="13"/>
        <v>-0.15806660704180622</v>
      </c>
    </row>
    <row r="94" spans="1:6" ht="20.25" customHeight="1" x14ac:dyDescent="0.3">
      <c r="A94" s="256">
        <v>3</v>
      </c>
      <c r="B94" s="257" t="s">
        <v>443</v>
      </c>
      <c r="C94" s="258">
        <v>4965074</v>
      </c>
      <c r="D94" s="258">
        <v>4781236</v>
      </c>
      <c r="E94" s="258">
        <f t="shared" si="12"/>
        <v>-183838</v>
      </c>
      <c r="F94" s="259">
        <f t="shared" si="13"/>
        <v>-3.7026235661341604E-2</v>
      </c>
    </row>
    <row r="95" spans="1:6" ht="20.25" customHeight="1" x14ac:dyDescent="0.3">
      <c r="A95" s="256">
        <v>4</v>
      </c>
      <c r="B95" s="257" t="s">
        <v>444</v>
      </c>
      <c r="C95" s="258">
        <v>1132614</v>
      </c>
      <c r="D95" s="258">
        <v>1122093</v>
      </c>
      <c r="E95" s="258">
        <f t="shared" si="12"/>
        <v>-10521</v>
      </c>
      <c r="F95" s="259">
        <f t="shared" si="13"/>
        <v>-9.2891311603070428E-3</v>
      </c>
    </row>
    <row r="96" spans="1:6" ht="20.25" customHeight="1" x14ac:dyDescent="0.3">
      <c r="A96" s="256">
        <v>5</v>
      </c>
      <c r="B96" s="257" t="s">
        <v>381</v>
      </c>
      <c r="C96" s="260">
        <v>290</v>
      </c>
      <c r="D96" s="260">
        <v>228</v>
      </c>
      <c r="E96" s="260">
        <f t="shared" si="12"/>
        <v>-62</v>
      </c>
      <c r="F96" s="259">
        <f t="shared" si="13"/>
        <v>-0.21379310344827587</v>
      </c>
    </row>
    <row r="97" spans="1:6" ht="20.25" customHeight="1" x14ac:dyDescent="0.3">
      <c r="A97" s="256">
        <v>6</v>
      </c>
      <c r="B97" s="257" t="s">
        <v>380</v>
      </c>
      <c r="C97" s="260">
        <v>1325</v>
      </c>
      <c r="D97" s="260">
        <v>882</v>
      </c>
      <c r="E97" s="260">
        <f t="shared" si="12"/>
        <v>-443</v>
      </c>
      <c r="F97" s="259">
        <f t="shared" si="13"/>
        <v>-0.33433962264150946</v>
      </c>
    </row>
    <row r="98" spans="1:6" ht="20.25" customHeight="1" x14ac:dyDescent="0.3">
      <c r="A98" s="256">
        <v>7</v>
      </c>
      <c r="B98" s="257" t="s">
        <v>445</v>
      </c>
      <c r="C98" s="260">
        <v>1653</v>
      </c>
      <c r="D98" s="260">
        <v>1251</v>
      </c>
      <c r="E98" s="260">
        <f t="shared" si="12"/>
        <v>-402</v>
      </c>
      <c r="F98" s="259">
        <f t="shared" si="13"/>
        <v>-0.24319419237749546</v>
      </c>
    </row>
    <row r="99" spans="1:6" ht="20.25" customHeight="1" x14ac:dyDescent="0.3">
      <c r="A99" s="256">
        <v>8</v>
      </c>
      <c r="B99" s="257" t="s">
        <v>446</v>
      </c>
      <c r="C99" s="260">
        <v>786</v>
      </c>
      <c r="D99" s="260">
        <v>582</v>
      </c>
      <c r="E99" s="260">
        <f t="shared" si="12"/>
        <v>-204</v>
      </c>
      <c r="F99" s="259">
        <f t="shared" si="13"/>
        <v>-0.25954198473282442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13950458</v>
      </c>
      <c r="D101" s="263">
        <f>+D92+D94</f>
        <v>11985837</v>
      </c>
      <c r="E101" s="263">
        <f t="shared" si="12"/>
        <v>-1964621</v>
      </c>
      <c r="F101" s="264">
        <f t="shared" si="13"/>
        <v>-0.14082842298080822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3975947</v>
      </c>
      <c r="D102" s="263">
        <f>+D93+D95</f>
        <v>3515990</v>
      </c>
      <c r="E102" s="263">
        <f t="shared" si="12"/>
        <v>-459957</v>
      </c>
      <c r="F102" s="264">
        <f t="shared" si="13"/>
        <v>-0.11568489217788869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188918</v>
      </c>
      <c r="D105" s="258">
        <v>225245</v>
      </c>
      <c r="E105" s="258">
        <f t="shared" ref="E105:E115" si="14">D105-C105</f>
        <v>36327</v>
      </c>
      <c r="F105" s="259">
        <f t="shared" ref="F105:F115" si="15">IF(C105=0,0,E105/C105)</f>
        <v>0.19228977651679566</v>
      </c>
    </row>
    <row r="106" spans="1:6" ht="20.25" customHeight="1" x14ac:dyDescent="0.3">
      <c r="A106" s="256">
        <v>2</v>
      </c>
      <c r="B106" s="257" t="s">
        <v>442</v>
      </c>
      <c r="C106" s="258">
        <v>71625</v>
      </c>
      <c r="D106" s="258">
        <v>65953</v>
      </c>
      <c r="E106" s="258">
        <f t="shared" si="14"/>
        <v>-5672</v>
      </c>
      <c r="F106" s="259">
        <f t="shared" si="15"/>
        <v>-7.9190226876090744E-2</v>
      </c>
    </row>
    <row r="107" spans="1:6" ht="20.25" customHeight="1" x14ac:dyDescent="0.3">
      <c r="A107" s="256">
        <v>3</v>
      </c>
      <c r="B107" s="257" t="s">
        <v>443</v>
      </c>
      <c r="C107" s="258">
        <v>183818</v>
      </c>
      <c r="D107" s="258">
        <v>270745</v>
      </c>
      <c r="E107" s="258">
        <f t="shared" si="14"/>
        <v>86927</v>
      </c>
      <c r="F107" s="259">
        <f t="shared" si="15"/>
        <v>0.4728971047449107</v>
      </c>
    </row>
    <row r="108" spans="1:6" ht="20.25" customHeight="1" x14ac:dyDescent="0.3">
      <c r="A108" s="256">
        <v>4</v>
      </c>
      <c r="B108" s="257" t="s">
        <v>444</v>
      </c>
      <c r="C108" s="258">
        <v>33970</v>
      </c>
      <c r="D108" s="258">
        <v>109796</v>
      </c>
      <c r="E108" s="258">
        <f t="shared" si="14"/>
        <v>75826</v>
      </c>
      <c r="F108" s="259">
        <f t="shared" si="15"/>
        <v>2.2321460111863409</v>
      </c>
    </row>
    <row r="109" spans="1:6" ht="20.25" customHeight="1" x14ac:dyDescent="0.3">
      <c r="A109" s="256">
        <v>5</v>
      </c>
      <c r="B109" s="257" t="s">
        <v>381</v>
      </c>
      <c r="C109" s="260">
        <v>9</v>
      </c>
      <c r="D109" s="260">
        <v>8</v>
      </c>
      <c r="E109" s="260">
        <f t="shared" si="14"/>
        <v>-1</v>
      </c>
      <c r="F109" s="259">
        <f t="shared" si="15"/>
        <v>-0.1111111111111111</v>
      </c>
    </row>
    <row r="110" spans="1:6" ht="20.25" customHeight="1" x14ac:dyDescent="0.3">
      <c r="A110" s="256">
        <v>6</v>
      </c>
      <c r="B110" s="257" t="s">
        <v>380</v>
      </c>
      <c r="C110" s="260">
        <v>29</v>
      </c>
      <c r="D110" s="260">
        <v>32</v>
      </c>
      <c r="E110" s="260">
        <f t="shared" si="14"/>
        <v>3</v>
      </c>
      <c r="F110" s="259">
        <f t="shared" si="15"/>
        <v>0.10344827586206896</v>
      </c>
    </row>
    <row r="111" spans="1:6" ht="20.25" customHeight="1" x14ac:dyDescent="0.3">
      <c r="A111" s="256">
        <v>7</v>
      </c>
      <c r="B111" s="257" t="s">
        <v>445</v>
      </c>
      <c r="C111" s="260">
        <v>72</v>
      </c>
      <c r="D111" s="260">
        <v>174</v>
      </c>
      <c r="E111" s="260">
        <f t="shared" si="14"/>
        <v>102</v>
      </c>
      <c r="F111" s="259">
        <f t="shared" si="15"/>
        <v>1.4166666666666667</v>
      </c>
    </row>
    <row r="112" spans="1:6" ht="20.25" customHeight="1" x14ac:dyDescent="0.3">
      <c r="A112" s="256">
        <v>8</v>
      </c>
      <c r="B112" s="257" t="s">
        <v>446</v>
      </c>
      <c r="C112" s="260">
        <v>47</v>
      </c>
      <c r="D112" s="260">
        <v>51</v>
      </c>
      <c r="E112" s="260">
        <f t="shared" si="14"/>
        <v>4</v>
      </c>
      <c r="F112" s="259">
        <f t="shared" si="15"/>
        <v>8.5106382978723402E-2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372736</v>
      </c>
      <c r="D114" s="263">
        <f>+D105+D107</f>
        <v>495990</v>
      </c>
      <c r="E114" s="263">
        <f t="shared" si="14"/>
        <v>123254</v>
      </c>
      <c r="F114" s="264">
        <f t="shared" si="15"/>
        <v>0.33067372081043955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105595</v>
      </c>
      <c r="D115" s="263">
        <f>+D106+D108</f>
        <v>175749</v>
      </c>
      <c r="E115" s="263">
        <f t="shared" si="14"/>
        <v>70154</v>
      </c>
      <c r="F115" s="264">
        <f t="shared" si="15"/>
        <v>0.66436857805767313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1755847</v>
      </c>
      <c r="D118" s="258">
        <v>3626168</v>
      </c>
      <c r="E118" s="258">
        <f t="shared" ref="E118:E128" si="16">D118-C118</f>
        <v>1870321</v>
      </c>
      <c r="F118" s="259">
        <f t="shared" ref="F118:F128" si="17">IF(C118=0,0,E118/C118)</f>
        <v>1.0651958855184991</v>
      </c>
    </row>
    <row r="119" spans="1:6" ht="20.25" customHeight="1" x14ac:dyDescent="0.3">
      <c r="A119" s="256">
        <v>2</v>
      </c>
      <c r="B119" s="257" t="s">
        <v>442</v>
      </c>
      <c r="C119" s="258">
        <v>583312</v>
      </c>
      <c r="D119" s="258">
        <v>1208689</v>
      </c>
      <c r="E119" s="258">
        <f t="shared" si="16"/>
        <v>625377</v>
      </c>
      <c r="F119" s="259">
        <f t="shared" si="17"/>
        <v>1.0721140658858381</v>
      </c>
    </row>
    <row r="120" spans="1:6" ht="20.25" customHeight="1" x14ac:dyDescent="0.3">
      <c r="A120" s="256">
        <v>3</v>
      </c>
      <c r="B120" s="257" t="s">
        <v>443</v>
      </c>
      <c r="C120" s="258">
        <v>1463476</v>
      </c>
      <c r="D120" s="258">
        <v>2221528</v>
      </c>
      <c r="E120" s="258">
        <f t="shared" si="16"/>
        <v>758052</v>
      </c>
      <c r="F120" s="259">
        <f t="shared" si="17"/>
        <v>0.51798047935189917</v>
      </c>
    </row>
    <row r="121" spans="1:6" ht="20.25" customHeight="1" x14ac:dyDescent="0.3">
      <c r="A121" s="256">
        <v>4</v>
      </c>
      <c r="B121" s="257" t="s">
        <v>444</v>
      </c>
      <c r="C121" s="258">
        <v>374481</v>
      </c>
      <c r="D121" s="258">
        <v>476846</v>
      </c>
      <c r="E121" s="258">
        <f t="shared" si="16"/>
        <v>102365</v>
      </c>
      <c r="F121" s="259">
        <f t="shared" si="17"/>
        <v>0.27335165201972866</v>
      </c>
    </row>
    <row r="122" spans="1:6" ht="20.25" customHeight="1" x14ac:dyDescent="0.3">
      <c r="A122" s="256">
        <v>5</v>
      </c>
      <c r="B122" s="257" t="s">
        <v>381</v>
      </c>
      <c r="C122" s="260">
        <v>55</v>
      </c>
      <c r="D122" s="260">
        <v>104</v>
      </c>
      <c r="E122" s="260">
        <f t="shared" si="16"/>
        <v>49</v>
      </c>
      <c r="F122" s="259">
        <f t="shared" si="17"/>
        <v>0.89090909090909087</v>
      </c>
    </row>
    <row r="123" spans="1:6" ht="20.25" customHeight="1" x14ac:dyDescent="0.3">
      <c r="A123" s="256">
        <v>6</v>
      </c>
      <c r="B123" s="257" t="s">
        <v>380</v>
      </c>
      <c r="C123" s="260">
        <v>259</v>
      </c>
      <c r="D123" s="260">
        <v>447</v>
      </c>
      <c r="E123" s="260">
        <f t="shared" si="16"/>
        <v>188</v>
      </c>
      <c r="F123" s="259">
        <f t="shared" si="17"/>
        <v>0.72586872586872586</v>
      </c>
    </row>
    <row r="124" spans="1:6" ht="20.25" customHeight="1" x14ac:dyDescent="0.3">
      <c r="A124" s="256">
        <v>7</v>
      </c>
      <c r="B124" s="257" t="s">
        <v>445</v>
      </c>
      <c r="C124" s="260">
        <v>507</v>
      </c>
      <c r="D124" s="260">
        <v>872</v>
      </c>
      <c r="E124" s="260">
        <f t="shared" si="16"/>
        <v>365</v>
      </c>
      <c r="F124" s="259">
        <f t="shared" si="17"/>
        <v>0.71992110453648916</v>
      </c>
    </row>
    <row r="125" spans="1:6" ht="20.25" customHeight="1" x14ac:dyDescent="0.3">
      <c r="A125" s="256">
        <v>8</v>
      </c>
      <c r="B125" s="257" t="s">
        <v>446</v>
      </c>
      <c r="C125" s="260">
        <v>200</v>
      </c>
      <c r="D125" s="260">
        <v>227</v>
      </c>
      <c r="E125" s="260">
        <f t="shared" si="16"/>
        <v>27</v>
      </c>
      <c r="F125" s="259">
        <f t="shared" si="17"/>
        <v>0.13500000000000001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3219323</v>
      </c>
      <c r="D127" s="263">
        <f>+D118+D120</f>
        <v>5847696</v>
      </c>
      <c r="E127" s="263">
        <f t="shared" si="16"/>
        <v>2628373</v>
      </c>
      <c r="F127" s="264">
        <f t="shared" si="17"/>
        <v>0.81643656135156362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957793</v>
      </c>
      <c r="D128" s="263">
        <f>+D119+D121</f>
        <v>1685535</v>
      </c>
      <c r="E128" s="263">
        <f t="shared" si="16"/>
        <v>727742</v>
      </c>
      <c r="F128" s="264">
        <f t="shared" si="17"/>
        <v>0.75981135798653776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56566</v>
      </c>
      <c r="D131" s="258">
        <v>57739</v>
      </c>
      <c r="E131" s="258">
        <f t="shared" ref="E131:E141" si="18">D131-C131</f>
        <v>1173</v>
      </c>
      <c r="F131" s="259">
        <f t="shared" ref="F131:F141" si="19">IF(C131=0,0,E131/C131)</f>
        <v>2.0736838383481244E-2</v>
      </c>
    </row>
    <row r="132" spans="1:6" ht="20.25" customHeight="1" x14ac:dyDescent="0.3">
      <c r="A132" s="256">
        <v>2</v>
      </c>
      <c r="B132" s="257" t="s">
        <v>442</v>
      </c>
      <c r="C132" s="258">
        <v>39214</v>
      </c>
      <c r="D132" s="258">
        <v>16828</v>
      </c>
      <c r="E132" s="258">
        <f t="shared" si="18"/>
        <v>-22386</v>
      </c>
      <c r="F132" s="259">
        <f t="shared" si="19"/>
        <v>-0.57086754730453404</v>
      </c>
    </row>
    <row r="133" spans="1:6" ht="20.25" customHeight="1" x14ac:dyDescent="0.3">
      <c r="A133" s="256">
        <v>3</v>
      </c>
      <c r="B133" s="257" t="s">
        <v>443</v>
      </c>
      <c r="C133" s="258">
        <v>60747</v>
      </c>
      <c r="D133" s="258">
        <v>97385</v>
      </c>
      <c r="E133" s="258">
        <f t="shared" si="18"/>
        <v>36638</v>
      </c>
      <c r="F133" s="259">
        <f t="shared" si="19"/>
        <v>0.60312443412843431</v>
      </c>
    </row>
    <row r="134" spans="1:6" ht="20.25" customHeight="1" x14ac:dyDescent="0.3">
      <c r="A134" s="256">
        <v>4</v>
      </c>
      <c r="B134" s="257" t="s">
        <v>444</v>
      </c>
      <c r="C134" s="258">
        <v>17684</v>
      </c>
      <c r="D134" s="258">
        <v>29485</v>
      </c>
      <c r="E134" s="258">
        <f t="shared" si="18"/>
        <v>11801</v>
      </c>
      <c r="F134" s="259">
        <f t="shared" si="19"/>
        <v>0.66732639674281835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2</v>
      </c>
      <c r="E135" s="260">
        <f t="shared" si="18"/>
        <v>-1</v>
      </c>
      <c r="F135" s="259">
        <f t="shared" si="19"/>
        <v>-0.33333333333333331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8</v>
      </c>
      <c r="D136" s="260">
        <v>8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8</v>
      </c>
      <c r="D137" s="260">
        <v>10</v>
      </c>
      <c r="E137" s="260">
        <f t="shared" si="18"/>
        <v>2</v>
      </c>
      <c r="F137" s="259">
        <f t="shared" si="19"/>
        <v>0.25</v>
      </c>
    </row>
    <row r="138" spans="1:6" ht="20.25" customHeight="1" x14ac:dyDescent="0.3">
      <c r="A138" s="256">
        <v>8</v>
      </c>
      <c r="B138" s="257" t="s">
        <v>446</v>
      </c>
      <c r="C138" s="260">
        <v>15</v>
      </c>
      <c r="D138" s="260">
        <v>14</v>
      </c>
      <c r="E138" s="260">
        <f t="shared" si="18"/>
        <v>-1</v>
      </c>
      <c r="F138" s="259">
        <f t="shared" si="19"/>
        <v>-6.6666666666666666E-2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117313</v>
      </c>
      <c r="D140" s="263">
        <f>+D131+D133</f>
        <v>155124</v>
      </c>
      <c r="E140" s="263">
        <f t="shared" si="18"/>
        <v>37811</v>
      </c>
      <c r="F140" s="264">
        <f t="shared" si="19"/>
        <v>0.32230869554098862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56898</v>
      </c>
      <c r="D141" s="263">
        <f>+D132+D134</f>
        <v>46313</v>
      </c>
      <c r="E141" s="263">
        <f t="shared" si="18"/>
        <v>-10585</v>
      </c>
      <c r="F141" s="264">
        <f t="shared" si="19"/>
        <v>-0.18603465851172274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16838321</v>
      </c>
      <c r="D198" s="263">
        <f t="shared" si="28"/>
        <v>17563560</v>
      </c>
      <c r="E198" s="263">
        <f t="shared" ref="E198:E208" si="29">D198-C198</f>
        <v>725239</v>
      </c>
      <c r="F198" s="273">
        <f t="shared" ref="F198:F208" si="30">IF(C198=0,0,E198/C198)</f>
        <v>4.3070743217212687E-2</v>
      </c>
    </row>
    <row r="199" spans="1:9" ht="20.25" customHeight="1" x14ac:dyDescent="0.3">
      <c r="A199" s="271"/>
      <c r="B199" s="272" t="s">
        <v>466</v>
      </c>
      <c r="C199" s="263">
        <f t="shared" si="28"/>
        <v>5574685</v>
      </c>
      <c r="D199" s="263">
        <f t="shared" si="28"/>
        <v>5724759</v>
      </c>
      <c r="E199" s="263">
        <f t="shared" si="29"/>
        <v>150074</v>
      </c>
      <c r="F199" s="273">
        <f t="shared" si="30"/>
        <v>2.6920624214641725E-2</v>
      </c>
    </row>
    <row r="200" spans="1:9" ht="20.25" customHeight="1" x14ac:dyDescent="0.3">
      <c r="A200" s="271"/>
      <c r="B200" s="272" t="s">
        <v>467</v>
      </c>
      <c r="C200" s="263">
        <f t="shared" si="28"/>
        <v>9980176</v>
      </c>
      <c r="D200" s="263">
        <f t="shared" si="28"/>
        <v>10956407</v>
      </c>
      <c r="E200" s="263">
        <f t="shared" si="29"/>
        <v>976231</v>
      </c>
      <c r="F200" s="273">
        <f t="shared" si="30"/>
        <v>9.7817012445471904E-2</v>
      </c>
    </row>
    <row r="201" spans="1:9" ht="20.25" customHeight="1" x14ac:dyDescent="0.3">
      <c r="A201" s="271"/>
      <c r="B201" s="272" t="s">
        <v>468</v>
      </c>
      <c r="C201" s="263">
        <f t="shared" si="28"/>
        <v>2443172</v>
      </c>
      <c r="D201" s="263">
        <f t="shared" si="28"/>
        <v>2614117</v>
      </c>
      <c r="E201" s="263">
        <f t="shared" si="29"/>
        <v>170945</v>
      </c>
      <c r="F201" s="273">
        <f t="shared" si="30"/>
        <v>6.996846722211944E-2</v>
      </c>
    </row>
    <row r="202" spans="1:9" ht="20.25" customHeight="1" x14ac:dyDescent="0.3">
      <c r="A202" s="271"/>
      <c r="B202" s="272" t="s">
        <v>138</v>
      </c>
      <c r="C202" s="274">
        <f t="shared" si="28"/>
        <v>537</v>
      </c>
      <c r="D202" s="274">
        <f t="shared" si="28"/>
        <v>525</v>
      </c>
      <c r="E202" s="274">
        <f t="shared" si="29"/>
        <v>-12</v>
      </c>
      <c r="F202" s="273">
        <f t="shared" si="30"/>
        <v>-2.23463687150838E-2</v>
      </c>
    </row>
    <row r="203" spans="1:9" ht="20.25" customHeight="1" x14ac:dyDescent="0.3">
      <c r="A203" s="271"/>
      <c r="B203" s="272" t="s">
        <v>140</v>
      </c>
      <c r="C203" s="274">
        <f t="shared" si="28"/>
        <v>2376</v>
      </c>
      <c r="D203" s="274">
        <f t="shared" si="28"/>
        <v>2196</v>
      </c>
      <c r="E203" s="274">
        <f t="shared" si="29"/>
        <v>-180</v>
      </c>
      <c r="F203" s="273">
        <f t="shared" si="30"/>
        <v>-7.575757575757576E-2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2978</v>
      </c>
      <c r="D204" s="274">
        <f t="shared" si="28"/>
        <v>3028</v>
      </c>
      <c r="E204" s="274">
        <f t="shared" si="29"/>
        <v>50</v>
      </c>
      <c r="F204" s="273">
        <f t="shared" si="30"/>
        <v>1.6789791806581598E-2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1532</v>
      </c>
      <c r="D205" s="274">
        <f t="shared" si="28"/>
        <v>1302</v>
      </c>
      <c r="E205" s="274">
        <f t="shared" si="29"/>
        <v>-230</v>
      </c>
      <c r="F205" s="273">
        <f t="shared" si="30"/>
        <v>-0.15013054830287206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26818497</v>
      </c>
      <c r="D207" s="263">
        <f>+D198+D200</f>
        <v>28519967</v>
      </c>
      <c r="E207" s="263">
        <f t="shared" si="29"/>
        <v>1701470</v>
      </c>
      <c r="F207" s="273">
        <f t="shared" si="30"/>
        <v>6.3443898440691884E-2</v>
      </c>
    </row>
    <row r="208" spans="1:9" ht="20.25" customHeight="1" x14ac:dyDescent="0.3">
      <c r="A208" s="271"/>
      <c r="B208" s="262" t="s">
        <v>472</v>
      </c>
      <c r="C208" s="263">
        <f>+C199+C201</f>
        <v>8017857</v>
      </c>
      <c r="D208" s="263">
        <f>+D199+D201</f>
        <v>8338876</v>
      </c>
      <c r="E208" s="263">
        <f t="shared" si="29"/>
        <v>321019</v>
      </c>
      <c r="F208" s="273">
        <f t="shared" si="30"/>
        <v>4.0038005167715017E-2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FILING&amp;RMILFORD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1577197</v>
      </c>
      <c r="D50" s="258">
        <v>0</v>
      </c>
      <c r="E50" s="258">
        <f t="shared" ref="E50:E60" si="6">D50-C50</f>
        <v>-1577197</v>
      </c>
      <c r="F50" s="259">
        <f t="shared" ref="F50:F60" si="7">IF(C50=0,0,E50/C50)</f>
        <v>-1</v>
      </c>
    </row>
    <row r="51" spans="1:6" ht="20.25" customHeight="1" x14ac:dyDescent="0.3">
      <c r="A51" s="256">
        <v>2</v>
      </c>
      <c r="B51" s="257" t="s">
        <v>442</v>
      </c>
      <c r="C51" s="258">
        <v>497232</v>
      </c>
      <c r="D51" s="258">
        <v>0</v>
      </c>
      <c r="E51" s="258">
        <f t="shared" si="6"/>
        <v>-497232</v>
      </c>
      <c r="F51" s="259">
        <f t="shared" si="7"/>
        <v>-1</v>
      </c>
    </row>
    <row r="52" spans="1:6" ht="20.25" customHeight="1" x14ac:dyDescent="0.3">
      <c r="A52" s="256">
        <v>3</v>
      </c>
      <c r="B52" s="257" t="s">
        <v>443</v>
      </c>
      <c r="C52" s="258">
        <v>7648947</v>
      </c>
      <c r="D52" s="258">
        <v>0</v>
      </c>
      <c r="E52" s="258">
        <f t="shared" si="6"/>
        <v>-7648947</v>
      </c>
      <c r="F52" s="259">
        <f t="shared" si="7"/>
        <v>-1</v>
      </c>
    </row>
    <row r="53" spans="1:6" ht="20.25" customHeight="1" x14ac:dyDescent="0.3">
      <c r="A53" s="256">
        <v>4</v>
      </c>
      <c r="B53" s="257" t="s">
        <v>444</v>
      </c>
      <c r="C53" s="258">
        <v>2091032</v>
      </c>
      <c r="D53" s="258">
        <v>0</v>
      </c>
      <c r="E53" s="258">
        <f t="shared" si="6"/>
        <v>-2091032</v>
      </c>
      <c r="F53" s="259">
        <f t="shared" si="7"/>
        <v>-1</v>
      </c>
    </row>
    <row r="54" spans="1:6" ht="20.25" customHeight="1" x14ac:dyDescent="0.3">
      <c r="A54" s="256">
        <v>5</v>
      </c>
      <c r="B54" s="257" t="s">
        <v>381</v>
      </c>
      <c r="C54" s="260">
        <v>115</v>
      </c>
      <c r="D54" s="260">
        <v>0</v>
      </c>
      <c r="E54" s="260">
        <f t="shared" si="6"/>
        <v>-115</v>
      </c>
      <c r="F54" s="259">
        <f t="shared" si="7"/>
        <v>-1</v>
      </c>
    </row>
    <row r="55" spans="1:6" ht="20.25" customHeight="1" x14ac:dyDescent="0.3">
      <c r="A55" s="256">
        <v>6</v>
      </c>
      <c r="B55" s="257" t="s">
        <v>380</v>
      </c>
      <c r="C55" s="260">
        <v>343</v>
      </c>
      <c r="D55" s="260">
        <v>0</v>
      </c>
      <c r="E55" s="260">
        <f t="shared" si="6"/>
        <v>-343</v>
      </c>
      <c r="F55" s="259">
        <f t="shared" si="7"/>
        <v>-1</v>
      </c>
    </row>
    <row r="56" spans="1:6" ht="20.25" customHeight="1" x14ac:dyDescent="0.3">
      <c r="A56" s="256">
        <v>7</v>
      </c>
      <c r="B56" s="257" t="s">
        <v>445</v>
      </c>
      <c r="C56" s="260">
        <v>1004</v>
      </c>
      <c r="D56" s="260">
        <v>0</v>
      </c>
      <c r="E56" s="260">
        <f t="shared" si="6"/>
        <v>-1004</v>
      </c>
      <c r="F56" s="259">
        <f t="shared" si="7"/>
        <v>-1</v>
      </c>
    </row>
    <row r="57" spans="1:6" ht="20.25" customHeight="1" x14ac:dyDescent="0.3">
      <c r="A57" s="256">
        <v>8</v>
      </c>
      <c r="B57" s="257" t="s">
        <v>446</v>
      </c>
      <c r="C57" s="260">
        <v>4944</v>
      </c>
      <c r="D57" s="260">
        <v>0</v>
      </c>
      <c r="E57" s="260">
        <f t="shared" si="6"/>
        <v>-4944</v>
      </c>
      <c r="F57" s="259">
        <f t="shared" si="7"/>
        <v>-1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9226144</v>
      </c>
      <c r="D59" s="263">
        <f>+D50+D52</f>
        <v>0</v>
      </c>
      <c r="E59" s="263">
        <f t="shared" si="6"/>
        <v>-9226144</v>
      </c>
      <c r="F59" s="264">
        <f t="shared" si="7"/>
        <v>-1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2588264</v>
      </c>
      <c r="D60" s="263">
        <f>+D51+D53</f>
        <v>0</v>
      </c>
      <c r="E60" s="263">
        <f t="shared" si="6"/>
        <v>-2588264</v>
      </c>
      <c r="F60" s="264">
        <f t="shared" si="7"/>
        <v>-1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1577197</v>
      </c>
      <c r="D112" s="263">
        <f t="shared" si="16"/>
        <v>0</v>
      </c>
      <c r="E112" s="263">
        <f t="shared" ref="E112:E122" si="17">D112-C112</f>
        <v>-1577197</v>
      </c>
      <c r="F112" s="264">
        <f t="shared" ref="F112:F122" si="18">IF(C112=0,0,E112/C112)</f>
        <v>-1</v>
      </c>
    </row>
    <row r="113" spans="1:6" ht="20.25" customHeight="1" x14ac:dyDescent="0.3">
      <c r="A113" s="271"/>
      <c r="B113" s="286" t="s">
        <v>492</v>
      </c>
      <c r="C113" s="263">
        <f t="shared" si="16"/>
        <v>497232</v>
      </c>
      <c r="D113" s="263">
        <f t="shared" si="16"/>
        <v>0</v>
      </c>
      <c r="E113" s="263">
        <f t="shared" si="17"/>
        <v>-497232</v>
      </c>
      <c r="F113" s="264">
        <f t="shared" si="18"/>
        <v>-1</v>
      </c>
    </row>
    <row r="114" spans="1:6" ht="20.25" customHeight="1" x14ac:dyDescent="0.3">
      <c r="A114" s="271"/>
      <c r="B114" s="286" t="s">
        <v>493</v>
      </c>
      <c r="C114" s="263">
        <f t="shared" si="16"/>
        <v>7648947</v>
      </c>
      <c r="D114" s="263">
        <f t="shared" si="16"/>
        <v>0</v>
      </c>
      <c r="E114" s="263">
        <f t="shared" si="17"/>
        <v>-7648947</v>
      </c>
      <c r="F114" s="264">
        <f t="shared" si="18"/>
        <v>-1</v>
      </c>
    </row>
    <row r="115" spans="1:6" ht="20.25" customHeight="1" x14ac:dyDescent="0.3">
      <c r="A115" s="271"/>
      <c r="B115" s="286" t="s">
        <v>494</v>
      </c>
      <c r="C115" s="263">
        <f t="shared" si="16"/>
        <v>2091032</v>
      </c>
      <c r="D115" s="263">
        <f t="shared" si="16"/>
        <v>0</v>
      </c>
      <c r="E115" s="263">
        <f t="shared" si="17"/>
        <v>-2091032</v>
      </c>
      <c r="F115" s="264">
        <f t="shared" si="18"/>
        <v>-1</v>
      </c>
    </row>
    <row r="116" spans="1:6" ht="20.25" customHeight="1" x14ac:dyDescent="0.3">
      <c r="A116" s="271"/>
      <c r="B116" s="286" t="s">
        <v>495</v>
      </c>
      <c r="C116" s="287">
        <f t="shared" si="16"/>
        <v>115</v>
      </c>
      <c r="D116" s="287">
        <f t="shared" si="16"/>
        <v>0</v>
      </c>
      <c r="E116" s="287">
        <f t="shared" si="17"/>
        <v>-115</v>
      </c>
      <c r="F116" s="264">
        <f t="shared" si="18"/>
        <v>-1</v>
      </c>
    </row>
    <row r="117" spans="1:6" ht="20.25" customHeight="1" x14ac:dyDescent="0.3">
      <c r="A117" s="271"/>
      <c r="B117" s="286" t="s">
        <v>496</v>
      </c>
      <c r="C117" s="287">
        <f t="shared" si="16"/>
        <v>343</v>
      </c>
      <c r="D117" s="287">
        <f t="shared" si="16"/>
        <v>0</v>
      </c>
      <c r="E117" s="287">
        <f t="shared" si="17"/>
        <v>-343</v>
      </c>
      <c r="F117" s="264">
        <f t="shared" si="18"/>
        <v>-1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1004</v>
      </c>
      <c r="D118" s="287">
        <f t="shared" si="16"/>
        <v>0</v>
      </c>
      <c r="E118" s="287">
        <f t="shared" si="17"/>
        <v>-1004</v>
      </c>
      <c r="F118" s="264">
        <f t="shared" si="18"/>
        <v>-1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4944</v>
      </c>
      <c r="D119" s="287">
        <f t="shared" si="16"/>
        <v>0</v>
      </c>
      <c r="E119" s="287">
        <f t="shared" si="17"/>
        <v>-4944</v>
      </c>
      <c r="F119" s="264">
        <f t="shared" si="18"/>
        <v>-1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9226144</v>
      </c>
      <c r="D121" s="263">
        <f>+D112+D114</f>
        <v>0</v>
      </c>
      <c r="E121" s="263">
        <f t="shared" si="17"/>
        <v>-9226144</v>
      </c>
      <c r="F121" s="264">
        <f t="shared" si="18"/>
        <v>-1</v>
      </c>
    </row>
    <row r="122" spans="1:6" ht="20.25" customHeight="1" x14ac:dyDescent="0.3">
      <c r="A122" s="271"/>
      <c r="B122" s="284" t="s">
        <v>472</v>
      </c>
      <c r="C122" s="263">
        <f>+C113+C115</f>
        <v>2588264</v>
      </c>
      <c r="D122" s="263">
        <f>+D113+D115</f>
        <v>0</v>
      </c>
      <c r="E122" s="263">
        <f t="shared" si="17"/>
        <v>-2588264</v>
      </c>
      <c r="F122" s="264">
        <f t="shared" si="18"/>
        <v>-1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FILING&amp;RMILFORD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3173042</v>
      </c>
      <c r="D13" s="22">
        <v>7667186</v>
      </c>
      <c r="E13" s="22">
        <f t="shared" ref="E13:E22" si="0">D13-C13</f>
        <v>4494144</v>
      </c>
      <c r="F13" s="306">
        <f t="shared" ref="F13:F22" si="1">IF(C13=0,0,E13/C13)</f>
        <v>1.4163518793637146</v>
      </c>
    </row>
    <row r="14" spans="1:8" ht="24" customHeight="1" x14ac:dyDescent="0.2">
      <c r="A14" s="304">
        <v>2</v>
      </c>
      <c r="B14" s="305" t="s">
        <v>17</v>
      </c>
      <c r="C14" s="22">
        <v>112243</v>
      </c>
      <c r="D14" s="22">
        <v>112417</v>
      </c>
      <c r="E14" s="22">
        <f t="shared" si="0"/>
        <v>174</v>
      </c>
      <c r="F14" s="306">
        <f t="shared" si="1"/>
        <v>1.5502080307903388E-3</v>
      </c>
    </row>
    <row r="15" spans="1:8" ht="35.1" customHeight="1" x14ac:dyDescent="0.2">
      <c r="A15" s="304">
        <v>3</v>
      </c>
      <c r="B15" s="305" t="s">
        <v>18</v>
      </c>
      <c r="C15" s="22">
        <v>10371729</v>
      </c>
      <c r="D15" s="22">
        <v>9919854</v>
      </c>
      <c r="E15" s="22">
        <f t="shared" si="0"/>
        <v>-451875</v>
      </c>
      <c r="F15" s="306">
        <f t="shared" si="1"/>
        <v>-4.3567952845663435E-2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887860</v>
      </c>
      <c r="D19" s="22">
        <v>772809</v>
      </c>
      <c r="E19" s="22">
        <f t="shared" si="0"/>
        <v>-115051</v>
      </c>
      <c r="F19" s="306">
        <f t="shared" si="1"/>
        <v>-0.12958236658932715</v>
      </c>
    </row>
    <row r="20" spans="1:11" ht="24" customHeight="1" x14ac:dyDescent="0.2">
      <c r="A20" s="304">
        <v>8</v>
      </c>
      <c r="B20" s="305" t="s">
        <v>23</v>
      </c>
      <c r="C20" s="22">
        <v>3619088</v>
      </c>
      <c r="D20" s="22">
        <v>1159190</v>
      </c>
      <c r="E20" s="22">
        <f t="shared" si="0"/>
        <v>-2459898</v>
      </c>
      <c r="F20" s="306">
        <f t="shared" si="1"/>
        <v>-0.6797010738617022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18163962</v>
      </c>
      <c r="D22" s="309">
        <f>SUM(D13:D21)</f>
        <v>19631456</v>
      </c>
      <c r="E22" s="309">
        <f t="shared" si="0"/>
        <v>1467494</v>
      </c>
      <c r="F22" s="310">
        <f t="shared" si="1"/>
        <v>8.0791514538513132E-2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894273</v>
      </c>
      <c r="D25" s="22">
        <v>0</v>
      </c>
      <c r="E25" s="22">
        <f>D25-C25</f>
        <v>-894273</v>
      </c>
      <c r="F25" s="306">
        <f>IF(C25=0,0,E25/C25)</f>
        <v>-1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10914877</v>
      </c>
      <c r="D28" s="22">
        <v>5169001</v>
      </c>
      <c r="E28" s="22">
        <f>D28-C28</f>
        <v>-5745876</v>
      </c>
      <c r="F28" s="306">
        <f>IF(C28=0,0,E28/C28)</f>
        <v>-0.52642608798981427</v>
      </c>
    </row>
    <row r="29" spans="1:11" ht="35.1" customHeight="1" x14ac:dyDescent="0.25">
      <c r="A29" s="307"/>
      <c r="B29" s="308" t="s">
        <v>32</v>
      </c>
      <c r="C29" s="309">
        <f>SUM(C25:C28)</f>
        <v>11809150</v>
      </c>
      <c r="D29" s="309">
        <f>SUM(D25:D28)</f>
        <v>5169001</v>
      </c>
      <c r="E29" s="309">
        <f>D29-C29</f>
        <v>-6640149</v>
      </c>
      <c r="F29" s="310">
        <f>IF(C29=0,0,E29/C29)</f>
        <v>-0.56228847969582907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4061602</v>
      </c>
      <c r="D32" s="22">
        <v>5052099</v>
      </c>
      <c r="E32" s="22">
        <f>D32-C32</f>
        <v>990497</v>
      </c>
      <c r="F32" s="306">
        <f>IF(C32=0,0,E32/C32)</f>
        <v>0.24386855235938923</v>
      </c>
    </row>
    <row r="33" spans="1:8" ht="24" customHeight="1" x14ac:dyDescent="0.2">
      <c r="A33" s="304">
        <v>7</v>
      </c>
      <c r="B33" s="305" t="s">
        <v>35</v>
      </c>
      <c r="C33" s="22">
        <v>5037525</v>
      </c>
      <c r="D33" s="22">
        <v>2360811</v>
      </c>
      <c r="E33" s="22">
        <f>D33-C33</f>
        <v>-2676714</v>
      </c>
      <c r="F33" s="306">
        <f>IF(C33=0,0,E33/C33)</f>
        <v>-0.53135498086858135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64201307</v>
      </c>
      <c r="D36" s="22">
        <v>65808101</v>
      </c>
      <c r="E36" s="22">
        <f>D36-C36</f>
        <v>1606794</v>
      </c>
      <c r="F36" s="306">
        <f>IF(C36=0,0,E36/C36)</f>
        <v>2.5027434410330618E-2</v>
      </c>
    </row>
    <row r="37" spans="1:8" ht="24" customHeight="1" x14ac:dyDescent="0.2">
      <c r="A37" s="304">
        <v>2</v>
      </c>
      <c r="B37" s="305" t="s">
        <v>39</v>
      </c>
      <c r="C37" s="22">
        <v>28868914</v>
      </c>
      <c r="D37" s="22">
        <v>31844774</v>
      </c>
      <c r="E37" s="22">
        <f>D37-C37</f>
        <v>2975860</v>
      </c>
      <c r="F37" s="22">
        <f>IF(C37=0,0,E37/C37)</f>
        <v>0.10308181319186444</v>
      </c>
    </row>
    <row r="38" spans="1:8" ht="24" customHeight="1" x14ac:dyDescent="0.25">
      <c r="A38" s="307"/>
      <c r="B38" s="308" t="s">
        <v>40</v>
      </c>
      <c r="C38" s="309">
        <f>C36-C37</f>
        <v>35332393</v>
      </c>
      <c r="D38" s="309">
        <f>D36-D37</f>
        <v>33963327</v>
      </c>
      <c r="E38" s="309">
        <f>D38-C38</f>
        <v>-1369066</v>
      </c>
      <c r="F38" s="310">
        <f>IF(C38=0,0,E38/C38)</f>
        <v>-3.8748182156810043E-2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35332393</v>
      </c>
      <c r="D41" s="309">
        <f>+D38+D40</f>
        <v>33963327</v>
      </c>
      <c r="E41" s="309">
        <f>D41-C41</f>
        <v>-1369066</v>
      </c>
      <c r="F41" s="310">
        <f>IF(C41=0,0,E41/C41)</f>
        <v>-3.8748182156810043E-2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74404632</v>
      </c>
      <c r="D43" s="309">
        <f>D22+D29+D31+D32+D33+D41</f>
        <v>66176694</v>
      </c>
      <c r="E43" s="309">
        <f>D43-C43</f>
        <v>-8227938</v>
      </c>
      <c r="F43" s="310">
        <f>IF(C43=0,0,E43/C43)</f>
        <v>-0.11058367979025822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5511378</v>
      </c>
      <c r="D49" s="22">
        <v>7255878</v>
      </c>
      <c r="E49" s="22">
        <f t="shared" ref="E49:E56" si="2">D49-C49</f>
        <v>1744500</v>
      </c>
      <c r="F49" s="306">
        <f t="shared" ref="F49:F56" si="3">IF(C49=0,0,E49/C49)</f>
        <v>0.31652701012342105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7152032</v>
      </c>
      <c r="D50" s="22">
        <v>6989049</v>
      </c>
      <c r="E50" s="22">
        <f t="shared" si="2"/>
        <v>-162983</v>
      </c>
      <c r="F50" s="306">
        <f t="shared" si="3"/>
        <v>-2.2788348821705495E-2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1886925</v>
      </c>
      <c r="D51" s="22">
        <v>2415370</v>
      </c>
      <c r="E51" s="22">
        <f t="shared" si="2"/>
        <v>528445</v>
      </c>
      <c r="F51" s="306">
        <f t="shared" si="3"/>
        <v>0.28005617605363226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133467</v>
      </c>
      <c r="D54" s="22">
        <v>142366</v>
      </c>
      <c r="E54" s="22">
        <f t="shared" si="2"/>
        <v>8899</v>
      </c>
      <c r="F54" s="306">
        <f t="shared" si="3"/>
        <v>6.6675657653202658E-2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2999148</v>
      </c>
      <c r="D55" s="22">
        <v>1964014</v>
      </c>
      <c r="E55" s="22">
        <f t="shared" si="2"/>
        <v>-1035134</v>
      </c>
      <c r="F55" s="306">
        <f t="shared" si="3"/>
        <v>-0.3451426871898286</v>
      </c>
    </row>
    <row r="56" spans="1:6" ht="24" customHeight="1" x14ac:dyDescent="0.25">
      <c r="A56" s="307"/>
      <c r="B56" s="308" t="s">
        <v>54</v>
      </c>
      <c r="C56" s="309">
        <f>SUM(C49:C55)</f>
        <v>17682950</v>
      </c>
      <c r="D56" s="309">
        <f>SUM(D49:D55)</f>
        <v>18766677</v>
      </c>
      <c r="E56" s="309">
        <f t="shared" si="2"/>
        <v>1083727</v>
      </c>
      <c r="F56" s="310">
        <f t="shared" si="3"/>
        <v>6.1286550038313743E-2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6634757</v>
      </c>
      <c r="D60" s="22">
        <v>12492523</v>
      </c>
      <c r="E60" s="22">
        <f>D60-C60</f>
        <v>5857766</v>
      </c>
      <c r="F60" s="306">
        <f>IF(C60=0,0,E60/C60)</f>
        <v>0.88289081273059433</v>
      </c>
    </row>
    <row r="61" spans="1:6" ht="24" customHeight="1" x14ac:dyDescent="0.25">
      <c r="A61" s="307"/>
      <c r="B61" s="308" t="s">
        <v>58</v>
      </c>
      <c r="C61" s="309">
        <f>SUM(C59:C60)</f>
        <v>6634757</v>
      </c>
      <c r="D61" s="309">
        <f>SUM(D59:D60)</f>
        <v>12492523</v>
      </c>
      <c r="E61" s="309">
        <f>D61-C61</f>
        <v>5857766</v>
      </c>
      <c r="F61" s="310">
        <f>IF(C61=0,0,E61/C61)</f>
        <v>0.88289081273059433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16549876</v>
      </c>
      <c r="D63" s="22">
        <v>18262691</v>
      </c>
      <c r="E63" s="22">
        <f>D63-C63</f>
        <v>1712815</v>
      </c>
      <c r="F63" s="306">
        <f>IF(C63=0,0,E63/C63)</f>
        <v>0.10349412889860928</v>
      </c>
    </row>
    <row r="64" spans="1:6" ht="24" customHeight="1" x14ac:dyDescent="0.2">
      <c r="A64" s="304">
        <v>4</v>
      </c>
      <c r="B64" s="305" t="s">
        <v>60</v>
      </c>
      <c r="C64" s="22">
        <v>15192808</v>
      </c>
      <c r="D64" s="22">
        <v>10011117</v>
      </c>
      <c r="E64" s="22">
        <f>D64-C64</f>
        <v>-5181691</v>
      </c>
      <c r="F64" s="306">
        <f>IF(C64=0,0,E64/C64)</f>
        <v>-0.34106209990937819</v>
      </c>
    </row>
    <row r="65" spans="1:6" ht="24" customHeight="1" x14ac:dyDescent="0.25">
      <c r="A65" s="307"/>
      <c r="B65" s="308" t="s">
        <v>61</v>
      </c>
      <c r="C65" s="309">
        <f>SUM(C61:C64)</f>
        <v>38377441</v>
      </c>
      <c r="D65" s="309">
        <f>SUM(D61:D64)</f>
        <v>40766331</v>
      </c>
      <c r="E65" s="309">
        <f>D65-C65</f>
        <v>2388890</v>
      </c>
      <c r="F65" s="310">
        <f>IF(C65=0,0,E65/C65)</f>
        <v>6.2247245719171319E-2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16895968</v>
      </c>
      <c r="D70" s="22">
        <v>5129446</v>
      </c>
      <c r="E70" s="22">
        <f>D70-C70</f>
        <v>-11766522</v>
      </c>
      <c r="F70" s="306">
        <f>IF(C70=0,0,E70/C70)</f>
        <v>-0.69641005475389162</v>
      </c>
    </row>
    <row r="71" spans="1:6" ht="24" customHeight="1" x14ac:dyDescent="0.2">
      <c r="A71" s="304">
        <v>2</v>
      </c>
      <c r="B71" s="305" t="s">
        <v>65</v>
      </c>
      <c r="C71" s="22">
        <v>774510</v>
      </c>
      <c r="D71" s="22">
        <v>840477</v>
      </c>
      <c r="E71" s="22">
        <f>D71-C71</f>
        <v>65967</v>
      </c>
      <c r="F71" s="306">
        <f>IF(C71=0,0,E71/C71)</f>
        <v>8.5172560715807408E-2</v>
      </c>
    </row>
    <row r="72" spans="1:6" ht="24" customHeight="1" x14ac:dyDescent="0.2">
      <c r="A72" s="304">
        <v>3</v>
      </c>
      <c r="B72" s="305" t="s">
        <v>66</v>
      </c>
      <c r="C72" s="22">
        <v>673763</v>
      </c>
      <c r="D72" s="22">
        <v>673763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18344241</v>
      </c>
      <c r="D73" s="309">
        <f>SUM(D70:D72)</f>
        <v>6643686</v>
      </c>
      <c r="E73" s="309">
        <f>D73-C73</f>
        <v>-11700555</v>
      </c>
      <c r="F73" s="310">
        <f>IF(C73=0,0,E73/C73)</f>
        <v>-0.63783260370380002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74404632</v>
      </c>
      <c r="D75" s="309">
        <f>D56+D65+D67+D73</f>
        <v>66176694</v>
      </c>
      <c r="E75" s="309">
        <f>D75-C75</f>
        <v>-8227938</v>
      </c>
      <c r="F75" s="310">
        <f>IF(C75=0,0,E75/C75)</f>
        <v>-0.11058367979025822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FILING&amp;RMILFORD HEALTH &amp;AMP; MEDICAL,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202576756</v>
      </c>
      <c r="D11" s="76">
        <v>204465712</v>
      </c>
      <c r="E11" s="76">
        <f t="shared" ref="E11:E20" si="0">D11-C11</f>
        <v>1888956</v>
      </c>
      <c r="F11" s="77">
        <f t="shared" ref="F11:F20" si="1">IF(C11=0,0,E11/C11)</f>
        <v>9.3246433465446546E-3</v>
      </c>
    </row>
    <row r="12" spans="1:7" ht="23.1" customHeight="1" x14ac:dyDescent="0.2">
      <c r="A12" s="74">
        <v>2</v>
      </c>
      <c r="B12" s="75" t="s">
        <v>72</v>
      </c>
      <c r="C12" s="76">
        <v>120880699</v>
      </c>
      <c r="D12" s="76">
        <v>128630744</v>
      </c>
      <c r="E12" s="76">
        <f t="shared" si="0"/>
        <v>7750045</v>
      </c>
      <c r="F12" s="77">
        <f t="shared" si="1"/>
        <v>6.4113171615594308E-2</v>
      </c>
    </row>
    <row r="13" spans="1:7" ht="23.1" customHeight="1" x14ac:dyDescent="0.2">
      <c r="A13" s="74">
        <v>3</v>
      </c>
      <c r="B13" s="75" t="s">
        <v>73</v>
      </c>
      <c r="C13" s="76">
        <v>643601</v>
      </c>
      <c r="D13" s="76">
        <v>581295</v>
      </c>
      <c r="E13" s="76">
        <f t="shared" si="0"/>
        <v>-62306</v>
      </c>
      <c r="F13" s="77">
        <f t="shared" si="1"/>
        <v>-9.6808426338678782E-2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1442946</v>
      </c>
      <c r="E14" s="76">
        <f t="shared" si="0"/>
        <v>1442946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81052456</v>
      </c>
      <c r="D15" s="79">
        <f>D11-D12-D13-D14</f>
        <v>73810727</v>
      </c>
      <c r="E15" s="79">
        <f t="shared" si="0"/>
        <v>-7241729</v>
      </c>
      <c r="F15" s="80">
        <f t="shared" si="1"/>
        <v>-8.9346200687613953E-2</v>
      </c>
    </row>
    <row r="16" spans="1:7" ht="23.1" customHeight="1" x14ac:dyDescent="0.2">
      <c r="A16" s="74">
        <v>5</v>
      </c>
      <c r="B16" s="75" t="s">
        <v>76</v>
      </c>
      <c r="C16" s="76">
        <v>6520133</v>
      </c>
      <c r="D16" s="76">
        <v>5785341</v>
      </c>
      <c r="E16" s="76">
        <f t="shared" si="0"/>
        <v>-734792</v>
      </c>
      <c r="F16" s="77">
        <f t="shared" si="1"/>
        <v>-0.11269586065192229</v>
      </c>
      <c r="G16" s="65"/>
    </row>
    <row r="17" spans="1:7" ht="31.5" customHeight="1" x14ac:dyDescent="0.25">
      <c r="A17" s="71"/>
      <c r="B17" s="81" t="s">
        <v>77</v>
      </c>
      <c r="C17" s="79">
        <f>C15-C16</f>
        <v>74532323</v>
      </c>
      <c r="D17" s="79">
        <f>D15-D16</f>
        <v>68025386</v>
      </c>
      <c r="E17" s="79">
        <f t="shared" si="0"/>
        <v>-6506937</v>
      </c>
      <c r="F17" s="80">
        <f t="shared" si="1"/>
        <v>-8.7303558215943433E-2</v>
      </c>
    </row>
    <row r="18" spans="1:7" ht="23.1" customHeight="1" x14ac:dyDescent="0.2">
      <c r="A18" s="74">
        <v>6</v>
      </c>
      <c r="B18" s="75" t="s">
        <v>78</v>
      </c>
      <c r="C18" s="76">
        <v>2729480</v>
      </c>
      <c r="D18" s="76">
        <v>2438403</v>
      </c>
      <c r="E18" s="76">
        <f t="shared" si="0"/>
        <v>-291077</v>
      </c>
      <c r="F18" s="77">
        <f t="shared" si="1"/>
        <v>-0.10664192446912965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77261803</v>
      </c>
      <c r="D20" s="79">
        <f>SUM(D17:D19)</f>
        <v>70463789</v>
      </c>
      <c r="E20" s="79">
        <f t="shared" si="0"/>
        <v>-6798014</v>
      </c>
      <c r="F20" s="80">
        <f t="shared" si="1"/>
        <v>-8.7986737767432113E-2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40773272</v>
      </c>
      <c r="D23" s="76">
        <v>38732104</v>
      </c>
      <c r="E23" s="76">
        <f t="shared" ref="E23:E32" si="2">D23-C23</f>
        <v>-2041168</v>
      </c>
      <c r="F23" s="77">
        <f t="shared" ref="F23:F32" si="3">IF(C23=0,0,E23/C23)</f>
        <v>-5.0061422590759949E-2</v>
      </c>
    </row>
    <row r="24" spans="1:7" ht="23.1" customHeight="1" x14ac:dyDescent="0.2">
      <c r="A24" s="74">
        <v>2</v>
      </c>
      <c r="B24" s="75" t="s">
        <v>83</v>
      </c>
      <c r="C24" s="76">
        <v>12946476</v>
      </c>
      <c r="D24" s="76">
        <v>10103835</v>
      </c>
      <c r="E24" s="76">
        <f t="shared" si="2"/>
        <v>-2842641</v>
      </c>
      <c r="F24" s="77">
        <f t="shared" si="3"/>
        <v>-0.21956870734553557</v>
      </c>
    </row>
    <row r="25" spans="1:7" ht="23.1" customHeight="1" x14ac:dyDescent="0.2">
      <c r="A25" s="74">
        <v>3</v>
      </c>
      <c r="B25" s="75" t="s">
        <v>84</v>
      </c>
      <c r="C25" s="76">
        <v>722901</v>
      </c>
      <c r="D25" s="76">
        <v>770256</v>
      </c>
      <c r="E25" s="76">
        <f t="shared" si="2"/>
        <v>47355</v>
      </c>
      <c r="F25" s="77">
        <f t="shared" si="3"/>
        <v>6.5506895135018492E-2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11584106</v>
      </c>
      <c r="D26" s="76">
        <v>12428440</v>
      </c>
      <c r="E26" s="76">
        <f t="shared" si="2"/>
        <v>844334</v>
      </c>
      <c r="F26" s="77">
        <f t="shared" si="3"/>
        <v>7.2887281936128687E-2</v>
      </c>
    </row>
    <row r="27" spans="1:7" ht="23.1" customHeight="1" x14ac:dyDescent="0.2">
      <c r="A27" s="74">
        <v>5</v>
      </c>
      <c r="B27" s="75" t="s">
        <v>86</v>
      </c>
      <c r="C27" s="76">
        <v>6887793</v>
      </c>
      <c r="D27" s="76">
        <v>2989243</v>
      </c>
      <c r="E27" s="76">
        <f t="shared" si="2"/>
        <v>-3898550</v>
      </c>
      <c r="F27" s="77">
        <f t="shared" si="3"/>
        <v>-0.56600858939866516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468339</v>
      </c>
      <c r="D29" s="76">
        <v>452267</v>
      </c>
      <c r="E29" s="76">
        <f t="shared" si="2"/>
        <v>-16072</v>
      </c>
      <c r="F29" s="77">
        <f t="shared" si="3"/>
        <v>-3.4317022498660157E-2</v>
      </c>
    </row>
    <row r="30" spans="1:7" ht="23.1" customHeight="1" x14ac:dyDescent="0.2">
      <c r="A30" s="74">
        <v>8</v>
      </c>
      <c r="B30" s="75" t="s">
        <v>89</v>
      </c>
      <c r="C30" s="76">
        <v>2499414</v>
      </c>
      <c r="D30" s="76">
        <v>746227</v>
      </c>
      <c r="E30" s="76">
        <f t="shared" si="2"/>
        <v>-1753187</v>
      </c>
      <c r="F30" s="77">
        <f t="shared" si="3"/>
        <v>-0.70143921735254744</v>
      </c>
    </row>
    <row r="31" spans="1:7" ht="23.1" customHeight="1" x14ac:dyDescent="0.2">
      <c r="A31" s="74">
        <v>9</v>
      </c>
      <c r="B31" s="75" t="s">
        <v>90</v>
      </c>
      <c r="C31" s="76">
        <v>13950615</v>
      </c>
      <c r="D31" s="76">
        <v>15361223</v>
      </c>
      <c r="E31" s="76">
        <f t="shared" si="2"/>
        <v>1410608</v>
      </c>
      <c r="F31" s="77">
        <f t="shared" si="3"/>
        <v>0.10111439531518861</v>
      </c>
    </row>
    <row r="32" spans="1:7" ht="23.1" customHeight="1" x14ac:dyDescent="0.25">
      <c r="A32" s="71"/>
      <c r="B32" s="78" t="s">
        <v>91</v>
      </c>
      <c r="C32" s="79">
        <f>SUM(C23:C31)</f>
        <v>89832916</v>
      </c>
      <c r="D32" s="79">
        <f>SUM(D23:D31)</f>
        <v>81583595</v>
      </c>
      <c r="E32" s="79">
        <f t="shared" si="2"/>
        <v>-8249321</v>
      </c>
      <c r="F32" s="80">
        <f t="shared" si="3"/>
        <v>-9.182960285960215E-2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-12571113</v>
      </c>
      <c r="D34" s="79">
        <f>+D20-D32</f>
        <v>-11119806</v>
      </c>
      <c r="E34" s="79">
        <f>D34-C34</f>
        <v>1451307</v>
      </c>
      <c r="F34" s="80">
        <f>IF(C34=0,0,E34/C34)</f>
        <v>-0.11544777300148364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1736372</v>
      </c>
      <c r="D37" s="76">
        <v>1712782</v>
      </c>
      <c r="E37" s="76">
        <f>D37-C37</f>
        <v>-23590</v>
      </c>
      <c r="F37" s="77">
        <f>IF(C37=0,0,E37/C37)</f>
        <v>-1.3585798434897592E-2</v>
      </c>
    </row>
    <row r="38" spans="1:6" ht="23.1" customHeight="1" x14ac:dyDescent="0.2">
      <c r="A38" s="85">
        <v>2</v>
      </c>
      <c r="B38" s="75" t="s">
        <v>95</v>
      </c>
      <c r="C38" s="76">
        <v>454342</v>
      </c>
      <c r="D38" s="76">
        <v>156498</v>
      </c>
      <c r="E38" s="76">
        <f>D38-C38</f>
        <v>-297844</v>
      </c>
      <c r="F38" s="77">
        <f>IF(C38=0,0,E38/C38)</f>
        <v>-0.65555022428038789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2190714</v>
      </c>
      <c r="D40" s="79">
        <f>SUM(D37:D39)</f>
        <v>1869280</v>
      </c>
      <c r="E40" s="79">
        <f>D40-C40</f>
        <v>-321434</v>
      </c>
      <c r="F40" s="80">
        <f>IF(C40=0,0,E40/C40)</f>
        <v>-0.14672567939037226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-10380399</v>
      </c>
      <c r="D42" s="79">
        <f>D34+D40</f>
        <v>-9250526</v>
      </c>
      <c r="E42" s="79">
        <f>D42-C42</f>
        <v>1129873</v>
      </c>
      <c r="F42" s="80">
        <f>IF(C42=0,0,E42/C42)</f>
        <v>-0.10884677939643746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-536330</v>
      </c>
      <c r="D45" s="76">
        <v>-422199</v>
      </c>
      <c r="E45" s="76">
        <f>D45-C45</f>
        <v>114131</v>
      </c>
      <c r="F45" s="77">
        <f>IF(C45=0,0,E45/C45)</f>
        <v>-0.21279995525143103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-536330</v>
      </c>
      <c r="D47" s="79">
        <f>SUM(D45:D46)</f>
        <v>-422199</v>
      </c>
      <c r="E47" s="79">
        <f>D47-C47</f>
        <v>114131</v>
      </c>
      <c r="F47" s="80">
        <f>IF(C47=0,0,E47/C47)</f>
        <v>-0.21279995525143103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-10916729</v>
      </c>
      <c r="D49" s="79">
        <f>D42+D47</f>
        <v>-9672725</v>
      </c>
      <c r="E49" s="79">
        <f>D49-C49</f>
        <v>1244004</v>
      </c>
      <c r="F49" s="80">
        <f>IF(C49=0,0,E49/C49)</f>
        <v>-0.11395391421734477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FILING&amp;R&amp;8MILFORD HEALTH &amp;AMP; MEDICAL,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2015-07-07T13:26:56Z</cp:lastPrinted>
  <dcterms:created xsi:type="dcterms:W3CDTF">2015-07-07T13:23:31Z</dcterms:created>
  <dcterms:modified xsi:type="dcterms:W3CDTF">2015-07-07T13:27:34Z</dcterms:modified>
</cp:coreProperties>
</file>