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ert\FISC_SVC\2015AR12M\Excel downloads\"/>
    </mc:Choice>
  </mc:AlternateContent>
  <bookViews>
    <workbookView xWindow="0" yWindow="0" windowWidth="21570" windowHeight="951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Report485!$A$11:$F$28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52511" fullCalcOnLoad="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/>
  <c r="D96" i="22"/>
  <c r="D98" i="22"/>
  <c r="C96" i="22"/>
  <c r="E92" i="22"/>
  <c r="D92" i="22"/>
  <c r="C92" i="22"/>
  <c r="E91" i="22"/>
  <c r="E93" i="22"/>
  <c r="D91" i="22"/>
  <c r="D93" i="22"/>
  <c r="C91" i="22"/>
  <c r="E87" i="22"/>
  <c r="D87" i="22"/>
  <c r="C87" i="22"/>
  <c r="C88" i="22"/>
  <c r="E86" i="22"/>
  <c r="E88" i="22"/>
  <c r="D86" i="22"/>
  <c r="C86" i="22"/>
  <c r="E83" i="22"/>
  <c r="D83" i="22"/>
  <c r="D102" i="22"/>
  <c r="D101" i="22"/>
  <c r="D103" i="22"/>
  <c r="C83" i="22"/>
  <c r="C101" i="22"/>
  <c r="E76" i="22"/>
  <c r="D76" i="22"/>
  <c r="C76" i="22"/>
  <c r="E75" i="22"/>
  <c r="E101" i="22"/>
  <c r="D75" i="22"/>
  <c r="D77" i="22"/>
  <c r="D109" i="22"/>
  <c r="C75" i="22"/>
  <c r="C77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D23" i="22"/>
  <c r="D54" i="22"/>
  <c r="E21" i="22"/>
  <c r="D21" i="22"/>
  <c r="C21" i="22"/>
  <c r="E12" i="22"/>
  <c r="E33" i="22"/>
  <c r="D12" i="22"/>
  <c r="D34" i="22"/>
  <c r="C12" i="22"/>
  <c r="C33" i="22"/>
  <c r="D21" i="21"/>
  <c r="E21" i="21"/>
  <c r="F21" i="21"/>
  <c r="C21" i="21"/>
  <c r="D19" i="21"/>
  <c r="E19" i="21"/>
  <c r="F19" i="21"/>
  <c r="C19" i="21"/>
  <c r="E17" i="21"/>
  <c r="F17" i="21"/>
  <c r="E15" i="21"/>
  <c r="F15" i="21"/>
  <c r="D45" i="20"/>
  <c r="E45" i="20"/>
  <c r="F45" i="20"/>
  <c r="C45" i="20"/>
  <c r="D44" i="20"/>
  <c r="E44" i="20"/>
  <c r="F44" i="20"/>
  <c r="C44" i="20"/>
  <c r="D43" i="20"/>
  <c r="D46" i="20"/>
  <c r="C43" i="20"/>
  <c r="C46" i="20"/>
  <c r="D36" i="20"/>
  <c r="D40" i="20"/>
  <c r="D41" i="20"/>
  <c r="C36" i="20"/>
  <c r="C40" i="20"/>
  <c r="C41" i="20"/>
  <c r="E35" i="20"/>
  <c r="F35" i="20"/>
  <c r="F34" i="20"/>
  <c r="E34" i="20"/>
  <c r="F33" i="20"/>
  <c r="E33" i="20"/>
  <c r="E36" i="20"/>
  <c r="F36" i="20"/>
  <c r="E30" i="20"/>
  <c r="F30" i="20"/>
  <c r="F29" i="20"/>
  <c r="E29" i="20"/>
  <c r="F28" i="20"/>
  <c r="E28" i="20"/>
  <c r="E27" i="20"/>
  <c r="F27" i="20"/>
  <c r="D25" i="20"/>
  <c r="D39" i="20"/>
  <c r="C25" i="20"/>
  <c r="C39" i="20"/>
  <c r="F24" i="20"/>
  <c r="E24" i="20"/>
  <c r="E23" i="20"/>
  <c r="F23" i="20"/>
  <c r="E22" i="20"/>
  <c r="E25" i="20"/>
  <c r="D19" i="20"/>
  <c r="D20" i="20"/>
  <c r="C19" i="20"/>
  <c r="E18" i="20"/>
  <c r="F18" i="20"/>
  <c r="D16" i="20"/>
  <c r="C16" i="20"/>
  <c r="E15" i="20"/>
  <c r="F15" i="20"/>
  <c r="F13" i="20"/>
  <c r="E13" i="20"/>
  <c r="F12" i="20"/>
  <c r="E12" i="20"/>
  <c r="C137" i="19"/>
  <c r="C139" i="19"/>
  <c r="C143" i="19"/>
  <c r="C115" i="19"/>
  <c r="C105" i="19"/>
  <c r="C96" i="19"/>
  <c r="C95" i="19"/>
  <c r="C89" i="19"/>
  <c r="C88" i="19"/>
  <c r="C83" i="19"/>
  <c r="C77" i="19"/>
  <c r="C78" i="19"/>
  <c r="C63" i="19"/>
  <c r="C60" i="19"/>
  <c r="C59" i="19"/>
  <c r="C64" i="19"/>
  <c r="C49" i="19"/>
  <c r="C48" i="19"/>
  <c r="C36" i="19"/>
  <c r="C32" i="19"/>
  <c r="C33" i="19"/>
  <c r="C21" i="19"/>
  <c r="E328" i="18"/>
  <c r="E325" i="18"/>
  <c r="D324" i="18"/>
  <c r="C324" i="18"/>
  <c r="E324" i="18"/>
  <c r="C326" i="18"/>
  <c r="C330" i="18"/>
  <c r="E318" i="18"/>
  <c r="E315" i="18"/>
  <c r="D314" i="18"/>
  <c r="D316" i="18"/>
  <c r="C314" i="18"/>
  <c r="C316" i="18"/>
  <c r="C320" i="18"/>
  <c r="E308" i="18"/>
  <c r="E305" i="18"/>
  <c r="D301" i="18"/>
  <c r="E301" i="18"/>
  <c r="C301" i="18"/>
  <c r="D293" i="18"/>
  <c r="E293" i="18"/>
  <c r="C293" i="18"/>
  <c r="D292" i="18"/>
  <c r="E292" i="18"/>
  <c r="C292" i="18"/>
  <c r="D291" i="18"/>
  <c r="E291" i="18"/>
  <c r="C291" i="18"/>
  <c r="D290" i="18"/>
  <c r="E290" i="18"/>
  <c r="C290" i="18"/>
  <c r="D288" i="18"/>
  <c r="C288" i="18"/>
  <c r="D287" i="18"/>
  <c r="C287" i="18"/>
  <c r="E287" i="18"/>
  <c r="D282" i="18"/>
  <c r="E282" i="18"/>
  <c r="C282" i="18"/>
  <c r="D281" i="18"/>
  <c r="E281" i="18"/>
  <c r="C281" i="18"/>
  <c r="D280" i="18"/>
  <c r="C280" i="18"/>
  <c r="E280" i="18"/>
  <c r="D279" i="18"/>
  <c r="E279" i="18"/>
  <c r="C279" i="18"/>
  <c r="D278" i="18"/>
  <c r="E278" i="18"/>
  <c r="C278" i="18"/>
  <c r="D277" i="18"/>
  <c r="E277" i="18"/>
  <c r="C277" i="18"/>
  <c r="D276" i="18"/>
  <c r="E276" i="18"/>
  <c r="C276" i="18"/>
  <c r="E270" i="18"/>
  <c r="D265" i="18"/>
  <c r="D302" i="18"/>
  <c r="C265" i="18"/>
  <c r="C302" i="18"/>
  <c r="C303" i="18"/>
  <c r="D262" i="18"/>
  <c r="C262" i="18"/>
  <c r="D251" i="18"/>
  <c r="C251" i="18"/>
  <c r="D233" i="18"/>
  <c r="C233" i="18"/>
  <c r="D232" i="18"/>
  <c r="C232" i="18"/>
  <c r="D231" i="18"/>
  <c r="C231" i="18"/>
  <c r="D230" i="18"/>
  <c r="C230" i="18"/>
  <c r="D228" i="18"/>
  <c r="C228" i="18"/>
  <c r="D227" i="18"/>
  <c r="C227" i="18"/>
  <c r="D221" i="18"/>
  <c r="D245" i="18"/>
  <c r="C221" i="18"/>
  <c r="D220" i="18"/>
  <c r="E220" i="18"/>
  <c r="C220" i="18"/>
  <c r="C244" i="18"/>
  <c r="D219" i="18"/>
  <c r="D243" i="18"/>
  <c r="C219" i="18"/>
  <c r="C243" i="18"/>
  <c r="D218" i="18"/>
  <c r="E218" i="18"/>
  <c r="C218" i="18"/>
  <c r="C242" i="18"/>
  <c r="D217" i="18"/>
  <c r="C217" i="18"/>
  <c r="D216" i="18"/>
  <c r="C216" i="18"/>
  <c r="C240" i="18"/>
  <c r="D215" i="18"/>
  <c r="D239" i="18"/>
  <c r="C215" i="18"/>
  <c r="C239" i="18"/>
  <c r="E239" i="18"/>
  <c r="E209" i="18"/>
  <c r="E208" i="18"/>
  <c r="E207" i="18"/>
  <c r="E206" i="18"/>
  <c r="D205" i="18"/>
  <c r="D210" i="18"/>
  <c r="C205" i="18"/>
  <c r="C229" i="18"/>
  <c r="E229" i="18"/>
  <c r="E204" i="18"/>
  <c r="E203" i="18"/>
  <c r="E197" i="18"/>
  <c r="E196" i="18"/>
  <c r="D195" i="18"/>
  <c r="D260" i="18"/>
  <c r="C195" i="18"/>
  <c r="C260" i="18"/>
  <c r="E194" i="18"/>
  <c r="E193" i="18"/>
  <c r="E192" i="18"/>
  <c r="E191" i="18"/>
  <c r="E190" i="18"/>
  <c r="D188" i="18"/>
  <c r="D261" i="18"/>
  <c r="C188" i="18"/>
  <c r="C261" i="18"/>
  <c r="E261" i="18"/>
  <c r="E186" i="18"/>
  <c r="E185" i="18"/>
  <c r="D179" i="18"/>
  <c r="C179" i="18"/>
  <c r="E179" i="18"/>
  <c r="D178" i="18"/>
  <c r="C178" i="18"/>
  <c r="E178" i="18"/>
  <c r="D177" i="18"/>
  <c r="E177" i="18"/>
  <c r="C177" i="18"/>
  <c r="D176" i="18"/>
  <c r="C176" i="18"/>
  <c r="E176" i="18"/>
  <c r="D175" i="18"/>
  <c r="D174" i="18"/>
  <c r="E174" i="18"/>
  <c r="C174" i="18"/>
  <c r="D173" i="18"/>
  <c r="E173" i="18"/>
  <c r="C173" i="18"/>
  <c r="D167" i="18"/>
  <c r="C167" i="18"/>
  <c r="E167" i="18"/>
  <c r="D166" i="18"/>
  <c r="E166" i="18"/>
  <c r="C166" i="18"/>
  <c r="D165" i="18"/>
  <c r="C165" i="18"/>
  <c r="D164" i="18"/>
  <c r="E164" i="18"/>
  <c r="C164" i="18"/>
  <c r="D162" i="18"/>
  <c r="C162" i="18"/>
  <c r="D161" i="18"/>
  <c r="C161" i="18"/>
  <c r="C157" i="18"/>
  <c r="E155" i="18"/>
  <c r="E154" i="18"/>
  <c r="E153" i="18"/>
  <c r="E152" i="18"/>
  <c r="D151" i="18"/>
  <c r="D156" i="18"/>
  <c r="C151" i="18"/>
  <c r="C156" i="18"/>
  <c r="E150" i="18"/>
  <c r="E149" i="18"/>
  <c r="E143" i="18"/>
  <c r="E142" i="18"/>
  <c r="E141" i="18"/>
  <c r="E140" i="18"/>
  <c r="D139" i="18"/>
  <c r="D144" i="18"/>
  <c r="C139" i="18"/>
  <c r="E138" i="18"/>
  <c r="E137" i="18"/>
  <c r="D75" i="18"/>
  <c r="E75" i="18"/>
  <c r="C75" i="18"/>
  <c r="D74" i="18"/>
  <c r="E74" i="18"/>
  <c r="C74" i="18"/>
  <c r="D73" i="18"/>
  <c r="C73" i="18"/>
  <c r="E73" i="18"/>
  <c r="D72" i="18"/>
  <c r="E72" i="18"/>
  <c r="C72" i="18"/>
  <c r="D70" i="18"/>
  <c r="C70" i="18"/>
  <c r="D69" i="18"/>
  <c r="C69" i="18"/>
  <c r="C65" i="18"/>
  <c r="C66" i="18"/>
  <c r="E64" i="18"/>
  <c r="E63" i="18"/>
  <c r="E62" i="18"/>
  <c r="E61" i="18"/>
  <c r="D60" i="18"/>
  <c r="D289" i="18"/>
  <c r="E289" i="18"/>
  <c r="C60" i="18"/>
  <c r="C289" i="18"/>
  <c r="E59" i="18"/>
  <c r="E58" i="18"/>
  <c r="C55" i="18"/>
  <c r="D54" i="18"/>
  <c r="C54" i="18"/>
  <c r="E53" i="18"/>
  <c r="E52" i="18"/>
  <c r="E51" i="18"/>
  <c r="E50" i="18"/>
  <c r="E49" i="18"/>
  <c r="E48" i="18"/>
  <c r="E47" i="18"/>
  <c r="D42" i="18"/>
  <c r="E42" i="18"/>
  <c r="C42" i="18"/>
  <c r="D41" i="18"/>
  <c r="E41" i="18"/>
  <c r="C41" i="18"/>
  <c r="D40" i="18"/>
  <c r="C40" i="18"/>
  <c r="D39" i="18"/>
  <c r="E39" i="18"/>
  <c r="C39" i="18"/>
  <c r="D38" i="18"/>
  <c r="C38" i="18"/>
  <c r="D37" i="18"/>
  <c r="C37" i="18"/>
  <c r="D36" i="18"/>
  <c r="C36" i="18"/>
  <c r="E36" i="18"/>
  <c r="D32" i="18"/>
  <c r="E32" i="18"/>
  <c r="C32" i="18"/>
  <c r="C294" i="18"/>
  <c r="E31" i="18"/>
  <c r="E30" i="18"/>
  <c r="E29" i="18"/>
  <c r="E28" i="18"/>
  <c r="E27" i="18"/>
  <c r="E26" i="18"/>
  <c r="E25" i="18"/>
  <c r="D21" i="18"/>
  <c r="C21" i="18"/>
  <c r="C22" i="18"/>
  <c r="E20" i="18"/>
  <c r="E19" i="18"/>
  <c r="E18" i="18"/>
  <c r="E17" i="18"/>
  <c r="E16" i="18"/>
  <c r="E15" i="18"/>
  <c r="E14" i="18"/>
  <c r="E335" i="17"/>
  <c r="F335" i="17"/>
  <c r="F334" i="17"/>
  <c r="E334" i="17"/>
  <c r="E333" i="17"/>
  <c r="F333" i="17"/>
  <c r="F332" i="17"/>
  <c r="E332" i="17"/>
  <c r="E331" i="17"/>
  <c r="F331" i="17"/>
  <c r="E330" i="17"/>
  <c r="F330" i="17"/>
  <c r="F329" i="17"/>
  <c r="E329" i="17"/>
  <c r="F316" i="17"/>
  <c r="E316" i="17"/>
  <c r="D311" i="17"/>
  <c r="C311" i="17"/>
  <c r="F311" i="17"/>
  <c r="F308" i="17"/>
  <c r="E308" i="17"/>
  <c r="D307" i="17"/>
  <c r="C307" i="17"/>
  <c r="D299" i="17"/>
  <c r="E299" i="17"/>
  <c r="F299" i="17"/>
  <c r="C299" i="17"/>
  <c r="D298" i="17"/>
  <c r="C298" i="17"/>
  <c r="F298" i="17"/>
  <c r="D297" i="17"/>
  <c r="E297" i="17"/>
  <c r="F297" i="17"/>
  <c r="C297" i="17"/>
  <c r="D296" i="17"/>
  <c r="E296" i="17"/>
  <c r="F296" i="17"/>
  <c r="C296" i="17"/>
  <c r="D295" i="17"/>
  <c r="E295" i="17"/>
  <c r="F295" i="17"/>
  <c r="C295" i="17"/>
  <c r="D294" i="17"/>
  <c r="C294" i="17"/>
  <c r="D250" i="17"/>
  <c r="C250" i="17"/>
  <c r="E249" i="17"/>
  <c r="F249" i="17"/>
  <c r="E248" i="17"/>
  <c r="F248" i="17"/>
  <c r="F245" i="17"/>
  <c r="E245" i="17"/>
  <c r="E244" i="17"/>
  <c r="F244" i="17"/>
  <c r="E243" i="17"/>
  <c r="F243" i="17"/>
  <c r="D238" i="17"/>
  <c r="C238" i="17"/>
  <c r="D237" i="17"/>
  <c r="D239" i="17"/>
  <c r="C237" i="17"/>
  <c r="E234" i="17"/>
  <c r="F234" i="17"/>
  <c r="E233" i="17"/>
  <c r="F233" i="17"/>
  <c r="D230" i="17"/>
  <c r="C230" i="17"/>
  <c r="D229" i="17"/>
  <c r="C229" i="17"/>
  <c r="E228" i="17"/>
  <c r="F228" i="17"/>
  <c r="D226" i="17"/>
  <c r="D227" i="17"/>
  <c r="E227" i="17"/>
  <c r="C226" i="17"/>
  <c r="C227" i="17"/>
  <c r="E225" i="17"/>
  <c r="F225" i="17"/>
  <c r="E224" i="17"/>
  <c r="F224" i="17"/>
  <c r="D223" i="17"/>
  <c r="C223" i="17"/>
  <c r="E222" i="17"/>
  <c r="F222" i="17"/>
  <c r="E221" i="17"/>
  <c r="F221" i="17"/>
  <c r="D204" i="17"/>
  <c r="C204" i="17"/>
  <c r="D203" i="17"/>
  <c r="D283" i="17"/>
  <c r="C203" i="17"/>
  <c r="D198" i="17"/>
  <c r="D290" i="17"/>
  <c r="C198" i="17"/>
  <c r="D191" i="17"/>
  <c r="D280" i="17"/>
  <c r="C191" i="17"/>
  <c r="D189" i="17"/>
  <c r="D278" i="17"/>
  <c r="C189" i="17"/>
  <c r="D188" i="17"/>
  <c r="D277" i="17"/>
  <c r="C188" i="17"/>
  <c r="D180" i="17"/>
  <c r="C180" i="17"/>
  <c r="F180" i="17"/>
  <c r="D179" i="17"/>
  <c r="D181" i="17"/>
  <c r="C179" i="17"/>
  <c r="C172" i="17"/>
  <c r="F172" i="17"/>
  <c r="D171" i="17"/>
  <c r="D172" i="17"/>
  <c r="D173" i="17"/>
  <c r="C171" i="17"/>
  <c r="F171" i="17"/>
  <c r="D170" i="17"/>
  <c r="C170" i="17"/>
  <c r="F170" i="17"/>
  <c r="F169" i="17"/>
  <c r="E169" i="17"/>
  <c r="F168" i="17"/>
  <c r="E168" i="17"/>
  <c r="D165" i="17"/>
  <c r="C165" i="17"/>
  <c r="F165" i="17"/>
  <c r="D164" i="17"/>
  <c r="E164" i="17"/>
  <c r="C164" i="17"/>
  <c r="F164" i="17"/>
  <c r="F163" i="17"/>
  <c r="E163" i="17"/>
  <c r="C159" i="17"/>
  <c r="F159" i="17"/>
  <c r="D158" i="17"/>
  <c r="C158" i="17"/>
  <c r="F158" i="17"/>
  <c r="F157" i="17"/>
  <c r="E157" i="17"/>
  <c r="F156" i="17"/>
  <c r="E156" i="17"/>
  <c r="D155" i="17"/>
  <c r="C155" i="17"/>
  <c r="F155" i="17"/>
  <c r="F154" i="17"/>
  <c r="E154" i="17"/>
  <c r="F153" i="17"/>
  <c r="E153" i="17"/>
  <c r="D145" i="17"/>
  <c r="C145" i="17"/>
  <c r="D144" i="17"/>
  <c r="D146" i="17"/>
  <c r="E146" i="17"/>
  <c r="C144" i="17"/>
  <c r="D136" i="17"/>
  <c r="C136" i="17"/>
  <c r="D135" i="17"/>
  <c r="C135" i="17"/>
  <c r="E134" i="17"/>
  <c r="F134" i="17"/>
  <c r="E133" i="17"/>
  <c r="F133" i="17"/>
  <c r="D130" i="17"/>
  <c r="E130" i="17"/>
  <c r="F130" i="17"/>
  <c r="C130" i="17"/>
  <c r="D129" i="17"/>
  <c r="C129" i="17"/>
  <c r="E128" i="17"/>
  <c r="F128" i="17"/>
  <c r="D123" i="17"/>
  <c r="C123" i="17"/>
  <c r="C193" i="17"/>
  <c r="E122" i="17"/>
  <c r="F122" i="17"/>
  <c r="E121" i="17"/>
  <c r="F121" i="17"/>
  <c r="D120" i="17"/>
  <c r="C120" i="17"/>
  <c r="E119" i="17"/>
  <c r="F119" i="17"/>
  <c r="E118" i="17"/>
  <c r="F118" i="17"/>
  <c r="D110" i="17"/>
  <c r="E110" i="17"/>
  <c r="F110" i="17"/>
  <c r="C110" i="17"/>
  <c r="D109" i="17"/>
  <c r="C109" i="17"/>
  <c r="D101" i="17"/>
  <c r="D102" i="17"/>
  <c r="C101" i="17"/>
  <c r="D100" i="17"/>
  <c r="C100" i="17"/>
  <c r="E99" i="17"/>
  <c r="F99" i="17"/>
  <c r="E98" i="17"/>
  <c r="F98" i="17"/>
  <c r="D95" i="17"/>
  <c r="C95" i="17"/>
  <c r="D94" i="17"/>
  <c r="C94" i="17"/>
  <c r="E93" i="17"/>
  <c r="F93" i="17"/>
  <c r="D88" i="17"/>
  <c r="D89" i="17"/>
  <c r="C88" i="17"/>
  <c r="E87" i="17"/>
  <c r="F87" i="17"/>
  <c r="E86" i="17"/>
  <c r="F86" i="17"/>
  <c r="D85" i="17"/>
  <c r="C85" i="17"/>
  <c r="E84" i="17"/>
  <c r="F84" i="17"/>
  <c r="E83" i="17"/>
  <c r="F83" i="17"/>
  <c r="D76" i="17"/>
  <c r="C76" i="17"/>
  <c r="C77" i="17"/>
  <c r="F74" i="17"/>
  <c r="E74" i="17"/>
  <c r="E73" i="17"/>
  <c r="F73" i="17"/>
  <c r="D67" i="17"/>
  <c r="C67" i="17"/>
  <c r="D66" i="17"/>
  <c r="E66" i="17"/>
  <c r="F66" i="17"/>
  <c r="C66" i="17"/>
  <c r="D59" i="17"/>
  <c r="C59" i="17"/>
  <c r="D58" i="17"/>
  <c r="C58" i="17"/>
  <c r="E57" i="17"/>
  <c r="F57" i="17"/>
  <c r="E56" i="17"/>
  <c r="F56" i="17"/>
  <c r="D53" i="17"/>
  <c r="E53" i="17"/>
  <c r="C53" i="17"/>
  <c r="D52" i="17"/>
  <c r="C52" i="17"/>
  <c r="E52" i="17"/>
  <c r="F52" i="17"/>
  <c r="E51" i="17"/>
  <c r="F51" i="17"/>
  <c r="D47" i="17"/>
  <c r="E47" i="17"/>
  <c r="F47" i="17"/>
  <c r="C47" i="17"/>
  <c r="C48" i="17"/>
  <c r="E46" i="17"/>
  <c r="F46" i="17"/>
  <c r="E45" i="17"/>
  <c r="F45" i="17"/>
  <c r="D44" i="17"/>
  <c r="E44" i="17"/>
  <c r="F44" i="17"/>
  <c r="C44" i="17"/>
  <c r="E43" i="17"/>
  <c r="F43" i="17"/>
  <c r="E42" i="17"/>
  <c r="F42" i="17"/>
  <c r="D36" i="17"/>
  <c r="C36" i="17"/>
  <c r="D35" i="17"/>
  <c r="E35" i="17"/>
  <c r="F35" i="17"/>
  <c r="C35" i="17"/>
  <c r="D30" i="17"/>
  <c r="C30" i="17"/>
  <c r="D29" i="17"/>
  <c r="C29" i="17"/>
  <c r="E28" i="17"/>
  <c r="F28" i="17"/>
  <c r="E27" i="17"/>
  <c r="F27" i="17"/>
  <c r="D24" i="17"/>
  <c r="C24" i="17"/>
  <c r="D23" i="17"/>
  <c r="C23" i="17"/>
  <c r="E22" i="17"/>
  <c r="F22" i="17"/>
  <c r="D20" i="17"/>
  <c r="C20" i="17"/>
  <c r="C21" i="17"/>
  <c r="E19" i="17"/>
  <c r="F19" i="17"/>
  <c r="E18" i="17"/>
  <c r="F18" i="17"/>
  <c r="D17" i="17"/>
  <c r="E17" i="17"/>
  <c r="F17" i="17"/>
  <c r="C17" i="17"/>
  <c r="E16" i="17"/>
  <c r="F16" i="17"/>
  <c r="E15" i="17"/>
  <c r="F15" i="17"/>
  <c r="D21" i="16"/>
  <c r="C21" i="16"/>
  <c r="E20" i="16"/>
  <c r="F20" i="16"/>
  <c r="D17" i="16"/>
  <c r="C17" i="16"/>
  <c r="E16" i="16"/>
  <c r="F16" i="16"/>
  <c r="D13" i="16"/>
  <c r="C13" i="16"/>
  <c r="E12" i="16"/>
  <c r="F12" i="16"/>
  <c r="D107" i="15"/>
  <c r="F107" i="15"/>
  <c r="C107" i="15"/>
  <c r="E107" i="15"/>
  <c r="F106" i="15"/>
  <c r="E106" i="15"/>
  <c r="F105" i="15"/>
  <c r="E105" i="15"/>
  <c r="E104" i="15"/>
  <c r="F104" i="15"/>
  <c r="D100" i="15"/>
  <c r="E100" i="15"/>
  <c r="F100" i="15"/>
  <c r="C100" i="15"/>
  <c r="F99" i="15"/>
  <c r="E99" i="15"/>
  <c r="E98" i="15"/>
  <c r="F98" i="15"/>
  <c r="F97" i="15"/>
  <c r="E97" i="15"/>
  <c r="F96" i="15"/>
  <c r="E96" i="15"/>
  <c r="F95" i="15"/>
  <c r="E95" i="15"/>
  <c r="D92" i="15"/>
  <c r="C92" i="15"/>
  <c r="F91" i="15"/>
  <c r="E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E84" i="15"/>
  <c r="F84" i="15"/>
  <c r="F83" i="15"/>
  <c r="E83" i="15"/>
  <c r="F82" i="15"/>
  <c r="E82" i="15"/>
  <c r="F81" i="15"/>
  <c r="E81" i="15"/>
  <c r="F80" i="15"/>
  <c r="E80" i="15"/>
  <c r="F79" i="15"/>
  <c r="E79" i="15"/>
  <c r="D75" i="15"/>
  <c r="C75" i="15"/>
  <c r="E74" i="15"/>
  <c r="F74" i="15"/>
  <c r="F73" i="15"/>
  <c r="E73" i="15"/>
  <c r="D70" i="15"/>
  <c r="E70" i="15"/>
  <c r="F70" i="15"/>
  <c r="C70" i="15"/>
  <c r="E69" i="15"/>
  <c r="F69" i="15"/>
  <c r="F68" i="15"/>
  <c r="E68" i="15"/>
  <c r="D65" i="15"/>
  <c r="E65" i="15"/>
  <c r="F65" i="15"/>
  <c r="C65" i="15"/>
  <c r="E64" i="15"/>
  <c r="F64" i="15"/>
  <c r="F63" i="15"/>
  <c r="E63" i="15"/>
  <c r="D60" i="15"/>
  <c r="C60" i="15"/>
  <c r="F60" i="15"/>
  <c r="F59" i="15"/>
  <c r="E59" i="15"/>
  <c r="F58" i="15"/>
  <c r="E58" i="15"/>
  <c r="E60" i="15"/>
  <c r="F55" i="15"/>
  <c r="D55" i="15"/>
  <c r="C55" i="15"/>
  <c r="F54" i="15"/>
  <c r="E54" i="15"/>
  <c r="F53" i="15"/>
  <c r="E53" i="15"/>
  <c r="F50" i="15"/>
  <c r="D50" i="15"/>
  <c r="E50" i="15"/>
  <c r="C50" i="15"/>
  <c r="F49" i="15"/>
  <c r="E49" i="15"/>
  <c r="F48" i="15"/>
  <c r="E48" i="15"/>
  <c r="D45" i="15"/>
  <c r="C45" i="15"/>
  <c r="F45" i="15"/>
  <c r="F44" i="15"/>
  <c r="E44" i="15"/>
  <c r="F43" i="15"/>
  <c r="E43" i="15"/>
  <c r="D37" i="15"/>
  <c r="C37" i="15"/>
  <c r="F37" i="15"/>
  <c r="F36" i="15"/>
  <c r="E36" i="15"/>
  <c r="F35" i="15"/>
  <c r="E35" i="15"/>
  <c r="F34" i="15"/>
  <c r="E34" i="15"/>
  <c r="F33" i="15"/>
  <c r="E33" i="15"/>
  <c r="F30" i="15"/>
  <c r="D30" i="15"/>
  <c r="E30" i="15"/>
  <c r="C30" i="15"/>
  <c r="F29" i="15"/>
  <c r="E29" i="15"/>
  <c r="F28" i="15"/>
  <c r="E28" i="15"/>
  <c r="F27" i="15"/>
  <c r="E27" i="15"/>
  <c r="F26" i="15"/>
  <c r="E26" i="15"/>
  <c r="D23" i="15"/>
  <c r="E23" i="15"/>
  <c r="F23" i="15"/>
  <c r="C23" i="15"/>
  <c r="F22" i="15"/>
  <c r="E22" i="15"/>
  <c r="F21" i="15"/>
  <c r="E21" i="15"/>
  <c r="F20" i="15"/>
  <c r="E20" i="15"/>
  <c r="F19" i="15"/>
  <c r="E19" i="15"/>
  <c r="D16" i="15"/>
  <c r="E16" i="15"/>
  <c r="F16" i="15"/>
  <c r="C16" i="15"/>
  <c r="F15" i="15"/>
  <c r="E15" i="15"/>
  <c r="F14" i="15"/>
  <c r="E14" i="15"/>
  <c r="E13" i="15"/>
  <c r="F13" i="15"/>
  <c r="F12" i="15"/>
  <c r="E12" i="15"/>
  <c r="I37" i="14"/>
  <c r="H37" i="14"/>
  <c r="E31" i="14"/>
  <c r="C31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F17" i="14"/>
  <c r="F31" i="14"/>
  <c r="H31" i="14"/>
  <c r="E17" i="14"/>
  <c r="E33" i="14"/>
  <c r="E36" i="14"/>
  <c r="E38" i="14"/>
  <c r="E40" i="14"/>
  <c r="D17" i="14"/>
  <c r="D31" i="14"/>
  <c r="C17" i="14"/>
  <c r="C33" i="14"/>
  <c r="C36" i="14"/>
  <c r="C38" i="14"/>
  <c r="C40" i="14"/>
  <c r="I16" i="14"/>
  <c r="H16" i="14"/>
  <c r="I15" i="14"/>
  <c r="H15" i="14"/>
  <c r="I13" i="14"/>
  <c r="H13" i="14"/>
  <c r="I11" i="14"/>
  <c r="H11" i="14"/>
  <c r="E79" i="13"/>
  <c r="D79" i="13"/>
  <c r="C79" i="13"/>
  <c r="E78" i="13"/>
  <c r="D78" i="13"/>
  <c r="C78" i="13"/>
  <c r="C80" i="13"/>
  <c r="C77" i="13"/>
  <c r="E73" i="13"/>
  <c r="E75" i="13"/>
  <c r="D73" i="13"/>
  <c r="D75" i="13"/>
  <c r="C73" i="13"/>
  <c r="C75" i="13"/>
  <c r="E71" i="13"/>
  <c r="D71" i="13"/>
  <c r="C71" i="13"/>
  <c r="E66" i="13"/>
  <c r="D66" i="13"/>
  <c r="D65" i="13"/>
  <c r="C66" i="13"/>
  <c r="E65" i="13"/>
  <c r="C65" i="13"/>
  <c r="E60" i="13"/>
  <c r="D60" i="13"/>
  <c r="C60" i="13"/>
  <c r="E58" i="13"/>
  <c r="D58" i="13"/>
  <c r="C58" i="13"/>
  <c r="E55" i="13"/>
  <c r="E50" i="13"/>
  <c r="D55" i="13"/>
  <c r="D50" i="13"/>
  <c r="C55" i="13"/>
  <c r="E54" i="13"/>
  <c r="D54" i="13"/>
  <c r="C54" i="13"/>
  <c r="C50" i="13"/>
  <c r="E46" i="13"/>
  <c r="E59" i="13"/>
  <c r="E61" i="13"/>
  <c r="D46" i="13"/>
  <c r="D59" i="13"/>
  <c r="D61" i="13"/>
  <c r="D57" i="13"/>
  <c r="C46" i="13"/>
  <c r="C59" i="13"/>
  <c r="C61" i="13"/>
  <c r="C57" i="13"/>
  <c r="E45" i="13"/>
  <c r="D45" i="13"/>
  <c r="C45" i="13"/>
  <c r="E38" i="13"/>
  <c r="D38" i="13"/>
  <c r="C38" i="13"/>
  <c r="E33" i="13"/>
  <c r="E34" i="13"/>
  <c r="D33" i="13"/>
  <c r="D34" i="13"/>
  <c r="E26" i="13"/>
  <c r="D26" i="13"/>
  <c r="C26" i="13"/>
  <c r="E13" i="13"/>
  <c r="E25" i="13"/>
  <c r="E27" i="13"/>
  <c r="E21" i="13"/>
  <c r="D13" i="13"/>
  <c r="D25" i="13"/>
  <c r="D27" i="13"/>
  <c r="D21" i="13"/>
  <c r="C13" i="13"/>
  <c r="C25" i="13"/>
  <c r="C27" i="13"/>
  <c r="D47" i="12"/>
  <c r="E47" i="12"/>
  <c r="C47" i="12"/>
  <c r="F47" i="12"/>
  <c r="F46" i="12"/>
  <c r="E46" i="12"/>
  <c r="F45" i="12"/>
  <c r="E45" i="12"/>
  <c r="D40" i="12"/>
  <c r="C40" i="12"/>
  <c r="F39" i="12"/>
  <c r="E39" i="12"/>
  <c r="F38" i="12"/>
  <c r="E38" i="12"/>
  <c r="E37" i="12"/>
  <c r="F37" i="12"/>
  <c r="D32" i="12"/>
  <c r="C32" i="12"/>
  <c r="F31" i="12"/>
  <c r="E31" i="12"/>
  <c r="E30" i="12"/>
  <c r="F30" i="12"/>
  <c r="F29" i="12"/>
  <c r="E29" i="12"/>
  <c r="F28" i="12"/>
  <c r="E28" i="12"/>
  <c r="F27" i="12"/>
  <c r="E27" i="12"/>
  <c r="E26" i="12"/>
  <c r="F26" i="12"/>
  <c r="E25" i="12"/>
  <c r="F25" i="12"/>
  <c r="F24" i="12"/>
  <c r="E24" i="12"/>
  <c r="F23" i="12"/>
  <c r="E23" i="12"/>
  <c r="E19" i="12"/>
  <c r="F19" i="12"/>
  <c r="F18" i="12"/>
  <c r="E18" i="12"/>
  <c r="F16" i="12"/>
  <c r="E16" i="12"/>
  <c r="D15" i="12"/>
  <c r="E15" i="12"/>
  <c r="C15" i="12"/>
  <c r="C17" i="12"/>
  <c r="F14" i="12"/>
  <c r="E14" i="12"/>
  <c r="F13" i="12"/>
  <c r="E13" i="12"/>
  <c r="F12" i="12"/>
  <c r="E12" i="12"/>
  <c r="E11" i="12"/>
  <c r="F11" i="12"/>
  <c r="D73" i="11"/>
  <c r="E73" i="11"/>
  <c r="F73" i="11"/>
  <c r="C73" i="11"/>
  <c r="F72" i="11"/>
  <c r="E72" i="11"/>
  <c r="F71" i="11"/>
  <c r="E71" i="11"/>
  <c r="F70" i="11"/>
  <c r="E70" i="11"/>
  <c r="F67" i="11"/>
  <c r="E67" i="11"/>
  <c r="F64" i="11"/>
  <c r="E64" i="11"/>
  <c r="F63" i="11"/>
  <c r="E63" i="11"/>
  <c r="D61" i="11"/>
  <c r="C61" i="11"/>
  <c r="C65" i="11"/>
  <c r="E60" i="11"/>
  <c r="F60" i="11"/>
  <c r="E59" i="11"/>
  <c r="F59" i="11"/>
  <c r="D56" i="11"/>
  <c r="C56" i="11"/>
  <c r="E55" i="11"/>
  <c r="F55" i="11"/>
  <c r="E54" i="11"/>
  <c r="F54" i="11"/>
  <c r="F53" i="11"/>
  <c r="E53" i="11"/>
  <c r="F52" i="11"/>
  <c r="E52" i="11"/>
  <c r="E51" i="11"/>
  <c r="F51" i="11"/>
  <c r="A51" i="11"/>
  <c r="A52" i="11"/>
  <c r="A53" i="11"/>
  <c r="A54" i="11"/>
  <c r="A55" i="11"/>
  <c r="E50" i="11"/>
  <c r="F50" i="11"/>
  <c r="A50" i="11"/>
  <c r="F49" i="11"/>
  <c r="E49" i="11"/>
  <c r="F40" i="11"/>
  <c r="E40" i="11"/>
  <c r="D38" i="11"/>
  <c r="D41" i="11"/>
  <c r="E41" i="11"/>
  <c r="C38" i="11"/>
  <c r="C41" i="11"/>
  <c r="E37" i="11"/>
  <c r="F37" i="11"/>
  <c r="F36" i="11"/>
  <c r="E36" i="11"/>
  <c r="E33" i="11"/>
  <c r="F33" i="11"/>
  <c r="F32" i="11"/>
  <c r="E32" i="11"/>
  <c r="F31" i="11"/>
  <c r="E31" i="11"/>
  <c r="D29" i="11"/>
  <c r="E29" i="11"/>
  <c r="C29" i="11"/>
  <c r="F28" i="11"/>
  <c r="E28" i="11"/>
  <c r="F27" i="11"/>
  <c r="E27" i="11"/>
  <c r="F26" i="11"/>
  <c r="E26" i="11"/>
  <c r="E25" i="11"/>
  <c r="F25" i="11"/>
  <c r="D22" i="11"/>
  <c r="C22" i="11"/>
  <c r="C43" i="11"/>
  <c r="F21" i="11"/>
  <c r="E21" i="11"/>
  <c r="F20" i="11"/>
  <c r="E20" i="11"/>
  <c r="F19" i="11"/>
  <c r="E19" i="11"/>
  <c r="E18" i="11"/>
  <c r="F18" i="11"/>
  <c r="F17" i="11"/>
  <c r="E17" i="11"/>
  <c r="F16" i="11"/>
  <c r="E16" i="11"/>
  <c r="F15" i="11"/>
  <c r="E15" i="11"/>
  <c r="F14" i="11"/>
  <c r="E14" i="11"/>
  <c r="F13" i="11"/>
  <c r="E13" i="11"/>
  <c r="F120" i="10"/>
  <c r="D120" i="10"/>
  <c r="E120" i="10"/>
  <c r="C120" i="10"/>
  <c r="F119" i="10"/>
  <c r="D119" i="10"/>
  <c r="E119" i="10"/>
  <c r="C119" i="10"/>
  <c r="F118" i="10"/>
  <c r="D118" i="10"/>
  <c r="E118" i="10"/>
  <c r="C118" i="10"/>
  <c r="F117" i="10"/>
  <c r="D117" i="10"/>
  <c r="E117" i="10"/>
  <c r="C117" i="10"/>
  <c r="F116" i="10"/>
  <c r="D116" i="10"/>
  <c r="E116" i="10"/>
  <c r="C116" i="10"/>
  <c r="F115" i="10"/>
  <c r="D115" i="10"/>
  <c r="E115" i="10"/>
  <c r="C115" i="10"/>
  <c r="F114" i="10"/>
  <c r="D114" i="10"/>
  <c r="E114" i="10"/>
  <c r="C114" i="10"/>
  <c r="F113" i="10"/>
  <c r="D113" i="10"/>
  <c r="E113" i="10"/>
  <c r="C113" i="10"/>
  <c r="C122" i="10"/>
  <c r="F122" i="10"/>
  <c r="F112" i="10"/>
  <c r="D112" i="10"/>
  <c r="E112" i="10"/>
  <c r="C112" i="10"/>
  <c r="C121" i="10"/>
  <c r="D108" i="10"/>
  <c r="C108" i="10"/>
  <c r="F108" i="10"/>
  <c r="F107" i="10"/>
  <c r="D107" i="10"/>
  <c r="E107" i="10"/>
  <c r="C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F96" i="10"/>
  <c r="D96" i="10"/>
  <c r="E96" i="10"/>
  <c r="C96" i="10"/>
  <c r="D95" i="10"/>
  <c r="C95" i="10"/>
  <c r="E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F84" i="10"/>
  <c r="D84" i="10"/>
  <c r="E84" i="10"/>
  <c r="C84" i="10"/>
  <c r="D83" i="10"/>
  <c r="E83" i="10"/>
  <c r="C83" i="10"/>
  <c r="F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D72" i="10"/>
  <c r="E72" i="10"/>
  <c r="C72" i="10"/>
  <c r="F72" i="10"/>
  <c r="F71" i="10"/>
  <c r="D71" i="10"/>
  <c r="E71" i="10"/>
  <c r="C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F60" i="10"/>
  <c r="D60" i="10"/>
  <c r="E60" i="10"/>
  <c r="C60" i="10"/>
  <c r="F59" i="10"/>
  <c r="D59" i="10"/>
  <c r="E59" i="10"/>
  <c r="C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8" i="10"/>
  <c r="D48" i="10"/>
  <c r="E48" i="10"/>
  <c r="C48" i="10"/>
  <c r="F47" i="10"/>
  <c r="D47" i="10"/>
  <c r="E47" i="10"/>
  <c r="C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F36" i="10"/>
  <c r="D36" i="10"/>
  <c r="E36" i="10"/>
  <c r="C36" i="10"/>
  <c r="F35" i="10"/>
  <c r="D35" i="10"/>
  <c r="C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D24" i="10"/>
  <c r="C24" i="10"/>
  <c r="F23" i="10"/>
  <c r="D23" i="10"/>
  <c r="E23" i="10"/>
  <c r="C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E206" i="9"/>
  <c r="C206" i="9"/>
  <c r="D205" i="9"/>
  <c r="E205" i="9"/>
  <c r="F205" i="9"/>
  <c r="C205" i="9"/>
  <c r="D204" i="9"/>
  <c r="C204" i="9"/>
  <c r="D203" i="9"/>
  <c r="E203" i="9"/>
  <c r="F203" i="9"/>
  <c r="C203" i="9"/>
  <c r="D202" i="9"/>
  <c r="E202" i="9"/>
  <c r="C202" i="9"/>
  <c r="D201" i="9"/>
  <c r="E201" i="9"/>
  <c r="F201" i="9"/>
  <c r="C201" i="9"/>
  <c r="D200" i="9"/>
  <c r="C200" i="9"/>
  <c r="D199" i="9"/>
  <c r="D208" i="9"/>
  <c r="E208" i="9"/>
  <c r="F208" i="9"/>
  <c r="C199" i="9"/>
  <c r="C208" i="9"/>
  <c r="D198" i="9"/>
  <c r="C198" i="9"/>
  <c r="D193" i="9"/>
  <c r="C193" i="9"/>
  <c r="F192" i="9"/>
  <c r="D192" i="9"/>
  <c r="E192" i="9"/>
  <c r="C192" i="9"/>
  <c r="F191" i="9"/>
  <c r="E191" i="9"/>
  <c r="F190" i="9"/>
  <c r="E190" i="9"/>
  <c r="F189" i="9"/>
  <c r="E189" i="9"/>
  <c r="F188" i="9"/>
  <c r="E188" i="9"/>
  <c r="F187" i="9"/>
  <c r="E187" i="9"/>
  <c r="F186" i="9"/>
  <c r="E186" i="9"/>
  <c r="F185" i="9"/>
  <c r="E185" i="9"/>
  <c r="F184" i="9"/>
  <c r="E184" i="9"/>
  <c r="F183" i="9"/>
  <c r="E183" i="9"/>
  <c r="D180" i="9"/>
  <c r="C180" i="9"/>
  <c r="F180" i="9"/>
  <c r="F179" i="9"/>
  <c r="D179" i="9"/>
  <c r="E179" i="9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F167" i="9"/>
  <c r="D167" i="9"/>
  <c r="E167" i="9"/>
  <c r="C167" i="9"/>
  <c r="D166" i="9"/>
  <c r="C166" i="9"/>
  <c r="E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F154" i="9"/>
  <c r="D154" i="9"/>
  <c r="E154" i="9"/>
  <c r="C154" i="9"/>
  <c r="D153" i="9"/>
  <c r="E153" i="9"/>
  <c r="C153" i="9"/>
  <c r="F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C141" i="9"/>
  <c r="D140" i="9"/>
  <c r="E140" i="9"/>
  <c r="F140" i="9"/>
  <c r="C140" i="9"/>
  <c r="F139" i="9"/>
  <c r="E139" i="9"/>
  <c r="E138" i="9"/>
  <c r="F138" i="9"/>
  <c r="F137" i="9"/>
  <c r="E137" i="9"/>
  <c r="F136" i="9"/>
  <c r="E136" i="9"/>
  <c r="F135" i="9"/>
  <c r="E135" i="9"/>
  <c r="E134" i="9"/>
  <c r="F134" i="9"/>
  <c r="F133" i="9"/>
  <c r="E133" i="9"/>
  <c r="F132" i="9"/>
  <c r="E132" i="9"/>
  <c r="F131" i="9"/>
  <c r="E131" i="9"/>
  <c r="D128" i="9"/>
  <c r="E128" i="9"/>
  <c r="F128" i="9"/>
  <c r="C128" i="9"/>
  <c r="D127" i="9"/>
  <c r="E127" i="9"/>
  <c r="F127" i="9"/>
  <c r="C127" i="9"/>
  <c r="E126" i="9"/>
  <c r="F126" i="9"/>
  <c r="F125" i="9"/>
  <c r="E125" i="9"/>
  <c r="F124" i="9"/>
  <c r="E124" i="9"/>
  <c r="F123" i="9"/>
  <c r="E123" i="9"/>
  <c r="E122" i="9"/>
  <c r="F122" i="9"/>
  <c r="F121" i="9"/>
  <c r="E121" i="9"/>
  <c r="F120" i="9"/>
  <c r="E120" i="9"/>
  <c r="F119" i="9"/>
  <c r="E119" i="9"/>
  <c r="E118" i="9"/>
  <c r="F118" i="9"/>
  <c r="D115" i="9"/>
  <c r="E115" i="9"/>
  <c r="F115" i="9"/>
  <c r="C115" i="9"/>
  <c r="D114" i="9"/>
  <c r="C114" i="9"/>
  <c r="E113" i="9"/>
  <c r="F113" i="9"/>
  <c r="E112" i="9"/>
  <c r="F112" i="9"/>
  <c r="F111" i="9"/>
  <c r="E111" i="9"/>
  <c r="E110" i="9"/>
  <c r="F110" i="9"/>
  <c r="F109" i="9"/>
  <c r="E109" i="9"/>
  <c r="E108" i="9"/>
  <c r="F108" i="9"/>
  <c r="F107" i="9"/>
  <c r="E107" i="9"/>
  <c r="F106" i="9"/>
  <c r="E106" i="9"/>
  <c r="F105" i="9"/>
  <c r="E105" i="9"/>
  <c r="D102" i="9"/>
  <c r="E102" i="9"/>
  <c r="F102" i="9"/>
  <c r="C102" i="9"/>
  <c r="D101" i="9"/>
  <c r="E101" i="9"/>
  <c r="C101" i="9"/>
  <c r="E100" i="9"/>
  <c r="F100" i="9"/>
  <c r="F99" i="9"/>
  <c r="E99" i="9"/>
  <c r="E98" i="9"/>
  <c r="F98" i="9"/>
  <c r="F97" i="9"/>
  <c r="E97" i="9"/>
  <c r="E96" i="9"/>
  <c r="F96" i="9"/>
  <c r="F95" i="9"/>
  <c r="E95" i="9"/>
  <c r="F94" i="9"/>
  <c r="E94" i="9"/>
  <c r="E93" i="9"/>
  <c r="F93" i="9"/>
  <c r="E92" i="9"/>
  <c r="F92" i="9"/>
  <c r="D89" i="9"/>
  <c r="E89" i="9"/>
  <c r="C89" i="9"/>
  <c r="F89" i="9"/>
  <c r="F88" i="9"/>
  <c r="D88" i="9"/>
  <c r="C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C76" i="9"/>
  <c r="D75" i="9"/>
  <c r="E75" i="9"/>
  <c r="F75" i="9"/>
  <c r="C75" i="9"/>
  <c r="E74" i="9"/>
  <c r="F74" i="9"/>
  <c r="F73" i="9"/>
  <c r="E73" i="9"/>
  <c r="E72" i="9"/>
  <c r="F72" i="9"/>
  <c r="F71" i="9"/>
  <c r="E71" i="9"/>
  <c r="F70" i="9"/>
  <c r="E70" i="9"/>
  <c r="F69" i="9"/>
  <c r="E69" i="9"/>
  <c r="E68" i="9"/>
  <c r="F68" i="9"/>
  <c r="F67" i="9"/>
  <c r="E67" i="9"/>
  <c r="E66" i="9"/>
  <c r="F66" i="9"/>
  <c r="D63" i="9"/>
  <c r="E63" i="9"/>
  <c r="C63" i="9"/>
  <c r="F63" i="9"/>
  <c r="D62" i="9"/>
  <c r="E62" i="9"/>
  <c r="C62" i="9"/>
  <c r="F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E50" i="9"/>
  <c r="F50" i="9"/>
  <c r="C50" i="9"/>
  <c r="D49" i="9"/>
  <c r="E49" i="9"/>
  <c r="C49" i="9"/>
  <c r="E48" i="9"/>
  <c r="F48" i="9"/>
  <c r="F47" i="9"/>
  <c r="E47" i="9"/>
  <c r="F46" i="9"/>
  <c r="E46" i="9"/>
  <c r="F45" i="9"/>
  <c r="E45" i="9"/>
  <c r="E44" i="9"/>
  <c r="F44" i="9"/>
  <c r="F43" i="9"/>
  <c r="E43" i="9"/>
  <c r="F42" i="9"/>
  <c r="E42" i="9"/>
  <c r="E41" i="9"/>
  <c r="F41" i="9"/>
  <c r="E40" i="9"/>
  <c r="F40" i="9"/>
  <c r="D37" i="9"/>
  <c r="E37" i="9"/>
  <c r="C37" i="9"/>
  <c r="F37" i="9"/>
  <c r="F36" i="9"/>
  <c r="D36" i="9"/>
  <c r="E36" i="9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/>
  <c r="C24" i="9"/>
  <c r="D23" i="9"/>
  <c r="E23" i="9"/>
  <c r="F23" i="9"/>
  <c r="C23" i="9"/>
  <c r="F22" i="9"/>
  <c r="E22" i="9"/>
  <c r="E21" i="9"/>
  <c r="F21" i="9"/>
  <c r="E20" i="9"/>
  <c r="F20" i="9"/>
  <c r="F19" i="9"/>
  <c r="E19" i="9"/>
  <c r="F18" i="9"/>
  <c r="E18" i="9"/>
  <c r="F17" i="9"/>
  <c r="E17" i="9"/>
  <c r="E16" i="9"/>
  <c r="F16" i="9"/>
  <c r="F15" i="9"/>
  <c r="E15" i="9"/>
  <c r="E14" i="9"/>
  <c r="F14" i="9"/>
  <c r="E191" i="8"/>
  <c r="D191" i="8"/>
  <c r="C191" i="8"/>
  <c r="E176" i="8"/>
  <c r="D176" i="8"/>
  <c r="C176" i="8"/>
  <c r="E164" i="8"/>
  <c r="D164" i="8"/>
  <c r="D160" i="8"/>
  <c r="D166" i="8"/>
  <c r="C164" i="8"/>
  <c r="E162" i="8"/>
  <c r="D162" i="8"/>
  <c r="C162" i="8"/>
  <c r="E161" i="8"/>
  <c r="D161" i="8"/>
  <c r="C161" i="8"/>
  <c r="C166" i="8"/>
  <c r="E160" i="8"/>
  <c r="E166" i="8"/>
  <c r="C160" i="8"/>
  <c r="E147" i="8"/>
  <c r="D147" i="8"/>
  <c r="D143" i="8"/>
  <c r="D149" i="8"/>
  <c r="D138" i="8"/>
  <c r="C147" i="8"/>
  <c r="C143" i="8"/>
  <c r="E145" i="8"/>
  <c r="D145" i="8"/>
  <c r="C145" i="8"/>
  <c r="E144" i="8"/>
  <c r="D144" i="8"/>
  <c r="C144" i="8"/>
  <c r="E143" i="8"/>
  <c r="E149" i="8"/>
  <c r="C149" i="8"/>
  <c r="C136" i="8"/>
  <c r="E126" i="8"/>
  <c r="D126" i="8"/>
  <c r="C126" i="8"/>
  <c r="E119" i="8"/>
  <c r="D119" i="8"/>
  <c r="C119" i="8"/>
  <c r="E108" i="8"/>
  <c r="D108" i="8"/>
  <c r="D109" i="8"/>
  <c r="D106" i="8"/>
  <c r="C108" i="8"/>
  <c r="E107" i="8"/>
  <c r="E109" i="8"/>
  <c r="E106" i="8"/>
  <c r="D107" i="8"/>
  <c r="C107" i="8"/>
  <c r="C109" i="8"/>
  <c r="C106" i="8"/>
  <c r="C104" i="8"/>
  <c r="E102" i="8"/>
  <c r="E104" i="8"/>
  <c r="D102" i="8"/>
  <c r="D104" i="8"/>
  <c r="C102" i="8"/>
  <c r="E100" i="8"/>
  <c r="D100" i="8"/>
  <c r="C100" i="8"/>
  <c r="E95" i="8"/>
  <c r="E94" i="8"/>
  <c r="D95" i="8"/>
  <c r="C95" i="8"/>
  <c r="C94" i="8"/>
  <c r="D94" i="8"/>
  <c r="E89" i="8"/>
  <c r="D89" i="8"/>
  <c r="C89" i="8"/>
  <c r="E88" i="8"/>
  <c r="E90" i="8"/>
  <c r="E86" i="8"/>
  <c r="E87" i="8"/>
  <c r="D87" i="8"/>
  <c r="C87" i="8"/>
  <c r="E84" i="8"/>
  <c r="E79" i="8"/>
  <c r="D84" i="8"/>
  <c r="C84" i="8"/>
  <c r="C79" i="8"/>
  <c r="E83" i="8"/>
  <c r="D83" i="8"/>
  <c r="C83" i="8"/>
  <c r="D79" i="8"/>
  <c r="E77" i="8"/>
  <c r="E71" i="8"/>
  <c r="E75" i="8"/>
  <c r="D75" i="8"/>
  <c r="D88" i="8"/>
  <c r="D90" i="8"/>
  <c r="D86" i="8"/>
  <c r="C75" i="8"/>
  <c r="E74" i="8"/>
  <c r="D74" i="8"/>
  <c r="C74" i="8"/>
  <c r="E67" i="8"/>
  <c r="D67" i="8"/>
  <c r="C67" i="8"/>
  <c r="D53" i="8"/>
  <c r="D43" i="8"/>
  <c r="E38" i="8"/>
  <c r="E57" i="8"/>
  <c r="E62" i="8"/>
  <c r="D38" i="8"/>
  <c r="D57" i="8"/>
  <c r="D62" i="8"/>
  <c r="C38" i="8"/>
  <c r="C57" i="8"/>
  <c r="C62" i="8"/>
  <c r="E33" i="8"/>
  <c r="E34" i="8"/>
  <c r="D33" i="8"/>
  <c r="D34" i="8"/>
  <c r="E26" i="8"/>
  <c r="D26" i="8"/>
  <c r="C26" i="8"/>
  <c r="E25" i="8"/>
  <c r="E27" i="8"/>
  <c r="C25" i="8"/>
  <c r="C27" i="8"/>
  <c r="E13" i="8"/>
  <c r="E15" i="8"/>
  <c r="E24" i="8"/>
  <c r="D13" i="8"/>
  <c r="D25" i="8"/>
  <c r="D27" i="8"/>
  <c r="D21" i="8"/>
  <c r="C13" i="8"/>
  <c r="C15" i="8"/>
  <c r="F186" i="7"/>
  <c r="E186" i="7"/>
  <c r="D183" i="7"/>
  <c r="C183" i="7"/>
  <c r="C188" i="7"/>
  <c r="F182" i="7"/>
  <c r="E182" i="7"/>
  <c r="F181" i="7"/>
  <c r="E181" i="7"/>
  <c r="F180" i="7"/>
  <c r="E180" i="7"/>
  <c r="E179" i="7"/>
  <c r="F179" i="7"/>
  <c r="F178" i="7"/>
  <c r="E178" i="7"/>
  <c r="F177" i="7"/>
  <c r="E177" i="7"/>
  <c r="F176" i="7"/>
  <c r="E176" i="7"/>
  <c r="F175" i="7"/>
  <c r="E175" i="7"/>
  <c r="F174" i="7"/>
  <c r="E174" i="7"/>
  <c r="F173" i="7"/>
  <c r="E173" i="7"/>
  <c r="F172" i="7"/>
  <c r="E172" i="7"/>
  <c r="E171" i="7"/>
  <c r="F171" i="7"/>
  <c r="E170" i="7"/>
  <c r="F170" i="7"/>
  <c r="D167" i="7"/>
  <c r="C167" i="7"/>
  <c r="F166" i="7"/>
  <c r="E166" i="7"/>
  <c r="F165" i="7"/>
  <c r="E165" i="7"/>
  <c r="E164" i="7"/>
  <c r="F164" i="7"/>
  <c r="F163" i="7"/>
  <c r="E163" i="7"/>
  <c r="F162" i="7"/>
  <c r="E162" i="7"/>
  <c r="F161" i="7"/>
  <c r="E161" i="7"/>
  <c r="E160" i="7"/>
  <c r="F160" i="7"/>
  <c r="F159" i="7"/>
  <c r="E159" i="7"/>
  <c r="F158" i="7"/>
  <c r="E158" i="7"/>
  <c r="E157" i="7"/>
  <c r="F157" i="7"/>
  <c r="E156" i="7"/>
  <c r="F156" i="7"/>
  <c r="F155" i="7"/>
  <c r="E155" i="7"/>
  <c r="F154" i="7"/>
  <c r="E154" i="7"/>
  <c r="F153" i="7"/>
  <c r="E153" i="7"/>
  <c r="F152" i="7"/>
  <c r="E152" i="7"/>
  <c r="F151" i="7"/>
  <c r="E151" i="7"/>
  <c r="F150" i="7"/>
  <c r="E150" i="7"/>
  <c r="F149" i="7"/>
  <c r="E149" i="7"/>
  <c r="E148" i="7"/>
  <c r="F148" i="7"/>
  <c r="F147" i="7"/>
  <c r="E147" i="7"/>
  <c r="F146" i="7"/>
  <c r="E146" i="7"/>
  <c r="E145" i="7"/>
  <c r="F145" i="7"/>
  <c r="E144" i="7"/>
  <c r="F144" i="7"/>
  <c r="F143" i="7"/>
  <c r="E143" i="7"/>
  <c r="F142" i="7"/>
  <c r="E142" i="7"/>
  <c r="E141" i="7"/>
  <c r="F141" i="7"/>
  <c r="E140" i="7"/>
  <c r="F140" i="7"/>
  <c r="F139" i="7"/>
  <c r="E139" i="7"/>
  <c r="F138" i="7"/>
  <c r="E138" i="7"/>
  <c r="E137" i="7"/>
  <c r="F137" i="7"/>
  <c r="E136" i="7"/>
  <c r="F136" i="7"/>
  <c r="F135" i="7"/>
  <c r="E135" i="7"/>
  <c r="F134" i="7"/>
  <c r="E134" i="7"/>
  <c r="E133" i="7"/>
  <c r="F133" i="7"/>
  <c r="D130" i="7"/>
  <c r="E130" i="7"/>
  <c r="F130" i="7"/>
  <c r="C130" i="7"/>
  <c r="F129" i="7"/>
  <c r="E129" i="7"/>
  <c r="E128" i="7"/>
  <c r="F128" i="7"/>
  <c r="E127" i="7"/>
  <c r="F127" i="7"/>
  <c r="F126" i="7"/>
  <c r="E126" i="7"/>
  <c r="F125" i="7"/>
  <c r="E125" i="7"/>
  <c r="E124" i="7"/>
  <c r="F124" i="7"/>
  <c r="D121" i="7"/>
  <c r="E121" i="7"/>
  <c r="F121" i="7"/>
  <c r="C121" i="7"/>
  <c r="E120" i="7"/>
  <c r="F120" i="7"/>
  <c r="F119" i="7"/>
  <c r="E119" i="7"/>
  <c r="F118" i="7"/>
  <c r="E118" i="7"/>
  <c r="F117" i="7"/>
  <c r="E117" i="7"/>
  <c r="E116" i="7"/>
  <c r="F116" i="7"/>
  <c r="F115" i="7"/>
  <c r="E115" i="7"/>
  <c r="E114" i="7"/>
  <c r="F114" i="7"/>
  <c r="F113" i="7"/>
  <c r="E113" i="7"/>
  <c r="E112" i="7"/>
  <c r="F112" i="7"/>
  <c r="F111" i="7"/>
  <c r="E111" i="7"/>
  <c r="F110" i="7"/>
  <c r="E110" i="7"/>
  <c r="F109" i="7"/>
  <c r="E109" i="7"/>
  <c r="E108" i="7"/>
  <c r="F108" i="7"/>
  <c r="F107" i="7"/>
  <c r="E107" i="7"/>
  <c r="E106" i="7"/>
  <c r="F106" i="7"/>
  <c r="F105" i="7"/>
  <c r="E105" i="7"/>
  <c r="E104" i="7"/>
  <c r="F104" i="7"/>
  <c r="F103" i="7"/>
  <c r="E103" i="7"/>
  <c r="F93" i="7"/>
  <c r="E93" i="7"/>
  <c r="D90" i="7"/>
  <c r="C90" i="7"/>
  <c r="F89" i="7"/>
  <c r="E89" i="7"/>
  <c r="F88" i="7"/>
  <c r="E88" i="7"/>
  <c r="E87" i="7"/>
  <c r="F87" i="7"/>
  <c r="F86" i="7"/>
  <c r="E86" i="7"/>
  <c r="F85" i="7"/>
  <c r="E85" i="7"/>
  <c r="E84" i="7"/>
  <c r="F84" i="7"/>
  <c r="E83" i="7"/>
  <c r="F83" i="7"/>
  <c r="E82" i="7"/>
  <c r="F82" i="7"/>
  <c r="E81" i="7"/>
  <c r="F81" i="7"/>
  <c r="F80" i="7"/>
  <c r="E80" i="7"/>
  <c r="F79" i="7"/>
  <c r="E79" i="7"/>
  <c r="F78" i="7"/>
  <c r="E78" i="7"/>
  <c r="F77" i="7"/>
  <c r="E77" i="7"/>
  <c r="F76" i="7"/>
  <c r="E76" i="7"/>
  <c r="E75" i="7"/>
  <c r="F75" i="7"/>
  <c r="E74" i="7"/>
  <c r="F74" i="7"/>
  <c r="F73" i="7"/>
  <c r="E73" i="7"/>
  <c r="F72" i="7"/>
  <c r="E72" i="7"/>
  <c r="E71" i="7"/>
  <c r="F71" i="7"/>
  <c r="F70" i="7"/>
  <c r="E70" i="7"/>
  <c r="F69" i="7"/>
  <c r="E69" i="7"/>
  <c r="E68" i="7"/>
  <c r="F68" i="7"/>
  <c r="E67" i="7"/>
  <c r="F67" i="7"/>
  <c r="E66" i="7"/>
  <c r="F66" i="7"/>
  <c r="F65" i="7"/>
  <c r="E65" i="7"/>
  <c r="F64" i="7"/>
  <c r="E64" i="7"/>
  <c r="E63" i="7"/>
  <c r="F63" i="7"/>
  <c r="F62" i="7"/>
  <c r="E62" i="7"/>
  <c r="D59" i="7"/>
  <c r="E59" i="7"/>
  <c r="F59" i="7"/>
  <c r="C59" i="7"/>
  <c r="E58" i="7"/>
  <c r="F58" i="7"/>
  <c r="F57" i="7"/>
  <c r="E57" i="7"/>
  <c r="E56" i="7"/>
  <c r="F56" i="7"/>
  <c r="F55" i="7"/>
  <c r="E55" i="7"/>
  <c r="E54" i="7"/>
  <c r="F54" i="7"/>
  <c r="E53" i="7"/>
  <c r="F53" i="7"/>
  <c r="F50" i="7"/>
  <c r="E50" i="7"/>
  <c r="E47" i="7"/>
  <c r="F47" i="7"/>
  <c r="F44" i="7"/>
  <c r="E44" i="7"/>
  <c r="D41" i="7"/>
  <c r="E41" i="7"/>
  <c r="F41" i="7"/>
  <c r="C41" i="7"/>
  <c r="E40" i="7"/>
  <c r="F40" i="7"/>
  <c r="E39" i="7"/>
  <c r="F39" i="7"/>
  <c r="F38" i="7"/>
  <c r="E38" i="7"/>
  <c r="D35" i="7"/>
  <c r="E35" i="7"/>
  <c r="C35" i="7"/>
  <c r="E34" i="7"/>
  <c r="F34" i="7"/>
  <c r="E33" i="7"/>
  <c r="F33" i="7"/>
  <c r="D30" i="7"/>
  <c r="E30" i="7"/>
  <c r="F30" i="7"/>
  <c r="C30" i="7"/>
  <c r="F29" i="7"/>
  <c r="E29" i="7"/>
  <c r="F28" i="7"/>
  <c r="E28" i="7"/>
  <c r="F27" i="7"/>
  <c r="E27" i="7"/>
  <c r="D24" i="7"/>
  <c r="E24" i="7"/>
  <c r="C24" i="7"/>
  <c r="F23" i="7"/>
  <c r="E23" i="7"/>
  <c r="F22" i="7"/>
  <c r="E22" i="7"/>
  <c r="F21" i="7"/>
  <c r="E21" i="7"/>
  <c r="D18" i="7"/>
  <c r="E18" i="7"/>
  <c r="F18" i="7"/>
  <c r="C18" i="7"/>
  <c r="F17" i="7"/>
  <c r="E17" i="7"/>
  <c r="F16" i="7"/>
  <c r="E16" i="7"/>
  <c r="E15" i="7"/>
  <c r="F15" i="7"/>
  <c r="D179" i="6"/>
  <c r="E179" i="6"/>
  <c r="C179" i="6"/>
  <c r="F178" i="6"/>
  <c r="E178" i="6"/>
  <c r="F177" i="6"/>
  <c r="E177" i="6"/>
  <c r="E176" i="6"/>
  <c r="F176" i="6"/>
  <c r="E175" i="6"/>
  <c r="F175" i="6"/>
  <c r="E174" i="6"/>
  <c r="F174" i="6"/>
  <c r="E173" i="6"/>
  <c r="F173" i="6"/>
  <c r="E172" i="6"/>
  <c r="F172" i="6"/>
  <c r="F171" i="6"/>
  <c r="E171" i="6"/>
  <c r="F170" i="6"/>
  <c r="E170" i="6"/>
  <c r="E169" i="6"/>
  <c r="F169" i="6"/>
  <c r="F168" i="6"/>
  <c r="E168" i="6"/>
  <c r="D166" i="6"/>
  <c r="E166" i="6"/>
  <c r="F166" i="6"/>
  <c r="C166" i="6"/>
  <c r="F165" i="6"/>
  <c r="E165" i="6"/>
  <c r="F164" i="6"/>
  <c r="E164" i="6"/>
  <c r="F163" i="6"/>
  <c r="E163" i="6"/>
  <c r="F162" i="6"/>
  <c r="E162" i="6"/>
  <c r="E161" i="6"/>
  <c r="F161" i="6"/>
  <c r="F160" i="6"/>
  <c r="E160" i="6"/>
  <c r="E159" i="6"/>
  <c r="F159" i="6"/>
  <c r="F158" i="6"/>
  <c r="E158" i="6"/>
  <c r="E157" i="6"/>
  <c r="F157" i="6"/>
  <c r="E156" i="6"/>
  <c r="F156" i="6"/>
  <c r="F155" i="6"/>
  <c r="E155" i="6"/>
  <c r="D153" i="6"/>
  <c r="C153" i="6"/>
  <c r="F152" i="6"/>
  <c r="E152" i="6"/>
  <c r="F151" i="6"/>
  <c r="E151" i="6"/>
  <c r="E150" i="6"/>
  <c r="F150" i="6"/>
  <c r="E149" i="6"/>
  <c r="F149" i="6"/>
  <c r="E148" i="6"/>
  <c r="F148" i="6"/>
  <c r="E147" i="6"/>
  <c r="F147" i="6"/>
  <c r="F146" i="6"/>
  <c r="E146" i="6"/>
  <c r="F145" i="6"/>
  <c r="E145" i="6"/>
  <c r="E144" i="6"/>
  <c r="F144" i="6"/>
  <c r="E143" i="6"/>
  <c r="F143" i="6"/>
  <c r="F142" i="6"/>
  <c r="E142" i="6"/>
  <c r="D137" i="6"/>
  <c r="E137" i="6"/>
  <c r="F137" i="6"/>
  <c r="C137" i="6"/>
  <c r="F136" i="6"/>
  <c r="E136" i="6"/>
  <c r="F135" i="6"/>
  <c r="E135" i="6"/>
  <c r="F134" i="6"/>
  <c r="E134" i="6"/>
  <c r="F133" i="6"/>
  <c r="E133" i="6"/>
  <c r="E132" i="6"/>
  <c r="F132" i="6"/>
  <c r="F131" i="6"/>
  <c r="E131" i="6"/>
  <c r="E130" i="6"/>
  <c r="F130" i="6"/>
  <c r="F129" i="6"/>
  <c r="E129" i="6"/>
  <c r="E128" i="6"/>
  <c r="F128" i="6"/>
  <c r="F127" i="6"/>
  <c r="E127" i="6"/>
  <c r="F126" i="6"/>
  <c r="E126" i="6"/>
  <c r="D124" i="6"/>
  <c r="E124" i="6"/>
  <c r="C124" i="6"/>
  <c r="F123" i="6"/>
  <c r="E123" i="6"/>
  <c r="F122" i="6"/>
  <c r="E122" i="6"/>
  <c r="F121" i="6"/>
  <c r="E121" i="6"/>
  <c r="E120" i="6"/>
  <c r="F120" i="6"/>
  <c r="F119" i="6"/>
  <c r="E119" i="6"/>
  <c r="E118" i="6"/>
  <c r="F118" i="6"/>
  <c r="F117" i="6"/>
  <c r="E117" i="6"/>
  <c r="F116" i="6"/>
  <c r="E116" i="6"/>
  <c r="F115" i="6"/>
  <c r="E115" i="6"/>
  <c r="E114" i="6"/>
  <c r="F114" i="6"/>
  <c r="F113" i="6"/>
  <c r="E113" i="6"/>
  <c r="D111" i="6"/>
  <c r="E111" i="6"/>
  <c r="F111" i="6"/>
  <c r="C111" i="6"/>
  <c r="F110" i="6"/>
  <c r="E110" i="6"/>
  <c r="F109" i="6"/>
  <c r="E109" i="6"/>
  <c r="E108" i="6"/>
  <c r="F108" i="6"/>
  <c r="F107" i="6"/>
  <c r="E107" i="6"/>
  <c r="F106" i="6"/>
  <c r="E106" i="6"/>
  <c r="E105" i="6"/>
  <c r="F105" i="6"/>
  <c r="E104" i="6"/>
  <c r="F104" i="6"/>
  <c r="F103" i="6"/>
  <c r="E103" i="6"/>
  <c r="E102" i="6"/>
  <c r="F102" i="6"/>
  <c r="E101" i="6"/>
  <c r="F101" i="6"/>
  <c r="E100" i="6"/>
  <c r="F100" i="6"/>
  <c r="D94" i="6"/>
  <c r="C94" i="6"/>
  <c r="D93" i="6"/>
  <c r="E93" i="6"/>
  <c r="C93" i="6"/>
  <c r="F93" i="6"/>
  <c r="D92" i="6"/>
  <c r="C92" i="6"/>
  <c r="D91" i="6"/>
  <c r="E91" i="6"/>
  <c r="C91" i="6"/>
  <c r="D90" i="6"/>
  <c r="C90" i="6"/>
  <c r="D89" i="6"/>
  <c r="C89" i="6"/>
  <c r="D88" i="6"/>
  <c r="E88" i="6"/>
  <c r="C88" i="6"/>
  <c r="F88" i="6"/>
  <c r="D87" i="6"/>
  <c r="E87" i="6"/>
  <c r="C87" i="6"/>
  <c r="F87" i="6"/>
  <c r="D86" i="6"/>
  <c r="C86" i="6"/>
  <c r="D85" i="6"/>
  <c r="E85" i="6"/>
  <c r="C85" i="6"/>
  <c r="D84" i="6"/>
  <c r="D95" i="6"/>
  <c r="C84" i="6"/>
  <c r="D81" i="6"/>
  <c r="E81" i="6"/>
  <c r="C81" i="6"/>
  <c r="F80" i="6"/>
  <c r="E80" i="6"/>
  <c r="F79" i="6"/>
  <c r="E79" i="6"/>
  <c r="E78" i="6"/>
  <c r="F78" i="6"/>
  <c r="E77" i="6"/>
  <c r="F77" i="6"/>
  <c r="F76" i="6"/>
  <c r="E76" i="6"/>
  <c r="E75" i="6"/>
  <c r="F75" i="6"/>
  <c r="F74" i="6"/>
  <c r="E74" i="6"/>
  <c r="F73" i="6"/>
  <c r="E73" i="6"/>
  <c r="F72" i="6"/>
  <c r="E72" i="6"/>
  <c r="E71" i="6"/>
  <c r="F71" i="6"/>
  <c r="E70" i="6"/>
  <c r="F70" i="6"/>
  <c r="D68" i="6"/>
  <c r="E68" i="6"/>
  <c r="F68" i="6"/>
  <c r="C68" i="6"/>
  <c r="F67" i="6"/>
  <c r="E67" i="6"/>
  <c r="F66" i="6"/>
  <c r="E66" i="6"/>
  <c r="E65" i="6"/>
  <c r="F65" i="6"/>
  <c r="F64" i="6"/>
  <c r="E64" i="6"/>
  <c r="E63" i="6"/>
  <c r="F63" i="6"/>
  <c r="E62" i="6"/>
  <c r="F62" i="6"/>
  <c r="E61" i="6"/>
  <c r="F61" i="6"/>
  <c r="F60" i="6"/>
  <c r="E60" i="6"/>
  <c r="F59" i="6"/>
  <c r="E59" i="6"/>
  <c r="F58" i="6"/>
  <c r="E58" i="6"/>
  <c r="E57" i="6"/>
  <c r="F57" i="6"/>
  <c r="D51" i="6"/>
  <c r="C51" i="6"/>
  <c r="F51" i="6"/>
  <c r="F50" i="6"/>
  <c r="D50" i="6"/>
  <c r="C50" i="6"/>
  <c r="D49" i="6"/>
  <c r="C49" i="6"/>
  <c r="D48" i="6"/>
  <c r="E48" i="6"/>
  <c r="C48" i="6"/>
  <c r="D47" i="6"/>
  <c r="C47" i="6"/>
  <c r="D46" i="6"/>
  <c r="C46" i="6"/>
  <c r="D45" i="6"/>
  <c r="E45" i="6"/>
  <c r="F45" i="6"/>
  <c r="C45" i="6"/>
  <c r="D44" i="6"/>
  <c r="C44" i="6"/>
  <c r="F44" i="6"/>
  <c r="D43" i="6"/>
  <c r="C43" i="6"/>
  <c r="C52" i="6"/>
  <c r="D42" i="6"/>
  <c r="E42" i="6"/>
  <c r="C42" i="6"/>
  <c r="D41" i="6"/>
  <c r="C41" i="6"/>
  <c r="D38" i="6"/>
  <c r="E38" i="6"/>
  <c r="F38" i="6"/>
  <c r="C38" i="6"/>
  <c r="F37" i="6"/>
  <c r="E37" i="6"/>
  <c r="F36" i="6"/>
  <c r="E36" i="6"/>
  <c r="F35" i="6"/>
  <c r="E35" i="6"/>
  <c r="F34" i="6"/>
  <c r="E34" i="6"/>
  <c r="E33" i="6"/>
  <c r="F33" i="6"/>
  <c r="E32" i="6"/>
  <c r="F32" i="6"/>
  <c r="F31" i="6"/>
  <c r="E31" i="6"/>
  <c r="F30" i="6"/>
  <c r="E30" i="6"/>
  <c r="E29" i="6"/>
  <c r="F29" i="6"/>
  <c r="F28" i="6"/>
  <c r="E28" i="6"/>
  <c r="F27" i="6"/>
  <c r="E27" i="6"/>
  <c r="D25" i="6"/>
  <c r="C25" i="6"/>
  <c r="F24" i="6"/>
  <c r="E24" i="6"/>
  <c r="F23" i="6"/>
  <c r="E23" i="6"/>
  <c r="F22" i="6"/>
  <c r="E22" i="6"/>
  <c r="E21" i="6"/>
  <c r="F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E51" i="5"/>
  <c r="F51" i="5"/>
  <c r="F48" i="5"/>
  <c r="D48" i="5"/>
  <c r="E48" i="5"/>
  <c r="C48" i="5"/>
  <c r="F47" i="5"/>
  <c r="E47" i="5"/>
  <c r="F46" i="5"/>
  <c r="E46" i="5"/>
  <c r="D41" i="5"/>
  <c r="E41" i="5"/>
  <c r="F41" i="5"/>
  <c r="C41" i="5"/>
  <c r="F40" i="5"/>
  <c r="E40" i="5"/>
  <c r="F39" i="5"/>
  <c r="E39" i="5"/>
  <c r="E38" i="5"/>
  <c r="F38" i="5"/>
  <c r="D33" i="5"/>
  <c r="E33" i="5"/>
  <c r="F33" i="5"/>
  <c r="C33" i="5"/>
  <c r="E32" i="5"/>
  <c r="F32" i="5"/>
  <c r="E31" i="5"/>
  <c r="F31" i="5"/>
  <c r="F30" i="5"/>
  <c r="E30" i="5"/>
  <c r="F29" i="5"/>
  <c r="E29" i="5"/>
  <c r="E28" i="5"/>
  <c r="F28" i="5"/>
  <c r="E27" i="5"/>
  <c r="F27" i="5"/>
  <c r="F26" i="5"/>
  <c r="E26" i="5"/>
  <c r="F25" i="5"/>
  <c r="E25" i="5"/>
  <c r="E24" i="5"/>
  <c r="F24" i="5"/>
  <c r="F20" i="5"/>
  <c r="E20" i="5"/>
  <c r="F19" i="5"/>
  <c r="E19" i="5"/>
  <c r="F17" i="5"/>
  <c r="E17" i="5"/>
  <c r="D16" i="5"/>
  <c r="D18" i="5"/>
  <c r="C16" i="5"/>
  <c r="C18" i="5"/>
  <c r="C21" i="5"/>
  <c r="F15" i="5"/>
  <c r="E15" i="5"/>
  <c r="F14" i="5"/>
  <c r="E14" i="5"/>
  <c r="E13" i="5"/>
  <c r="F13" i="5"/>
  <c r="E12" i="5"/>
  <c r="F12" i="5"/>
  <c r="D73" i="4"/>
  <c r="C73" i="4"/>
  <c r="E72" i="4"/>
  <c r="F72" i="4"/>
  <c r="F71" i="4"/>
  <c r="E71" i="4"/>
  <c r="F70" i="4"/>
  <c r="E70" i="4"/>
  <c r="F67" i="4"/>
  <c r="E67" i="4"/>
  <c r="E64" i="4"/>
  <c r="F64" i="4"/>
  <c r="E63" i="4"/>
  <c r="F63" i="4"/>
  <c r="D61" i="4"/>
  <c r="D65" i="4"/>
  <c r="C61" i="4"/>
  <c r="E60" i="4"/>
  <c r="F60" i="4"/>
  <c r="E59" i="4"/>
  <c r="F59" i="4"/>
  <c r="D56" i="4"/>
  <c r="C56" i="4"/>
  <c r="E55" i="4"/>
  <c r="F55" i="4"/>
  <c r="E54" i="4"/>
  <c r="F54" i="4"/>
  <c r="E53" i="4"/>
  <c r="F53" i="4"/>
  <c r="F52" i="4"/>
  <c r="E52" i="4"/>
  <c r="E51" i="4"/>
  <c r="F51" i="4"/>
  <c r="E50" i="4"/>
  <c r="F50" i="4"/>
  <c r="A50" i="4"/>
  <c r="A51" i="4"/>
  <c r="A52" i="4"/>
  <c r="A53" i="4"/>
  <c r="A54" i="4"/>
  <c r="A55" i="4"/>
  <c r="E49" i="4"/>
  <c r="F49" i="4"/>
  <c r="E40" i="4"/>
  <c r="F40" i="4"/>
  <c r="D38" i="4"/>
  <c r="C38" i="4"/>
  <c r="E37" i="4"/>
  <c r="F37" i="4"/>
  <c r="E36" i="4"/>
  <c r="F36" i="4"/>
  <c r="E33" i="4"/>
  <c r="F33" i="4"/>
  <c r="E32" i="4"/>
  <c r="F32" i="4"/>
  <c r="E31" i="4"/>
  <c r="F31" i="4"/>
  <c r="D29" i="4"/>
  <c r="C29" i="4"/>
  <c r="E28" i="4"/>
  <c r="F28" i="4"/>
  <c r="F27" i="4"/>
  <c r="E27" i="4"/>
  <c r="F26" i="4"/>
  <c r="E26" i="4"/>
  <c r="E25" i="4"/>
  <c r="F25" i="4"/>
  <c r="D22" i="4"/>
  <c r="C22" i="4"/>
  <c r="F21" i="4"/>
  <c r="E21" i="4"/>
  <c r="E20" i="4"/>
  <c r="F20" i="4"/>
  <c r="E19" i="4"/>
  <c r="F19" i="4"/>
  <c r="E18" i="4"/>
  <c r="F18" i="4"/>
  <c r="E17" i="4"/>
  <c r="F17" i="4"/>
  <c r="E16" i="4"/>
  <c r="F16" i="4"/>
  <c r="E15" i="4"/>
  <c r="F15" i="4"/>
  <c r="F14" i="4"/>
  <c r="E14" i="4"/>
  <c r="E13" i="4"/>
  <c r="F13" i="4"/>
  <c r="C109" i="22"/>
  <c r="C108" i="22"/>
  <c r="D108" i="22"/>
  <c r="D22" i="22"/>
  <c r="C23" i="22"/>
  <c r="E23" i="22"/>
  <c r="C34" i="22"/>
  <c r="E34" i="22"/>
  <c r="C102" i="22"/>
  <c r="C103" i="22"/>
  <c r="D111" i="22"/>
  <c r="C22" i="22"/>
  <c r="E22" i="22"/>
  <c r="D30" i="22"/>
  <c r="D36" i="22"/>
  <c r="D40" i="22"/>
  <c r="D46" i="22"/>
  <c r="E39" i="20"/>
  <c r="E43" i="20"/>
  <c r="D76" i="18"/>
  <c r="E54" i="18"/>
  <c r="E60" i="18"/>
  <c r="D65" i="18"/>
  <c r="E70" i="18"/>
  <c r="D71" i="18"/>
  <c r="C163" i="18"/>
  <c r="C175" i="18"/>
  <c r="E175" i="18"/>
  <c r="C144" i="18"/>
  <c r="E139" i="18"/>
  <c r="D22" i="18"/>
  <c r="D294" i="18"/>
  <c r="E294" i="18"/>
  <c r="C33" i="18"/>
  <c r="C295" i="18"/>
  <c r="E69" i="18"/>
  <c r="D168" i="18"/>
  <c r="D180" i="18"/>
  <c r="D145" i="18"/>
  <c r="D157" i="18"/>
  <c r="E157" i="18"/>
  <c r="E156" i="18"/>
  <c r="E151" i="18"/>
  <c r="E260" i="18"/>
  <c r="D211" i="18"/>
  <c r="D241" i="18"/>
  <c r="E243" i="18"/>
  <c r="D252" i="18"/>
  <c r="E252" i="18"/>
  <c r="E302" i="18"/>
  <c r="C306" i="18"/>
  <c r="C310" i="18"/>
  <c r="E310" i="18"/>
  <c r="C241" i="18"/>
  <c r="C252" i="18"/>
  <c r="D320" i="18"/>
  <c r="E320" i="18"/>
  <c r="E316" i="18"/>
  <c r="C189" i="18"/>
  <c r="E195" i="18"/>
  <c r="C210" i="18"/>
  <c r="E215" i="18"/>
  <c r="E217" i="18"/>
  <c r="E219" i="18"/>
  <c r="D222" i="18"/>
  <c r="D223" i="18"/>
  <c r="D229" i="18"/>
  <c r="D240" i="18"/>
  <c r="E240" i="18"/>
  <c r="D242" i="18"/>
  <c r="E242" i="18"/>
  <c r="D244" i="18"/>
  <c r="E244" i="18"/>
  <c r="E265" i="18"/>
  <c r="D303" i="18"/>
  <c r="E314" i="18"/>
  <c r="D326" i="18"/>
  <c r="D330" i="18"/>
  <c r="E330" i="18"/>
  <c r="E188" i="18"/>
  <c r="D189" i="18"/>
  <c r="E205" i="18"/>
  <c r="C222" i="18"/>
  <c r="E231" i="18"/>
  <c r="E251" i="18"/>
  <c r="D21" i="17"/>
  <c r="D31" i="17"/>
  <c r="D48" i="17"/>
  <c r="D60" i="17"/>
  <c r="D103" i="17"/>
  <c r="C160" i="17"/>
  <c r="E239" i="17"/>
  <c r="D68" i="17"/>
  <c r="D77" i="17"/>
  <c r="E77" i="17"/>
  <c r="E85" i="17"/>
  <c r="F85" i="17"/>
  <c r="E94" i="17"/>
  <c r="F94" i="17"/>
  <c r="E95" i="17"/>
  <c r="F95" i="17"/>
  <c r="E100" i="17"/>
  <c r="F100" i="17"/>
  <c r="E101" i="17"/>
  <c r="F101" i="17"/>
  <c r="C102" i="17"/>
  <c r="E109" i="17"/>
  <c r="F109" i="17"/>
  <c r="C111" i="17"/>
  <c r="E120" i="17"/>
  <c r="F120" i="17"/>
  <c r="E129" i="17"/>
  <c r="F129" i="17"/>
  <c r="E135" i="17"/>
  <c r="F135" i="17"/>
  <c r="C137" i="17"/>
  <c r="C146" i="17"/>
  <c r="C173" i="17"/>
  <c r="F173" i="17"/>
  <c r="C181" i="17"/>
  <c r="F181" i="17"/>
  <c r="C277" i="17"/>
  <c r="E188" i="17"/>
  <c r="F188" i="17"/>
  <c r="C190" i="17"/>
  <c r="E190" i="17"/>
  <c r="F190" i="17"/>
  <c r="E191" i="17"/>
  <c r="F191" i="17"/>
  <c r="C283" i="17"/>
  <c r="E283" i="17"/>
  <c r="E203" i="17"/>
  <c r="F203" i="17"/>
  <c r="C205" i="17"/>
  <c r="C206" i="17"/>
  <c r="E206" i="17"/>
  <c r="C214" i="17"/>
  <c r="F227" i="17"/>
  <c r="E230" i="17"/>
  <c r="F230" i="17"/>
  <c r="E238" i="17"/>
  <c r="F238" i="17"/>
  <c r="C254" i="17"/>
  <c r="C261" i="17"/>
  <c r="C267" i="17"/>
  <c r="E307" i="17"/>
  <c r="F307" i="17"/>
  <c r="C282" i="17"/>
  <c r="C304" i="17"/>
  <c r="C37" i="17"/>
  <c r="D124" i="17"/>
  <c r="E171" i="17"/>
  <c r="E172" i="17"/>
  <c r="E180" i="17"/>
  <c r="D287" i="17"/>
  <c r="D284" i="17"/>
  <c r="D279" i="17"/>
  <c r="C278" i="17"/>
  <c r="C290" i="17"/>
  <c r="E290" i="17"/>
  <c r="C274" i="17"/>
  <c r="E198" i="17"/>
  <c r="F198" i="17"/>
  <c r="C285" i="17"/>
  <c r="C269" i="17"/>
  <c r="E204" i="17"/>
  <c r="F204" i="17"/>
  <c r="E226" i="17"/>
  <c r="F226" i="17"/>
  <c r="E229" i="17"/>
  <c r="F229" i="17"/>
  <c r="E237" i="17"/>
  <c r="F237" i="17"/>
  <c r="C239" i="17"/>
  <c r="C306" i="17"/>
  <c r="D190" i="17"/>
  <c r="D199" i="17"/>
  <c r="D200" i="17"/>
  <c r="D206" i="17"/>
  <c r="D214" i="17"/>
  <c r="D215" i="17"/>
  <c r="D261" i="17"/>
  <c r="D271" i="17"/>
  <c r="D304" i="17"/>
  <c r="D262" i="17"/>
  <c r="D264" i="17"/>
  <c r="D267" i="17"/>
  <c r="D274" i="17"/>
  <c r="E311" i="17"/>
  <c r="E13" i="16"/>
  <c r="F13" i="16"/>
  <c r="E17" i="16"/>
  <c r="F17" i="16"/>
  <c r="E21" i="16"/>
  <c r="F21" i="16"/>
  <c r="H17" i="14"/>
  <c r="D33" i="14"/>
  <c r="D36" i="14"/>
  <c r="D38" i="14"/>
  <c r="D40" i="14"/>
  <c r="F33" i="14"/>
  <c r="C21" i="13"/>
  <c r="D15" i="13"/>
  <c r="D48" i="13"/>
  <c r="D42" i="13"/>
  <c r="C15" i="13"/>
  <c r="E15" i="13"/>
  <c r="C48" i="13"/>
  <c r="C42" i="13"/>
  <c r="E48" i="13"/>
  <c r="E42" i="13"/>
  <c r="D17" i="12"/>
  <c r="F41" i="11"/>
  <c r="E22" i="11"/>
  <c r="F22" i="11"/>
  <c r="E56" i="11"/>
  <c r="F56" i="11"/>
  <c r="D121" i="10"/>
  <c r="D122" i="10"/>
  <c r="E122" i="10"/>
  <c r="E199" i="9"/>
  <c r="F199" i="9"/>
  <c r="E157" i="8"/>
  <c r="E153" i="8"/>
  <c r="E154" i="8"/>
  <c r="E138" i="8"/>
  <c r="E136" i="8"/>
  <c r="E139" i="8"/>
  <c r="D15" i="8"/>
  <c r="E17" i="8"/>
  <c r="C43" i="8"/>
  <c r="E43" i="8"/>
  <c r="D49" i="8"/>
  <c r="C53" i="8"/>
  <c r="E53" i="8"/>
  <c r="D77" i="8"/>
  <c r="D71" i="8"/>
  <c r="C49" i="8"/>
  <c r="E49" i="8"/>
  <c r="E90" i="7"/>
  <c r="F90" i="7"/>
  <c r="E183" i="7"/>
  <c r="F183" i="7"/>
  <c r="E84" i="6"/>
  <c r="F84" i="6"/>
  <c r="D21" i="5"/>
  <c r="E18" i="5"/>
  <c r="F18" i="5"/>
  <c r="E16" i="5"/>
  <c r="F16" i="5"/>
  <c r="F29" i="4"/>
  <c r="E29" i="4"/>
  <c r="E61" i="4"/>
  <c r="C65" i="4"/>
  <c r="E53" i="22"/>
  <c r="E45" i="22"/>
  <c r="E39" i="22"/>
  <c r="E35" i="22"/>
  <c r="E29" i="22"/>
  <c r="C111" i="22"/>
  <c r="C54" i="22"/>
  <c r="C46" i="22"/>
  <c r="C40" i="22"/>
  <c r="C36" i="22"/>
  <c r="C30" i="22"/>
  <c r="C53" i="22"/>
  <c r="C45" i="22"/>
  <c r="C39" i="22"/>
  <c r="C35" i="22"/>
  <c r="C29" i="22"/>
  <c r="C110" i="22"/>
  <c r="E54" i="22"/>
  <c r="E46" i="22"/>
  <c r="E40" i="22"/>
  <c r="E36" i="22"/>
  <c r="E30" i="22"/>
  <c r="D110" i="22"/>
  <c r="D53" i="22"/>
  <c r="D45" i="22"/>
  <c r="D39" i="22"/>
  <c r="D35" i="22"/>
  <c r="D29" i="22"/>
  <c r="D55" i="22"/>
  <c r="F39" i="20"/>
  <c r="F43" i="20"/>
  <c r="E46" i="20"/>
  <c r="C211" i="18"/>
  <c r="C235" i="18"/>
  <c r="C234" i="18"/>
  <c r="E241" i="18"/>
  <c r="E210" i="18"/>
  <c r="D181" i="18"/>
  <c r="D169" i="18"/>
  <c r="E22" i="18"/>
  <c r="E189" i="18"/>
  <c r="E326" i="18"/>
  <c r="E303" i="18"/>
  <c r="D306" i="18"/>
  <c r="D253" i="18"/>
  <c r="D246" i="18"/>
  <c r="E211" i="18"/>
  <c r="D66" i="18"/>
  <c r="E65" i="18"/>
  <c r="D268" i="17"/>
  <c r="F206" i="17"/>
  <c r="C103" i="17"/>
  <c r="E103" i="17"/>
  <c r="E21" i="17"/>
  <c r="D254" i="17"/>
  <c r="E214" i="17"/>
  <c r="F214" i="17"/>
  <c r="F239" i="17"/>
  <c r="F290" i="17"/>
  <c r="C161" i="17"/>
  <c r="C270" i="17"/>
  <c r="C286" i="17"/>
  <c r="F283" i="17"/>
  <c r="C284" i="17"/>
  <c r="C207" i="17"/>
  <c r="C138" i="17"/>
  <c r="E173" i="17"/>
  <c r="E102" i="17"/>
  <c r="F102" i="17"/>
  <c r="D125" i="17"/>
  <c r="E48" i="17"/>
  <c r="F48" i="17"/>
  <c r="D32" i="17"/>
  <c r="F36" i="14"/>
  <c r="F38" i="14"/>
  <c r="F40" i="14"/>
  <c r="H33" i="14"/>
  <c r="H36" i="14"/>
  <c r="H38" i="14"/>
  <c r="H40" i="14"/>
  <c r="C24" i="13"/>
  <c r="C20" i="13"/>
  <c r="C17" i="13"/>
  <c r="C28" i="13"/>
  <c r="D20" i="12"/>
  <c r="D34" i="12"/>
  <c r="D42" i="12"/>
  <c r="F21" i="5"/>
  <c r="C35" i="5"/>
  <c r="D35" i="5"/>
  <c r="E21" i="5"/>
  <c r="D112" i="22"/>
  <c r="E56" i="22"/>
  <c r="E48" i="22"/>
  <c r="E38" i="22"/>
  <c r="C113" i="22"/>
  <c r="C56" i="22"/>
  <c r="E55" i="22"/>
  <c r="E47" i="22"/>
  <c r="E37" i="22"/>
  <c r="E66" i="18"/>
  <c r="E306" i="18"/>
  <c r="D310" i="18"/>
  <c r="D247" i="18"/>
  <c r="D175" i="17"/>
  <c r="D105" i="17"/>
  <c r="C208" i="17"/>
  <c r="E254" i="17"/>
  <c r="F254" i="17"/>
  <c r="F103" i="17"/>
  <c r="D43" i="5"/>
  <c r="E35" i="5"/>
  <c r="F35" i="5"/>
  <c r="C43" i="5"/>
  <c r="E43" i="5"/>
  <c r="D176" i="17"/>
  <c r="D50" i="5"/>
  <c r="F94" i="6"/>
  <c r="E94" i="6"/>
  <c r="C155" i="8"/>
  <c r="C156" i="8"/>
  <c r="C154" i="8"/>
  <c r="C152" i="8"/>
  <c r="C158" i="8"/>
  <c r="C157" i="8"/>
  <c r="C153" i="8"/>
  <c r="F32" i="12"/>
  <c r="F284" i="17"/>
  <c r="E284" i="17"/>
  <c r="C48" i="22"/>
  <c r="C38" i="22"/>
  <c r="E304" i="17"/>
  <c r="F304" i="17"/>
  <c r="D61" i="17"/>
  <c r="D75" i="4"/>
  <c r="E56" i="4"/>
  <c r="F56" i="4"/>
  <c r="D153" i="8"/>
  <c r="D152" i="8"/>
  <c r="D157" i="8"/>
  <c r="D155" i="8"/>
  <c r="D156" i="8"/>
  <c r="D154" i="8"/>
  <c r="E24" i="13"/>
  <c r="E20" i="13"/>
  <c r="E17" i="13"/>
  <c r="E28" i="13"/>
  <c r="D49" i="12"/>
  <c r="E274" i="17"/>
  <c r="F274" i="17"/>
  <c r="E223" i="17"/>
  <c r="F223" i="17"/>
  <c r="E294" i="17"/>
  <c r="F294" i="17"/>
  <c r="F145" i="17"/>
  <c r="F188" i="7"/>
  <c r="E253" i="18"/>
  <c r="C55" i="22"/>
  <c r="C47" i="22"/>
  <c r="C112" i="22"/>
  <c r="C37" i="22"/>
  <c r="E112" i="8"/>
  <c r="E111" i="8"/>
  <c r="E28" i="8"/>
  <c r="E99" i="8"/>
  <c r="E101" i="8"/>
  <c r="E98" i="8"/>
  <c r="D106" i="17"/>
  <c r="C245" i="18"/>
  <c r="C253" i="18"/>
  <c r="C254" i="18"/>
  <c r="E221" i="18"/>
  <c r="D300" i="17"/>
  <c r="C246" i="18"/>
  <c r="E246" i="18"/>
  <c r="E222" i="18"/>
  <c r="C223" i="18"/>
  <c r="D192" i="17"/>
  <c r="D159" i="17"/>
  <c r="E158" i="17"/>
  <c r="E165" i="17"/>
  <c r="D188" i="7"/>
  <c r="E188" i="7"/>
  <c r="E167" i="7"/>
  <c r="F167" i="7"/>
  <c r="E17" i="12"/>
  <c r="C20" i="12"/>
  <c r="F17" i="12"/>
  <c r="D77" i="18"/>
  <c r="F43" i="5"/>
  <c r="C50" i="5"/>
  <c r="C22" i="13"/>
  <c r="C70" i="13"/>
  <c r="C72" i="13"/>
  <c r="C69" i="13"/>
  <c r="E262" i="17"/>
  <c r="C41" i="4"/>
  <c r="C88" i="8"/>
  <c r="C90" i="8"/>
  <c r="C86" i="8"/>
  <c r="C77" i="8"/>
  <c r="C71" i="8"/>
  <c r="E95" i="6"/>
  <c r="E135" i="8"/>
  <c r="E137" i="8"/>
  <c r="E92" i="15"/>
  <c r="F92" i="15"/>
  <c r="D90" i="17"/>
  <c r="E123" i="17"/>
  <c r="C124" i="17"/>
  <c r="C126" i="17"/>
  <c r="F123" i="17"/>
  <c r="C192" i="17"/>
  <c r="C75" i="4"/>
  <c r="C140" i="8"/>
  <c r="E46" i="6"/>
  <c r="E36" i="17"/>
  <c r="F36" i="17"/>
  <c r="D37" i="17"/>
  <c r="E37" i="17"/>
  <c r="F37" i="17"/>
  <c r="C21" i="8"/>
  <c r="C268" i="17"/>
  <c r="E268" i="17"/>
  <c r="E267" i="17"/>
  <c r="F267" i="17"/>
  <c r="F61" i="4"/>
  <c r="E43" i="6"/>
  <c r="G33" i="14"/>
  <c r="G31" i="14"/>
  <c r="I31" i="14"/>
  <c r="E38" i="18"/>
  <c r="D37" i="22"/>
  <c r="D216" i="17"/>
  <c r="D255" i="17"/>
  <c r="D136" i="8"/>
  <c r="E145" i="17"/>
  <c r="C287" i="17"/>
  <c r="E277" i="17"/>
  <c r="F277" i="17"/>
  <c r="C279" i="17"/>
  <c r="E20" i="17"/>
  <c r="F20" i="17"/>
  <c r="E65" i="4"/>
  <c r="F65" i="4"/>
  <c r="F89" i="6"/>
  <c r="E92" i="6"/>
  <c r="F92" i="6"/>
  <c r="F24" i="7"/>
  <c r="C24" i="8"/>
  <c r="C20" i="8"/>
  <c r="C17" i="8"/>
  <c r="D207" i="9"/>
  <c r="E198" i="9"/>
  <c r="F198" i="9"/>
  <c r="E37" i="15"/>
  <c r="F179" i="17"/>
  <c r="E179" i="17"/>
  <c r="E278" i="17"/>
  <c r="F278" i="17"/>
  <c r="D288" i="17"/>
  <c r="D285" i="17"/>
  <c r="D269" i="17"/>
  <c r="D205" i="17"/>
  <c r="E205" i="17"/>
  <c r="F205" i="17"/>
  <c r="D33" i="18"/>
  <c r="F49" i="6"/>
  <c r="E155" i="17"/>
  <c r="D65" i="11"/>
  <c r="E65" i="11"/>
  <c r="F65" i="11"/>
  <c r="E61" i="11"/>
  <c r="F61" i="11"/>
  <c r="C49" i="17"/>
  <c r="F21" i="17"/>
  <c r="E140" i="8"/>
  <c r="C266" i="17"/>
  <c r="F153" i="6"/>
  <c r="E153" i="6"/>
  <c r="E45" i="15"/>
  <c r="C37" i="19"/>
  <c r="C38" i="19"/>
  <c r="C127" i="19"/>
  <c r="C129" i="19"/>
  <c r="C133" i="19"/>
  <c r="C22" i="19"/>
  <c r="F22" i="20"/>
  <c r="E144" i="17"/>
  <c r="F144" i="17"/>
  <c r="D48" i="22"/>
  <c r="D56" i="22"/>
  <c r="C162" i="17"/>
  <c r="D254" i="18"/>
  <c r="D47" i="22"/>
  <c r="E261" i="17"/>
  <c r="F261" i="17"/>
  <c r="D113" i="22"/>
  <c r="I17" i="14"/>
  <c r="C168" i="18"/>
  <c r="E168" i="18"/>
  <c r="C180" i="18"/>
  <c r="E180" i="18"/>
  <c r="E144" i="18"/>
  <c r="C145" i="18"/>
  <c r="F22" i="4"/>
  <c r="E22" i="4"/>
  <c r="F48" i="6"/>
  <c r="E89" i="6"/>
  <c r="F24" i="10"/>
  <c r="E24" i="10"/>
  <c r="D43" i="11"/>
  <c r="E43" i="11"/>
  <c r="F43" i="11"/>
  <c r="E181" i="17"/>
  <c r="C200" i="17"/>
  <c r="C264" i="17"/>
  <c r="C280" i="17"/>
  <c r="C95" i="6"/>
  <c r="C138" i="8"/>
  <c r="C139" i="8"/>
  <c r="C137" i="8"/>
  <c r="C135" i="8"/>
  <c r="C141" i="8"/>
  <c r="C89" i="17"/>
  <c r="E88" i="17"/>
  <c r="F88" i="17"/>
  <c r="C194" i="17"/>
  <c r="E288" i="18"/>
  <c r="E103" i="22"/>
  <c r="D24" i="8"/>
  <c r="D20" i="8"/>
  <c r="D17" i="8"/>
  <c r="F146" i="17"/>
  <c r="F46" i="6"/>
  <c r="E21" i="8"/>
  <c r="E20" i="8"/>
  <c r="F121" i="10"/>
  <c r="E121" i="10"/>
  <c r="F46" i="20"/>
  <c r="D126" i="17"/>
  <c r="D91" i="17"/>
  <c r="F43" i="6"/>
  <c r="D137" i="8"/>
  <c r="D139" i="8"/>
  <c r="D140" i="8"/>
  <c r="F29" i="17"/>
  <c r="E29" i="17"/>
  <c r="E67" i="17"/>
  <c r="F67" i="17"/>
  <c r="D52" i="6"/>
  <c r="E52" i="6"/>
  <c r="F52" i="6"/>
  <c r="D24" i="13"/>
  <c r="D20" i="13"/>
  <c r="D17" i="13"/>
  <c r="D28" i="13"/>
  <c r="D70" i="13"/>
  <c r="D72" i="13"/>
  <c r="D69" i="13"/>
  <c r="C60" i="17"/>
  <c r="E60" i="17"/>
  <c r="E59" i="17"/>
  <c r="F59" i="17"/>
  <c r="C271" i="17"/>
  <c r="C288" i="17"/>
  <c r="D49" i="17"/>
  <c r="D263" i="17"/>
  <c r="D38" i="22"/>
  <c r="D135" i="8"/>
  <c r="E38" i="11"/>
  <c r="F38" i="11"/>
  <c r="E40" i="20"/>
  <c r="E51" i="6"/>
  <c r="C95" i="7"/>
  <c r="E156" i="8"/>
  <c r="E152" i="8"/>
  <c r="E155" i="8"/>
  <c r="E88" i="9"/>
  <c r="E170" i="17"/>
  <c r="E280" i="17"/>
  <c r="D306" i="17"/>
  <c r="E306" i="17"/>
  <c r="E250" i="17"/>
  <c r="F250" i="17"/>
  <c r="E71" i="18"/>
  <c r="D41" i="4"/>
  <c r="E38" i="4"/>
  <c r="F38" i="4"/>
  <c r="F206" i="9"/>
  <c r="E32" i="12"/>
  <c r="F23" i="17"/>
  <c r="C31" i="17"/>
  <c r="F30" i="17"/>
  <c r="C90" i="17"/>
  <c r="E77" i="22"/>
  <c r="E102" i="22"/>
  <c r="E25" i="6"/>
  <c r="F25" i="6"/>
  <c r="E86" i="6"/>
  <c r="F86" i="6"/>
  <c r="F166" i="9"/>
  <c r="E108" i="10"/>
  <c r="E298" i="17"/>
  <c r="E37" i="18"/>
  <c r="D43" i="18"/>
  <c r="F179" i="6"/>
  <c r="F49" i="9"/>
  <c r="E193" i="9"/>
  <c r="F193" i="9"/>
  <c r="D137" i="17"/>
  <c r="E136" i="17"/>
  <c r="F136" i="17"/>
  <c r="C255" i="17"/>
  <c r="C215" i="17"/>
  <c r="C262" i="17"/>
  <c r="E189" i="17"/>
  <c r="F189" i="17"/>
  <c r="D283" i="18"/>
  <c r="E283" i="18"/>
  <c r="E21" i="18"/>
  <c r="E73" i="4"/>
  <c r="F73" i="4"/>
  <c r="E41" i="6"/>
  <c r="F41" i="6"/>
  <c r="E44" i="6"/>
  <c r="E49" i="6"/>
  <c r="F85" i="6"/>
  <c r="F24" i="9"/>
  <c r="E141" i="9"/>
  <c r="F141" i="9"/>
  <c r="E200" i="9"/>
  <c r="F200" i="9"/>
  <c r="D75" i="11"/>
  <c r="E75" i="11"/>
  <c r="E57" i="13"/>
  <c r="E23" i="17"/>
  <c r="E30" i="17"/>
  <c r="E245" i="18"/>
  <c r="E262" i="18"/>
  <c r="F42" i="6"/>
  <c r="E90" i="6"/>
  <c r="F90" i="6"/>
  <c r="F124" i="6"/>
  <c r="D55" i="18"/>
  <c r="D234" i="18"/>
  <c r="E234" i="18"/>
  <c r="C20" i="20"/>
  <c r="E19" i="20"/>
  <c r="F19" i="20"/>
  <c r="E47" i="6"/>
  <c r="F47" i="6"/>
  <c r="E50" i="6"/>
  <c r="F81" i="6"/>
  <c r="F91" i="6"/>
  <c r="F35" i="7"/>
  <c r="E76" i="9"/>
  <c r="F76" i="9"/>
  <c r="F101" i="9"/>
  <c r="E204" i="9"/>
  <c r="F204" i="9"/>
  <c r="F95" i="10"/>
  <c r="E40" i="12"/>
  <c r="F40" i="12"/>
  <c r="E216" i="18"/>
  <c r="E227" i="18"/>
  <c r="E232" i="18"/>
  <c r="C207" i="9"/>
  <c r="E35" i="10"/>
  <c r="F15" i="12"/>
  <c r="E55" i="15"/>
  <c r="E76" i="17"/>
  <c r="F76" i="17"/>
  <c r="C43" i="18"/>
  <c r="E40" i="18"/>
  <c r="E162" i="18"/>
  <c r="E230" i="18"/>
  <c r="E180" i="9"/>
  <c r="F202" i="9"/>
  <c r="E75" i="15"/>
  <c r="C199" i="17"/>
  <c r="E199" i="17"/>
  <c r="E165" i="18"/>
  <c r="E16" i="20"/>
  <c r="F16" i="20"/>
  <c r="D80" i="13"/>
  <c r="D77" i="13"/>
  <c r="E161" i="18"/>
  <c r="E228" i="18"/>
  <c r="E233" i="18"/>
  <c r="F29" i="11"/>
  <c r="E80" i="13"/>
  <c r="E77" i="13"/>
  <c r="D88" i="22"/>
  <c r="D95" i="7"/>
  <c r="E95" i="7"/>
  <c r="E114" i="9"/>
  <c r="F114" i="9"/>
  <c r="E24" i="17"/>
  <c r="F24" i="17"/>
  <c r="E58" i="17"/>
  <c r="F58" i="17"/>
  <c r="C68" i="17"/>
  <c r="D111" i="17"/>
  <c r="E111" i="17"/>
  <c r="F111" i="17"/>
  <c r="C283" i="18"/>
  <c r="C71" i="18"/>
  <c r="C76" i="18"/>
  <c r="C77" i="18"/>
  <c r="D163" i="18"/>
  <c r="E163" i="18"/>
  <c r="C65" i="19"/>
  <c r="C114" i="19"/>
  <c r="C116" i="19"/>
  <c r="C119" i="19"/>
  <c r="C123" i="19"/>
  <c r="D33" i="22"/>
  <c r="C75" i="11"/>
  <c r="F75" i="15"/>
  <c r="F53" i="17"/>
  <c r="C284" i="18"/>
  <c r="C93" i="22"/>
  <c r="C98" i="22"/>
  <c r="F25" i="20"/>
  <c r="C127" i="17"/>
  <c r="D104" i="17"/>
  <c r="D139" i="17"/>
  <c r="E61" i="17"/>
  <c r="D62" i="17"/>
  <c r="D174" i="17"/>
  <c r="D43" i="4"/>
  <c r="E41" i="4"/>
  <c r="C291" i="17"/>
  <c r="C289" i="17"/>
  <c r="E287" i="17"/>
  <c r="F287" i="17"/>
  <c r="E20" i="20"/>
  <c r="F20" i="20"/>
  <c r="D158" i="8"/>
  <c r="C32" i="17"/>
  <c r="E31" i="17"/>
  <c r="F31" i="17"/>
  <c r="E70" i="13"/>
  <c r="E72" i="13"/>
  <c r="E69" i="13"/>
  <c r="E22" i="13"/>
  <c r="F40" i="20"/>
  <c r="E41" i="20"/>
  <c r="F41" i="20"/>
  <c r="E22" i="8"/>
  <c r="D28" i="8"/>
  <c r="D112" i="8"/>
  <c r="D111" i="8"/>
  <c r="F89" i="17"/>
  <c r="C91" i="17"/>
  <c r="E91" i="17"/>
  <c r="E200" i="17"/>
  <c r="F200" i="17"/>
  <c r="D286" i="17"/>
  <c r="E286" i="17"/>
  <c r="F286" i="17"/>
  <c r="E285" i="17"/>
  <c r="F285" i="17"/>
  <c r="C112" i="8"/>
  <c r="C111" i="8"/>
  <c r="C28" i="8"/>
  <c r="E279" i="17"/>
  <c r="F279" i="17"/>
  <c r="D207" i="17"/>
  <c r="D138" i="17"/>
  <c r="E137" i="17"/>
  <c r="F137" i="17"/>
  <c r="E159" i="17"/>
  <c r="D160" i="17"/>
  <c r="E160" i="17"/>
  <c r="F160" i="17"/>
  <c r="D161" i="17"/>
  <c r="E158" i="8"/>
  <c r="D193" i="17"/>
  <c r="E192" i="17"/>
  <c r="F192" i="17"/>
  <c r="E55" i="18"/>
  <c r="D235" i="18"/>
  <c r="E235" i="18"/>
  <c r="D284" i="18"/>
  <c r="E284" i="18"/>
  <c r="E49" i="17"/>
  <c r="D50" i="17"/>
  <c r="D92" i="17"/>
  <c r="C195" i="17"/>
  <c r="F95" i="6"/>
  <c r="F162" i="17"/>
  <c r="E33" i="18"/>
  <c r="D295" i="18"/>
  <c r="E295" i="18"/>
  <c r="E90" i="17"/>
  <c r="F90" i="17"/>
  <c r="C247" i="18"/>
  <c r="E247" i="18"/>
  <c r="E223" i="18"/>
  <c r="E110" i="22"/>
  <c r="E109" i="22"/>
  <c r="E113" i="22"/>
  <c r="E108" i="22"/>
  <c r="E111" i="22"/>
  <c r="E112" i="22"/>
  <c r="E300" i="17"/>
  <c r="F75" i="11"/>
  <c r="D141" i="8"/>
  <c r="C181" i="18"/>
  <c r="E181" i="18"/>
  <c r="C169" i="18"/>
  <c r="E169" i="18"/>
  <c r="E145" i="18"/>
  <c r="F207" i="9"/>
  <c r="C34" i="12"/>
  <c r="E20" i="12"/>
  <c r="F20" i="12"/>
  <c r="C122" i="18"/>
  <c r="C110" i="18"/>
  <c r="C115" i="18"/>
  <c r="C126" i="18"/>
  <c r="C121" i="18"/>
  <c r="C114" i="18"/>
  <c r="C127" i="18"/>
  <c r="C123" i="18"/>
  <c r="C111" i="18"/>
  <c r="C109" i="18"/>
  <c r="C112" i="18"/>
  <c r="C124" i="18"/>
  <c r="C125" i="18"/>
  <c r="C113" i="18"/>
  <c r="C44" i="18"/>
  <c r="C259" i="18"/>
  <c r="C263" i="18"/>
  <c r="F262" i="17"/>
  <c r="C263" i="17"/>
  <c r="E263" i="17"/>
  <c r="C272" i="17"/>
  <c r="F95" i="7"/>
  <c r="E126" i="17"/>
  <c r="F126" i="17"/>
  <c r="D127" i="17"/>
  <c r="F280" i="17"/>
  <c r="C281" i="17"/>
  <c r="C50" i="17"/>
  <c r="F49" i="17"/>
  <c r="E89" i="17"/>
  <c r="D110" i="18"/>
  <c r="E77" i="18"/>
  <c r="D123" i="18"/>
  <c r="E123" i="18"/>
  <c r="D126" i="18"/>
  <c r="D124" i="18"/>
  <c r="D121" i="18"/>
  <c r="D122" i="18"/>
  <c r="D113" i="18"/>
  <c r="D111" i="18"/>
  <c r="E111" i="18"/>
  <c r="D114" i="18"/>
  <c r="E114" i="18"/>
  <c r="D127" i="18"/>
  <c r="E127" i="18"/>
  <c r="D112" i="18"/>
  <c r="E112" i="18"/>
  <c r="D109" i="18"/>
  <c r="D125" i="18"/>
  <c r="D115" i="18"/>
  <c r="E115" i="18"/>
  <c r="F68" i="17"/>
  <c r="E288" i="17"/>
  <c r="F288" i="17"/>
  <c r="D291" i="17"/>
  <c r="D289" i="17"/>
  <c r="E289" i="17"/>
  <c r="F268" i="17"/>
  <c r="C61" i="17"/>
  <c r="F60" i="17"/>
  <c r="E254" i="18"/>
  <c r="E141" i="8"/>
  <c r="D22" i="13"/>
  <c r="C125" i="17"/>
  <c r="F124" i="17"/>
  <c r="E124" i="17"/>
  <c r="E68" i="17"/>
  <c r="I33" i="14"/>
  <c r="I36" i="14"/>
  <c r="I38" i="14"/>
  <c r="I40" i="14"/>
  <c r="G36" i="14"/>
  <c r="G38" i="14"/>
  <c r="G40" i="14"/>
  <c r="E50" i="5"/>
  <c r="F50" i="5"/>
  <c r="F199" i="17"/>
  <c r="C216" i="17"/>
  <c r="E216" i="17"/>
  <c r="D44" i="18"/>
  <c r="E43" i="18"/>
  <c r="D259" i="18"/>
  <c r="C273" i="17"/>
  <c r="E271" i="17"/>
  <c r="F271" i="17"/>
  <c r="F264" i="17"/>
  <c r="C265" i="17"/>
  <c r="C300" i="17"/>
  <c r="E264" i="17"/>
  <c r="C196" i="17"/>
  <c r="E269" i="17"/>
  <c r="F269" i="17"/>
  <c r="D270" i="17"/>
  <c r="E270" i="17"/>
  <c r="F270" i="17"/>
  <c r="D272" i="17"/>
  <c r="E207" i="9"/>
  <c r="E255" i="17"/>
  <c r="F255" i="17"/>
  <c r="F41" i="4"/>
  <c r="C43" i="4"/>
  <c r="E76" i="18"/>
  <c r="E215" i="17"/>
  <c r="F215" i="17"/>
  <c r="E75" i="4"/>
  <c r="F75" i="4"/>
  <c r="E272" i="17"/>
  <c r="D273" i="17"/>
  <c r="E273" i="17"/>
  <c r="E125" i="17"/>
  <c r="F125" i="17"/>
  <c r="E127" i="17"/>
  <c r="F127" i="17"/>
  <c r="E110" i="18"/>
  <c r="D116" i="18"/>
  <c r="C42" i="12"/>
  <c r="E34" i="12"/>
  <c r="F34" i="12"/>
  <c r="E138" i="17"/>
  <c r="F138" i="17"/>
  <c r="D140" i="17"/>
  <c r="C99" i="8"/>
  <c r="C101" i="8"/>
  <c r="C98" i="8"/>
  <c r="C22" i="8"/>
  <c r="E259" i="18"/>
  <c r="D263" i="18"/>
  <c r="E263" i="18"/>
  <c r="E113" i="18"/>
  <c r="D113" i="17"/>
  <c r="D324" i="17"/>
  <c r="D22" i="8"/>
  <c r="D99" i="8"/>
  <c r="D101" i="8"/>
  <c r="D98" i="8"/>
  <c r="E126" i="18"/>
  <c r="D63" i="17"/>
  <c r="C88" i="18"/>
  <c r="C89" i="18"/>
  <c r="C95" i="18"/>
  <c r="C85" i="18"/>
  <c r="C86" i="18"/>
  <c r="C83" i="18"/>
  <c r="C98" i="18"/>
  <c r="C87" i="18"/>
  <c r="C101" i="18"/>
  <c r="C99" i="18"/>
  <c r="C100" i="18"/>
  <c r="C96" i="18"/>
  <c r="C102" i="18"/>
  <c r="C258" i="18"/>
  <c r="C97" i="18"/>
  <c r="C84" i="18"/>
  <c r="D305" i="17"/>
  <c r="E291" i="17"/>
  <c r="E139" i="17"/>
  <c r="C129" i="18"/>
  <c r="E104" i="17"/>
  <c r="E122" i="18"/>
  <c r="D128" i="18"/>
  <c r="F272" i="17"/>
  <c r="C175" i="17"/>
  <c r="F32" i="17"/>
  <c r="C105" i="17"/>
  <c r="C210" i="17"/>
  <c r="C62" i="17"/>
  <c r="C140" i="17"/>
  <c r="E32" i="17"/>
  <c r="F289" i="17"/>
  <c r="D282" i="17"/>
  <c r="D266" i="17"/>
  <c r="D194" i="17"/>
  <c r="E193" i="17"/>
  <c r="F193" i="17"/>
  <c r="D96" i="18"/>
  <c r="D97" i="18"/>
  <c r="D89" i="18"/>
  <c r="D95" i="18"/>
  <c r="D258" i="18"/>
  <c r="D87" i="18"/>
  <c r="E87" i="18"/>
  <c r="D100" i="18"/>
  <c r="E100" i="18"/>
  <c r="D99" i="18"/>
  <c r="E99" i="18"/>
  <c r="D101" i="18"/>
  <c r="E101" i="18"/>
  <c r="D88" i="18"/>
  <c r="E88" i="18"/>
  <c r="D83" i="18"/>
  <c r="D98" i="18"/>
  <c r="E98" i="18"/>
  <c r="D84" i="18"/>
  <c r="E44" i="18"/>
  <c r="D85" i="18"/>
  <c r="E85" i="18"/>
  <c r="D86" i="18"/>
  <c r="E86" i="18"/>
  <c r="F61" i="17"/>
  <c r="C139" i="17"/>
  <c r="C209" i="17"/>
  <c r="C174" i="17"/>
  <c r="C104" i="17"/>
  <c r="E125" i="18"/>
  <c r="E121" i="18"/>
  <c r="D129" i="18"/>
  <c r="E129" i="18"/>
  <c r="F263" i="17"/>
  <c r="C116" i="18"/>
  <c r="C117" i="18"/>
  <c r="C131" i="18"/>
  <c r="D70" i="17"/>
  <c r="E50" i="17"/>
  <c r="F50" i="17"/>
  <c r="E43" i="4"/>
  <c r="F43" i="4"/>
  <c r="C197" i="17"/>
  <c r="C92" i="17"/>
  <c r="F91" i="17"/>
  <c r="F273" i="17"/>
  <c r="D208" i="17"/>
  <c r="E207" i="17"/>
  <c r="F207" i="17"/>
  <c r="C305" i="17"/>
  <c r="F291" i="17"/>
  <c r="F300" i="17"/>
  <c r="F216" i="17"/>
  <c r="E109" i="18"/>
  <c r="D117" i="18"/>
  <c r="E124" i="18"/>
  <c r="C128" i="18"/>
  <c r="D162" i="17"/>
  <c r="E161" i="17"/>
  <c r="F161" i="17"/>
  <c r="E174" i="17"/>
  <c r="D210" i="17"/>
  <c r="E208" i="17"/>
  <c r="F208" i="17"/>
  <c r="D209" i="17"/>
  <c r="E209" i="17"/>
  <c r="D195" i="17"/>
  <c r="E195" i="17"/>
  <c r="F195" i="17"/>
  <c r="E194" i="17"/>
  <c r="F194" i="17"/>
  <c r="D196" i="17"/>
  <c r="C103" i="18"/>
  <c r="D102" i="18"/>
  <c r="E102" i="18"/>
  <c r="E96" i="18"/>
  <c r="C63" i="17"/>
  <c r="F62" i="17"/>
  <c r="C91" i="18"/>
  <c r="E116" i="18"/>
  <c r="E266" i="17"/>
  <c r="F266" i="17"/>
  <c r="D265" i="17"/>
  <c r="E265" i="17"/>
  <c r="F265" i="17"/>
  <c r="E84" i="18"/>
  <c r="D90" i="18"/>
  <c r="D323" i="17"/>
  <c r="D183" i="17"/>
  <c r="E162" i="17"/>
  <c r="F174" i="17"/>
  <c r="E95" i="18"/>
  <c r="D103" i="18"/>
  <c r="E92" i="17"/>
  <c r="F92" i="17"/>
  <c r="E282" i="17"/>
  <c r="F282" i="17"/>
  <c r="D281" i="17"/>
  <c r="E281" i="17"/>
  <c r="F281" i="17"/>
  <c r="D91" i="18"/>
  <c r="E83" i="18"/>
  <c r="E89" i="18"/>
  <c r="E128" i="18"/>
  <c r="D309" i="17"/>
  <c r="E305" i="17"/>
  <c r="E63" i="17"/>
  <c r="E117" i="18"/>
  <c r="D131" i="18"/>
  <c r="E131" i="18"/>
  <c r="C264" i="18"/>
  <c r="C266" i="18"/>
  <c r="C267" i="18"/>
  <c r="F105" i="17"/>
  <c r="C106" i="17"/>
  <c r="E105" i="17"/>
  <c r="D141" i="17"/>
  <c r="E140" i="17"/>
  <c r="F140" i="17"/>
  <c r="F104" i="17"/>
  <c r="E258" i="18"/>
  <c r="D264" i="18"/>
  <c r="F175" i="17"/>
  <c r="C176" i="17"/>
  <c r="E175" i="17"/>
  <c r="F209" i="17"/>
  <c r="F305" i="17"/>
  <c r="C309" i="17"/>
  <c r="F139" i="17"/>
  <c r="E97" i="18"/>
  <c r="C141" i="17"/>
  <c r="C90" i="18"/>
  <c r="E62" i="17"/>
  <c r="C49" i="12"/>
  <c r="E42" i="12"/>
  <c r="F42" i="12"/>
  <c r="E106" i="17"/>
  <c r="F106" i="17"/>
  <c r="C211" i="17"/>
  <c r="C322" i="17"/>
  <c r="C148" i="17"/>
  <c r="C113" i="17"/>
  <c r="D266" i="18"/>
  <c r="E264" i="18"/>
  <c r="D197" i="17"/>
  <c r="E197" i="17"/>
  <c r="F197" i="17"/>
  <c r="E196" i="17"/>
  <c r="F196" i="17"/>
  <c r="C105" i="18"/>
  <c r="D105" i="18"/>
  <c r="E105" i="18"/>
  <c r="E91" i="18"/>
  <c r="E90" i="18"/>
  <c r="F63" i="17"/>
  <c r="C70" i="17"/>
  <c r="E309" i="17"/>
  <c r="D310" i="17"/>
  <c r="F309" i="17"/>
  <c r="C310" i="17"/>
  <c r="E103" i="18"/>
  <c r="D322" i="17"/>
  <c r="E141" i="17"/>
  <c r="F141" i="17"/>
  <c r="D148" i="17"/>
  <c r="C324" i="17"/>
  <c r="E49" i="12"/>
  <c r="F49" i="12"/>
  <c r="C269" i="18"/>
  <c r="C268" i="18"/>
  <c r="C271" i="18"/>
  <c r="F176" i="17"/>
  <c r="E176" i="17"/>
  <c r="C323" i="17"/>
  <c r="F323" i="17"/>
  <c r="C183" i="17"/>
  <c r="F183" i="17"/>
  <c r="D211" i="17"/>
  <c r="E211" i="17"/>
  <c r="E210" i="17"/>
  <c r="F210" i="17"/>
  <c r="C312" i="17"/>
  <c r="F211" i="17"/>
  <c r="E183" i="17"/>
  <c r="D312" i="17"/>
  <c r="E310" i="17"/>
  <c r="F310" i="17"/>
  <c r="E323" i="17"/>
  <c r="F113" i="17"/>
  <c r="E113" i="17"/>
  <c r="F322" i="17"/>
  <c r="C325" i="17"/>
  <c r="E324" i="17"/>
  <c r="F324" i="17"/>
  <c r="E148" i="17"/>
  <c r="F148" i="17"/>
  <c r="E70" i="17"/>
  <c r="F70" i="17"/>
  <c r="E322" i="17"/>
  <c r="D325" i="17"/>
  <c r="E266" i="18"/>
  <c r="D267" i="18"/>
  <c r="E312" i="17"/>
  <c r="D313" i="17"/>
  <c r="C313" i="17"/>
  <c r="F312" i="17"/>
  <c r="E267" i="18"/>
  <c r="D268" i="18"/>
  <c r="D269" i="18"/>
  <c r="E269" i="18"/>
  <c r="F325" i="17"/>
  <c r="E325" i="17"/>
  <c r="D256" i="17"/>
  <c r="D315" i="17"/>
  <c r="E313" i="17"/>
  <c r="F313" i="17"/>
  <c r="D314" i="17"/>
  <c r="D251" i="17"/>
  <c r="E251" i="17"/>
  <c r="D271" i="18"/>
  <c r="E271" i="18"/>
  <c r="E268" i="18"/>
  <c r="C314" i="17"/>
  <c r="C251" i="17"/>
  <c r="C315" i="17"/>
  <c r="C256" i="17"/>
  <c r="C318" i="17"/>
  <c r="E314" i="17"/>
  <c r="F314" i="17"/>
  <c r="D318" i="17"/>
  <c r="E318" i="17"/>
  <c r="E315" i="17"/>
  <c r="F315" i="17"/>
  <c r="F256" i="17"/>
  <c r="C257" i="17"/>
  <c r="F251" i="17"/>
  <c r="D257" i="17"/>
  <c r="E256" i="17"/>
  <c r="F318" i="17"/>
  <c r="E257" i="17"/>
  <c r="F257" i="17"/>
</calcChain>
</file>

<file path=xl/sharedStrings.xml><?xml version="1.0" encoding="utf-8"?>
<sst xmlns="http://schemas.openxmlformats.org/spreadsheetml/2006/main" count="2333" uniqueCount="1009">
  <si>
    <t>ROCKVILLE GENERAL HOSPITAL</t>
  </si>
  <si>
    <t>TWELVE MONTHS ACTUAL FILING</t>
  </si>
  <si>
    <t>FISCAL YEAR 2015</t>
  </si>
  <si>
    <t>REPORT 100 - HOSPITAL BALANCE SHEET INFORMATION</t>
  </si>
  <si>
    <t>FY 2014</t>
  </si>
  <si>
    <t>FY 2015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</si>
  <si>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</si>
  <si>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</si>
  <si>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</si>
  <si>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</si>
  <si>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</si>
  <si>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</si>
  <si>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</si>
  <si>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</si>
  <si>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</si>
  <si>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</si>
  <si>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</si>
  <si>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</si>
  <si>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</si>
  <si>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</si>
  <si>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</si>
  <si>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</si>
  <si>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</si>
  <si>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</si>
  <si>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</si>
  <si>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</si>
  <si>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</si>
  <si>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</si>
  <si>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</si>
  <si>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</si>
  <si>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</si>
  <si>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</si>
  <si>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</si>
  <si>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</si>
  <si>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</si>
  <si>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</si>
  <si>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</si>
  <si>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</si>
  <si>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</si>
  <si>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</si>
  <si>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</si>
  <si>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</si>
  <si>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</si>
  <si>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</si>
  <si>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</si>
  <si>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</si>
  <si>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</si>
  <si>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</si>
  <si>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</si>
  <si>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</si>
  <si>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</si>
  <si>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</si>
  <si>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</si>
  <si>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</si>
  <si>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</si>
  <si>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</si>
  <si>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</si>
  <si>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</si>
  <si>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</si>
  <si>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</si>
  <si>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</si>
  <si>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</si>
  <si>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</si>
  <si>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</si>
  <si>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</si>
  <si>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</si>
  <si>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</si>
  <si>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</si>
  <si>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</si>
  <si>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</si>
  <si>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</si>
  <si>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</si>
  <si>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</si>
  <si>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</si>
  <si>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</si>
  <si>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</si>
  <si>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</si>
  <si>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</si>
  <si>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</si>
  <si>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</si>
  <si>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</si>
  <si>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</si>
  <si>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</si>
  <si>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</si>
  <si>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</si>
  <si>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</si>
  <si>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</si>
  <si>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</si>
  <si>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</si>
  <si>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</si>
  <si>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</si>
  <si>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</si>
  <si>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</si>
  <si>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</si>
  <si>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</si>
  <si>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</si>
  <si>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</si>
  <si>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</si>
  <si>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</si>
  <si>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</si>
  <si>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</si>
  <si>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</si>
  <si>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</si>
  <si>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</si>
  <si>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</si>
  <si>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</si>
  <si>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</si>
  <si>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2014                ACTUAL</t>
  </si>
  <si>
    <t>FY 2015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</si>
  <si>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</si>
  <si>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</si>
  <si>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</si>
  <si>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</si>
  <si>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</si>
  <si>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</si>
  <si>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</si>
  <si>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</si>
  <si>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</si>
  <si>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</si>
  <si>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</si>
  <si>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</si>
  <si>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</si>
  <si>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</si>
  <si>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</si>
  <si>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</si>
  <si>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</si>
  <si>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</si>
  <si>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</si>
  <si>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</si>
  <si>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</si>
  <si>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</si>
  <si>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</si>
  <si>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</si>
  <si>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</si>
  <si>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</si>
  <si>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</si>
  <si>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</si>
  <si>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</si>
  <si>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</si>
  <si>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</si>
  <si>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</si>
  <si>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</si>
  <si>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</si>
  <si>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</si>
  <si>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</si>
  <si>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</si>
  <si>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</si>
  <si>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</si>
  <si>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</si>
  <si>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</si>
  <si>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</si>
  <si>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</si>
  <si>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</si>
  <si>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</si>
  <si>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</si>
  <si>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</si>
  <si>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</si>
  <si>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</si>
  <si>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</si>
  <si>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</si>
  <si>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</si>
  <si>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</si>
  <si>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</si>
  <si>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</si>
  <si>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</si>
  <si>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</si>
  <si>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</si>
  <si>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</si>
  <si>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</si>
  <si>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</si>
  <si>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</si>
  <si>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</si>
  <si>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</si>
  <si>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</si>
  <si>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</si>
  <si>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</si>
  <si>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</si>
  <si>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</si>
  <si>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</si>
  <si>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</si>
  <si>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</si>
  <si>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</si>
  <si>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</si>
  <si>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</si>
  <si>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</si>
  <si>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</si>
  <si>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</si>
  <si>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</si>
  <si>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</si>
  <si>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</si>
  <si>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</si>
  <si>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</si>
  <si>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</si>
  <si>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</si>
  <si>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</si>
  <si>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</si>
  <si>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</si>
  <si>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</si>
  <si>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</si>
  <si>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</si>
  <si>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</si>
  <si>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</si>
  <si>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</si>
  <si>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</si>
  <si>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</si>
  <si>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</si>
  <si>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</si>
  <si>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</si>
  <si>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</si>
  <si>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</si>
  <si>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</si>
  <si>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</si>
  <si>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</si>
  <si>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</si>
  <si>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</si>
  <si>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</si>
  <si>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</si>
  <si>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</si>
  <si>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</si>
  <si>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</si>
  <si>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</si>
  <si>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</si>
  <si>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</si>
  <si>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</si>
  <si>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</si>
  <si>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</si>
  <si>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</si>
  <si>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</si>
  <si>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</si>
  <si>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</si>
  <si>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</si>
  <si>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</si>
  <si>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</si>
  <si>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</si>
  <si>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</si>
  <si>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</si>
  <si>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</si>
  <si>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</si>
  <si>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</si>
  <si>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</si>
  <si>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</si>
  <si>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</si>
  <si>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</si>
  <si>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</si>
  <si>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</si>
  <si>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</si>
  <si>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</si>
  <si>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</si>
  <si>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</si>
  <si>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</si>
  <si>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</si>
  <si>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</si>
  <si>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</si>
  <si>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</si>
  <si>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</si>
  <si>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</si>
  <si>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</si>
  <si>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</si>
  <si>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</si>
  <si>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</si>
  <si>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</si>
  <si>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</si>
  <si>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</si>
  <si>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</si>
  <si>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</si>
  <si>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</si>
  <si>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</si>
  <si>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</si>
  <si>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</si>
  <si>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</si>
  <si>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</si>
  <si>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</si>
  <si>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</si>
  <si>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</si>
  <si>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</si>
  <si>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</si>
  <si>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</si>
  <si>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</si>
  <si>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</si>
  <si>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</si>
  <si>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</si>
  <si>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</si>
  <si>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</si>
  <si>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</si>
  <si>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</si>
  <si>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</si>
  <si>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</si>
  <si>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</si>
  <si>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</si>
  <si>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</si>
  <si>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</si>
  <si>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</si>
  <si>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</si>
  <si>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</si>
  <si>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</si>
  <si>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</si>
  <si>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</si>
  <si>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</si>
  <si>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</si>
  <si>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</si>
  <si>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</si>
  <si>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</si>
  <si>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</si>
  <si>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</si>
  <si>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</si>
  <si>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</si>
  <si>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</si>
  <si>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</si>
  <si>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</si>
  <si>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</si>
  <si>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</si>
  <si>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</si>
  <si>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</si>
  <si>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</si>
  <si>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2015</t>
  </si>
  <si>
    <t>REPORT 185 - HOSPITAL FINANCIAL AND STATISTICAL DATA ANALYSIS</t>
  </si>
  <si>
    <t xml:space="preserve">      FY 2013</t>
  </si>
  <si>
    <t xml:space="preserve">      FY 2014</t>
  </si>
  <si>
    <t xml:space="preserve">      FY 2015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</si>
  <si>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</si>
  <si>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</si>
  <si>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</si>
  <si>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</si>
  <si>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</si>
  <si>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</si>
  <si>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</si>
  <si>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</si>
  <si>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</si>
  <si>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</si>
  <si>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</si>
  <si>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</si>
  <si>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</si>
  <si>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</si>
  <si>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</si>
  <si>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</si>
  <si>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</si>
  <si>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</si>
  <si>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</si>
  <si>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</si>
  <si>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</si>
  <si>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</si>
  <si>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</si>
  <si>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</si>
  <si>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</si>
  <si>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</si>
  <si>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</si>
  <si>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</si>
  <si>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</si>
  <si>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</si>
  <si>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</si>
  <si>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</si>
  <si>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</si>
  <si>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</si>
  <si>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</si>
  <si>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</si>
  <si>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</si>
  <si>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</si>
  <si>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</si>
  <si>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</si>
  <si>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</si>
  <si>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</si>
  <si>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</si>
  <si>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</si>
  <si>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</si>
  <si>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</si>
  <si>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</si>
  <si>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</si>
  <si>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</si>
  <si>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</si>
  <si>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</si>
  <si>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</si>
  <si>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</si>
  <si>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</si>
  <si>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</si>
  <si>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</si>
  <si>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</si>
  <si>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</si>
  <si>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</si>
  <si>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</si>
  <si>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</si>
  <si>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</si>
  <si>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</si>
  <si>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</si>
  <si>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</si>
  <si>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</si>
  <si>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</si>
  <si>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</si>
  <si>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</si>
  <si>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</si>
  <si>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</si>
  <si>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</si>
  <si>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</si>
  <si>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</si>
  <si>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</si>
  <si>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</si>
  <si>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</si>
  <si>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</si>
  <si>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</si>
  <si>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</si>
  <si>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</si>
  <si>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</si>
  <si>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</si>
  <si>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</si>
  <si>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</si>
  <si>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</si>
  <si>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</si>
  <si>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</si>
  <si>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</si>
  <si>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</si>
  <si>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</si>
  <si>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</si>
  <si>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</si>
  <si>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</si>
  <si>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</si>
  <si>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</si>
  <si>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</si>
  <si>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</si>
  <si>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</si>
  <si>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</si>
  <si>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</si>
  <si>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</si>
  <si>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</si>
  <si>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</si>
  <si>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</si>
  <si>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</si>
  <si>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</si>
  <si>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</si>
  <si>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</si>
  <si>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</si>
  <si>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</si>
  <si>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</si>
  <si>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</si>
  <si>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</si>
  <si>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</si>
  <si>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</si>
  <si>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</si>
  <si>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2014 ACTUAL</t>
  </si>
  <si>
    <t>FY 2015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</si>
  <si>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</si>
  <si>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</si>
  <si>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</si>
  <si>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</si>
  <si>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</si>
  <si>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</si>
  <si>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</si>
  <si>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</si>
  <si>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</si>
  <si>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</si>
  <si>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</si>
  <si>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</si>
  <si>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</si>
  <si>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</si>
  <si>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</si>
  <si>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</si>
  <si>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</si>
  <si>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</si>
  <si>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</si>
  <si>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</si>
  <si>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</si>
  <si>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</si>
  <si>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</si>
  <si>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</si>
  <si>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</si>
  <si>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</si>
  <si>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</si>
  <si>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</si>
  <si>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</si>
  <si>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</si>
  <si>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</si>
  <si>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</si>
  <si>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</si>
  <si>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</si>
  <si>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</si>
  <si>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</si>
  <si>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2014 ACTUAL     </t>
  </si>
  <si>
    <t xml:space="preserve">      FY 2015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</si>
  <si>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</si>
  <si>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</si>
  <si>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</si>
  <si>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</si>
  <si>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</si>
  <si>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</si>
  <si>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</si>
  <si>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</si>
  <si>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</si>
  <si>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</si>
  <si>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</si>
  <si>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</si>
  <si>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</si>
  <si>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</si>
  <si>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</si>
  <si>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</si>
  <si>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</si>
  <si>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</si>
  <si>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</si>
  <si>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</si>
  <si>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</si>
  <si>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</si>
  <si>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</si>
  <si>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</si>
  <si>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EASTERN CT HEALTH NETWORK , INC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</si>
  <si>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</si>
  <si>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</si>
  <si>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</si>
  <si>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</si>
  <si>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2013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</si>
  <si>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</si>
  <si>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</si>
  <si>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</si>
  <si>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</si>
  <si>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</si>
  <si>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</si>
  <si>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</si>
  <si>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</si>
  <si>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</si>
  <si>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</si>
  <si>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</si>
  <si>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</si>
  <si>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</si>
  <si>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</si>
  <si>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</si>
  <si>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</si>
  <si>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</si>
  <si>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</si>
  <si>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</si>
  <si>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</si>
  <si>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</si>
  <si>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</si>
  <si>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</si>
  <si>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</si>
  <si>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</si>
  <si>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</si>
  <si>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</si>
  <si>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</si>
  <si>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</si>
  <si>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</si>
  <si>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</si>
  <si>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</si>
  <si>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</si>
  <si>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</si>
  <si>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</si>
  <si>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</si>
  <si>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</si>
  <si>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</si>
  <si>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</si>
  <si>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</si>
  <si>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</si>
  <si>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</si>
  <si>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</si>
  <si>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</si>
  <si>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</si>
  <si>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</si>
  <si>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</si>
  <si>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</si>
  <si>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</si>
  <si>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</si>
  <si>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</si>
  <si>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</si>
  <si>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</si>
  <si>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</si>
  <si>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</si>
  <si>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</si>
  <si>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</si>
  <si>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</si>
  <si>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</si>
  <si>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</si>
  <si>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</si>
  <si>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</si>
  <si>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</si>
  <si>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</si>
  <si>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</si>
  <si>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</si>
  <si>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</si>
  <si>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</si>
  <si>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</si>
  <si>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</si>
  <si>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</si>
  <si>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</si>
  <si>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</si>
  <si>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</si>
  <si>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</si>
  <si>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</si>
  <si>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</si>
  <si>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</si>
  <si>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</si>
  <si>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</si>
  <si>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</si>
  <si>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</si>
  <si>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</si>
  <si>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</si>
  <si>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</si>
  <si>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</si>
  <si>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</si>
  <si>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</si>
  <si>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</si>
  <si>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</si>
  <si>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</si>
  <si>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</si>
  <si>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</si>
  <si>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</si>
  <si>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</si>
  <si>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</si>
  <si>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</si>
  <si>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</si>
  <si>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</si>
  <si>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</si>
  <si>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</si>
  <si>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</si>
  <si>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</si>
  <si>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</si>
  <si>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</si>
  <si>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</si>
  <si>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</si>
  <si>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</si>
  <si>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</si>
  <si>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</si>
  <si>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</si>
  <si>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</si>
  <si>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</si>
  <si>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</si>
  <si>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</si>
  <si>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Hospital Operating Room</t>
  </si>
  <si>
    <t>Total Outpatient Surgical Procedures(A)</t>
  </si>
  <si>
    <t>Total Outpatient Endoscopy Procedures(B)</t>
  </si>
  <si>
    <t>Outpatient Hospital Emergency Room Visits</t>
  </si>
  <si>
    <t>Hospital Emergency Room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</si>
  <si>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</si>
  <si>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</si>
  <si>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</si>
  <si>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</si>
  <si>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</si>
  <si>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</si>
  <si>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</si>
  <si>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</si>
  <si>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</si>
  <si>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</si>
  <si>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</si>
  <si>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</si>
  <si>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</si>
  <si>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</si>
  <si>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</si>
  <si>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</si>
  <si>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</si>
  <si>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</si>
  <si>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</si>
  <si>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</si>
  <si>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</si>
  <si>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</si>
  <si>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</si>
  <si>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</si>
  <si>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</si>
  <si>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</si>
  <si>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</si>
  <si>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</si>
  <si>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</si>
  <si>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</si>
  <si>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</si>
  <si>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</si>
  <si>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</si>
  <si>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</si>
  <si>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</si>
  <si>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</si>
  <si>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</si>
  <si>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</si>
  <si>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</si>
  <si>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</si>
  <si>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</si>
  <si>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</si>
  <si>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</si>
  <si>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</si>
  <si>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</si>
  <si>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</si>
  <si>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</si>
  <si>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</si>
  <si>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</si>
  <si>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</si>
  <si>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</si>
  <si>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</si>
  <si>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</si>
  <si>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</si>
  <si>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</si>
  <si>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</si>
  <si>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</si>
  <si>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</si>
  <si>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</si>
  <si>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</si>
  <si>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</si>
  <si>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</si>
  <si>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</si>
  <si>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</si>
  <si>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</si>
  <si>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</si>
  <si>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</si>
  <si>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</si>
  <si>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</si>
  <si>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</si>
  <si>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</si>
  <si>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</si>
  <si>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</si>
  <si>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</si>
  <si>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</si>
  <si>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</si>
  <si>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</si>
  <si>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</si>
  <si>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</si>
  <si>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</si>
  <si>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</si>
  <si>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</si>
  <si>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</si>
  <si>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</si>
  <si>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</si>
  <si>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</si>
  <si>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</si>
  <si>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</si>
  <si>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</si>
  <si>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</si>
  <si>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</si>
  <si>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</si>
  <si>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</si>
  <si>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</si>
  <si>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</si>
  <si>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</si>
  <si>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</si>
  <si>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</si>
  <si>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</si>
  <si>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</si>
  <si>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</si>
  <si>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</si>
  <si>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</si>
  <si>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</si>
  <si>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</si>
  <si>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</si>
  <si>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</si>
  <si>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</si>
  <si>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</si>
  <si>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</si>
  <si>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</si>
  <si>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</si>
  <si>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</si>
  <si>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</si>
  <si>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</si>
  <si>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</si>
  <si>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</si>
  <si>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</si>
  <si>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</si>
  <si>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</si>
  <si>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</si>
  <si>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</si>
  <si>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</si>
  <si>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</si>
  <si>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</si>
  <si>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</si>
  <si>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</si>
  <si>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</si>
  <si>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</si>
  <si>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</si>
  <si>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</si>
  <si>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</si>
  <si>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</si>
  <si>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</si>
  <si>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</si>
  <si>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</si>
  <si>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</si>
  <si>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</si>
  <si>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</si>
  <si>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</si>
  <si>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</si>
  <si>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</si>
  <si>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</si>
  <si>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</si>
  <si>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2015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</si>
  <si>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</si>
  <si>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</si>
  <si>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</si>
  <si>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</si>
  <si>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</si>
  <si>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</si>
  <si>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</si>
  <si>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</si>
  <si>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</si>
  <si>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</si>
  <si>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</si>
  <si>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</si>
  <si>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</si>
  <si>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</si>
  <si>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</si>
  <si>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</si>
  <si>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</si>
  <si>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</si>
  <si>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</si>
  <si>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</si>
  <si>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</si>
  <si>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</si>
  <si>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</si>
  <si>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</si>
  <si>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</si>
  <si>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</si>
  <si>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</si>
  <si>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</si>
  <si>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</si>
  <si>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</si>
  <si>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</si>
  <si>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</si>
  <si>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</si>
  <si>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</si>
  <si>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</si>
  <si>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</si>
  <si>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</si>
  <si>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</si>
  <si>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</si>
  <si>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</si>
  <si>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</si>
  <si>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</si>
  <si>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</si>
  <si>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</si>
  <si>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</si>
  <si>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</si>
  <si>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</si>
  <si>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</si>
  <si>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</si>
  <si>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</si>
  <si>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</si>
  <si>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</si>
  <si>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</si>
  <si>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</si>
  <si>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</si>
  <si>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</si>
  <si>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</si>
  <si>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</si>
  <si>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</si>
  <si>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</si>
  <si>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</si>
  <si>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</si>
  <si>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</si>
  <si>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</si>
  <si>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</si>
  <si>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</si>
  <si>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</si>
  <si>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</si>
  <si>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</si>
  <si>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</si>
  <si>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</si>
  <si>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</si>
  <si>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</si>
  <si>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</si>
  <si>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</si>
  <si>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</si>
  <si>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</si>
  <si>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</si>
  <si>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</si>
  <si>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</si>
  <si>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</si>
  <si>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</si>
  <si>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</si>
  <si>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</si>
  <si>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</si>
  <si>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</si>
  <si>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</si>
  <si>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</si>
  <si>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</si>
  <si>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</si>
  <si>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</si>
  <si>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</si>
  <si>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</si>
  <si>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</si>
  <si>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</si>
  <si>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</si>
  <si>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</si>
  <si>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</si>
  <si>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</si>
  <si>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</si>
  <si>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</si>
  <si>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2015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</si>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</sst>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2" xfId="6" applyBorder="1" applyAlignment="1"/>
    <xf numFmtId="0" fontId="2" fillId="0" borderId="32" xfId="6" applyFont="1" applyBorder="1" applyAlignment="1">
      <alignment horizontal="centerContinuous"/>
    </xf>
    <xf numFmtId="0" fontId="1" fillId="0" borderId="32" xfId="6" applyFont="1" applyBorder="1" applyAlignment="1">
      <alignment horizontal="centerContinuous"/>
    </xf>
    <xf numFmtId="0" fontId="1" fillId="0" borderId="32" xfId="6" applyFont="1" applyBorder="1" applyAlignment="1"/>
    <xf numFmtId="164" fontId="2" fillId="0" borderId="32" xfId="6" applyNumberFormat="1" applyFont="1" applyBorder="1" applyAlignment="1">
      <alignment horizontal="center"/>
    </xf>
    <xf numFmtId="0" fontId="1" fillId="0" borderId="32" xfId="6" applyFill="1" applyBorder="1" applyAlignment="1"/>
    <xf numFmtId="0" fontId="2" fillId="0" borderId="32" xfId="6" applyFont="1" applyFill="1" applyBorder="1" applyAlignment="1">
      <alignment horizontal="left"/>
    </xf>
    <xf numFmtId="0" fontId="2" fillId="0" borderId="32" xfId="6" applyFont="1" applyFill="1" applyBorder="1" applyAlignment="1">
      <alignment horizontal="centerContinuous"/>
    </xf>
    <xf numFmtId="164" fontId="3" fillId="0" borderId="32" xfId="6" applyNumberFormat="1" applyFont="1" applyBorder="1" applyAlignment="1">
      <alignment horizontal="center"/>
    </xf>
    <xf numFmtId="0" fontId="2" fillId="0" borderId="32" xfId="6" applyFont="1" applyFill="1" applyBorder="1" applyAlignment="1">
      <alignment horizontal="center"/>
    </xf>
    <xf numFmtId="0" fontId="1" fillId="0" borderId="32" xfId="6" applyFill="1" applyBorder="1" applyAlignment="1">
      <alignment horizontal="center"/>
    </xf>
    <xf numFmtId="0" fontId="4" fillId="0" borderId="32" xfId="6" applyFont="1" applyFill="1" applyBorder="1" applyAlignment="1">
      <alignment horizontal="center"/>
    </xf>
    <xf numFmtId="164" fontId="5" fillId="0" borderId="32" xfId="6" applyNumberFormat="1" applyFont="1" applyBorder="1" applyAlignment="1">
      <alignment horizontal="center" wrapText="1"/>
    </xf>
    <xf numFmtId="0" fontId="5" fillId="0" borderId="32" xfId="6" applyFont="1" applyFill="1" applyBorder="1" applyAlignment="1">
      <alignment horizontal="center"/>
    </xf>
    <xf numFmtId="0" fontId="4" fillId="0" borderId="32" xfId="6" applyFont="1" applyFill="1" applyBorder="1" applyAlignment="1">
      <alignment horizontal="left"/>
    </xf>
    <xf numFmtId="0" fontId="1" fillId="0" borderId="32" xfId="6" applyFont="1" applyFill="1" applyBorder="1" applyAlignment="1">
      <alignment horizontal="center"/>
    </xf>
    <xf numFmtId="0" fontId="1" fillId="0" borderId="32" xfId="6" applyFont="1" applyFill="1" applyBorder="1" applyAlignment="1"/>
    <xf numFmtId="0" fontId="1" fillId="0" borderId="32" xfId="6" applyFont="1" applyFill="1" applyBorder="1" applyAlignment="1">
      <alignment horizontal="center" wrapText="1"/>
    </xf>
    <xf numFmtId="0" fontId="3" fillId="0" borderId="32" xfId="6" applyFont="1" applyFill="1" applyBorder="1" applyAlignment="1">
      <alignment horizontal="center"/>
    </xf>
    <xf numFmtId="0" fontId="1" fillId="0" borderId="32" xfId="6" applyFont="1" applyBorder="1" applyAlignment="1">
      <alignment horizontal="center"/>
    </xf>
    <xf numFmtId="0" fontId="1" fillId="0" borderId="32" xfId="6" applyFont="1" applyBorder="1" applyAlignment="1">
      <alignment horizontal="left"/>
    </xf>
    <xf numFmtId="5" fontId="1" fillId="0" borderId="32" xfId="6" applyNumberFormat="1" applyFont="1" applyBorder="1" applyAlignment="1">
      <alignment horizontal="right"/>
    </xf>
    <xf numFmtId="9" fontId="1" fillId="0" borderId="32" xfId="6" applyNumberFormat="1" applyFont="1" applyBorder="1" applyAlignment="1">
      <alignment horizontal="right"/>
    </xf>
    <xf numFmtId="0" fontId="6" fillId="0" borderId="32" xfId="6" applyFont="1" applyBorder="1" applyAlignment="1">
      <alignment horizontal="center"/>
    </xf>
    <xf numFmtId="0" fontId="2" fillId="0" borderId="32" xfId="6" applyFont="1" applyBorder="1" applyAlignment="1">
      <alignment horizontal="left"/>
    </xf>
    <xf numFmtId="5" fontId="3" fillId="0" borderId="32" xfId="6" applyNumberFormat="1" applyFont="1" applyBorder="1" applyAlignment="1">
      <alignment horizontal="right"/>
    </xf>
    <xf numFmtId="9" fontId="3" fillId="0" borderId="32" xfId="6" applyNumberFormat="1" applyFont="1" applyBorder="1" applyAlignment="1">
      <alignment horizontal="right"/>
    </xf>
    <xf numFmtId="37" fontId="1" fillId="0" borderId="32" xfId="6" applyNumberFormat="1" applyFont="1" applyBorder="1" applyAlignment="1">
      <alignment horizontal="right"/>
    </xf>
    <xf numFmtId="0" fontId="3" fillId="0" borderId="32" xfId="6" applyFont="1" applyBorder="1" applyAlignment="1">
      <alignment horizontal="center"/>
    </xf>
    <xf numFmtId="0" fontId="5" fillId="0" borderId="32" xfId="6" applyFont="1" applyBorder="1" applyAlignment="1">
      <alignment horizontal="left"/>
    </xf>
    <xf numFmtId="37" fontId="1" fillId="0" borderId="32" xfId="6" applyNumberFormat="1" applyFont="1" applyBorder="1" applyAlignment="1"/>
    <xf numFmtId="0" fontId="1" fillId="0" borderId="32" xfId="6" applyBorder="1" applyAlignment="1">
      <alignment horizontal="left"/>
    </xf>
    <xf numFmtId="6" fontId="1" fillId="0" borderId="32" xfId="6" applyNumberFormat="1" applyBorder="1" applyAlignment="1">
      <alignment horizontal="right"/>
    </xf>
    <xf numFmtId="9" fontId="1" fillId="0" borderId="32" xfId="6" applyNumberFormat="1" applyBorder="1" applyAlignment="1">
      <alignment horizontal="right"/>
    </xf>
    <xf numFmtId="0" fontId="2" fillId="0" borderId="32" xfId="6" applyFont="1" applyBorder="1" applyAlignment="1">
      <alignment horizontal="center"/>
    </xf>
    <xf numFmtId="37" fontId="2" fillId="0" borderId="32" xfId="6" applyNumberFormat="1" applyFont="1" applyBorder="1" applyAlignment="1">
      <alignment horizontal="centerContinuous"/>
    </xf>
    <xf numFmtId="37" fontId="1" fillId="0" borderId="32" xfId="6" applyNumberFormat="1" applyFont="1" applyBorder="1" applyAlignment="1">
      <alignment horizontal="centerContinuous"/>
    </xf>
    <xf numFmtId="37" fontId="4" fillId="0" borderId="32" xfId="6" applyNumberFormat="1" applyFont="1" applyFill="1" applyBorder="1" applyAlignment="1">
      <alignment horizontal="center"/>
    </xf>
    <xf numFmtId="37" fontId="1" fillId="0" borderId="32" xfId="6" applyNumberFormat="1" applyFont="1" applyFill="1" applyBorder="1" applyAlignment="1"/>
    <xf numFmtId="37" fontId="1" fillId="0" borderId="32" xfId="6" applyNumberFormat="1" applyFont="1" applyFill="1" applyBorder="1" applyAlignment="1">
      <alignment horizontal="center"/>
    </xf>
    <xf numFmtId="0" fontId="4" fillId="0" borderId="32" xfId="6" applyFont="1" applyBorder="1" applyAlignment="1">
      <alignment horizontal="left"/>
    </xf>
    <xf numFmtId="37" fontId="3" fillId="0" borderId="32" xfId="6" applyNumberFormat="1" applyFont="1" applyBorder="1" applyAlignment="1">
      <alignment horizontal="right"/>
    </xf>
    <xf numFmtId="0" fontId="6" fillId="0" borderId="32" xfId="6" applyFont="1" applyFill="1" applyBorder="1" applyAlignment="1">
      <alignment horizontal="center"/>
    </xf>
    <xf numFmtId="0" fontId="6" fillId="0" borderId="32" xfId="6" applyFont="1" applyFill="1" applyBorder="1" applyAlignment="1">
      <alignment horizontal="left"/>
    </xf>
    <xf numFmtId="9" fontId="6" fillId="0" borderId="32" xfId="6" applyNumberFormat="1" applyFont="1" applyFill="1" applyBorder="1" applyAlignment="1">
      <alignment horizontal="right"/>
    </xf>
    <xf numFmtId="0" fontId="7" fillId="0" borderId="32" xfId="6" applyFont="1" applyBorder="1" applyAlignment="1"/>
    <xf numFmtId="0" fontId="3" fillId="0" borderId="32" xfId="6" applyFont="1" applyBorder="1"/>
    <xf numFmtId="0" fontId="6" fillId="0" borderId="32" xfId="6" applyFont="1" applyBorder="1" applyAlignment="1">
      <alignment horizontal="left"/>
    </xf>
    <xf numFmtId="37" fontId="6" fillId="0" borderId="32" xfId="6" applyNumberFormat="1" applyFont="1" applyBorder="1" applyAlignment="1">
      <alignment horizontal="right"/>
    </xf>
    <xf numFmtId="0" fontId="6" fillId="0" borderId="32" xfId="6" applyFont="1" applyBorder="1" applyAlignment="1">
      <alignment horizontal="left" wrapText="1"/>
    </xf>
    <xf numFmtId="5" fontId="6" fillId="0" borderId="32" xfId="6" applyNumberFormat="1" applyFont="1" applyBorder="1" applyAlignment="1">
      <alignment horizontal="right"/>
    </xf>
    <xf numFmtId="165" fontId="6" fillId="0" borderId="32" xfId="6" applyNumberFormat="1" applyFont="1" applyBorder="1" applyAlignment="1">
      <alignment horizontal="right"/>
    </xf>
    <xf numFmtId="165" fontId="3" fillId="0" borderId="32" xfId="6" applyNumberFormat="1" applyFont="1" applyBorder="1" applyAlignment="1">
      <alignment horizontal="right"/>
    </xf>
    <xf numFmtId="0" fontId="1" fillId="0" borderId="32" xfId="6" applyFont="1" applyBorder="1" applyAlignment="1">
      <alignment horizontal="right"/>
    </xf>
    <xf numFmtId="0" fontId="6" fillId="0" borderId="32" xfId="6" applyFont="1" applyBorder="1" applyAlignment="1"/>
    <xf numFmtId="0" fontId="8" fillId="0" borderId="0" xfId="7" applyBorder="1" applyAlignment="1"/>
    <xf numFmtId="164" fontId="3" fillId="0" borderId="32" xfId="7" applyNumberFormat="1" applyFont="1" applyFill="1" applyBorder="1" applyAlignment="1">
      <alignment horizontal="center"/>
    </xf>
    <xf numFmtId="0" fontId="3" fillId="0" borderId="32" xfId="7" applyFont="1" applyBorder="1" applyAlignment="1">
      <alignment horizontal="right"/>
    </xf>
    <xf numFmtId="0" fontId="3" fillId="0" borderId="32" xfId="7" applyFont="1" applyBorder="1" applyAlignment="1"/>
    <xf numFmtId="164" fontId="3" fillId="0" borderId="32" xfId="7" applyNumberFormat="1" applyFont="1" applyBorder="1" applyAlignment="1">
      <alignment horizontal="center"/>
    </xf>
    <xf numFmtId="0" fontId="5" fillId="0" borderId="32" xfId="7" applyFont="1" applyBorder="1" applyAlignment="1">
      <alignment horizontal="right"/>
    </xf>
    <xf numFmtId="0" fontId="5" fillId="0" borderId="32" xfId="7" applyFont="1" applyBorder="1" applyAlignment="1"/>
    <xf numFmtId="164" fontId="5" fillId="0" borderId="32" xfId="7" applyNumberFormat="1" applyFont="1" applyBorder="1" applyAlignment="1">
      <alignment horizontal="center" wrapText="1"/>
    </xf>
    <xf numFmtId="6" fontId="5" fillId="0" borderId="32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3" xfId="7" applyFill="1" applyBorder="1" applyAlignment="1">
      <alignment horizontal="center"/>
    </xf>
    <xf numFmtId="0" fontId="6" fillId="0" borderId="32" xfId="7" applyFont="1" applyBorder="1" applyAlignment="1"/>
    <xf numFmtId="164" fontId="6" fillId="0" borderId="32" xfId="7" applyNumberFormat="1" applyFont="1" applyFill="1" applyBorder="1" applyAlignment="1">
      <alignment horizontal="center"/>
    </xf>
    <xf numFmtId="6" fontId="3" fillId="0" borderId="32" xfId="7" applyNumberFormat="1" applyFont="1" applyBorder="1" applyAlignment="1">
      <alignment horizontal="center"/>
    </xf>
    <xf numFmtId="0" fontId="8" fillId="0" borderId="32" xfId="7" applyBorder="1" applyAlignment="1"/>
    <xf numFmtId="0" fontId="3" fillId="0" borderId="32" xfId="7" applyFont="1" applyBorder="1" applyAlignment="1">
      <alignment horizontal="center"/>
    </xf>
    <xf numFmtId="0" fontId="5" fillId="0" borderId="32" xfId="7" applyFont="1" applyBorder="1" applyAlignment="1">
      <alignment horizontal="left"/>
    </xf>
    <xf numFmtId="6" fontId="6" fillId="0" borderId="32" xfId="7" applyNumberFormat="1" applyFont="1" applyBorder="1" applyAlignment="1">
      <alignment horizontal="center"/>
    </xf>
    <xf numFmtId="0" fontId="6" fillId="0" borderId="32" xfId="7" applyFont="1" applyBorder="1" applyAlignment="1">
      <alignment horizontal="center"/>
    </xf>
    <xf numFmtId="0" fontId="6" fillId="0" borderId="32" xfId="7" applyFont="1" applyBorder="1" applyAlignment="1">
      <alignment horizontal="left"/>
    </xf>
    <xf numFmtId="5" fontId="6" fillId="0" borderId="32" xfId="7" applyNumberFormat="1" applyFont="1" applyBorder="1" applyAlignment="1">
      <alignment horizontal="right"/>
    </xf>
    <xf numFmtId="9" fontId="6" fillId="0" borderId="32" xfId="7" applyNumberFormat="1" applyFont="1" applyBorder="1" applyAlignment="1">
      <alignment horizontal="right"/>
    </xf>
    <xf numFmtId="0" fontId="3" fillId="0" borderId="32" xfId="7" applyFont="1" applyBorder="1" applyAlignment="1">
      <alignment horizontal="left"/>
    </xf>
    <xf numFmtId="5" fontId="3" fillId="0" borderId="32" xfId="7" applyNumberFormat="1" applyFont="1" applyBorder="1" applyAlignment="1">
      <alignment horizontal="right"/>
    </xf>
    <xf numFmtId="9" fontId="3" fillId="0" borderId="32" xfId="7" applyNumberFormat="1" applyFont="1" applyBorder="1" applyAlignment="1">
      <alignment horizontal="right"/>
    </xf>
    <xf numFmtId="0" fontId="3" fillId="0" borderId="32" xfId="7" applyFont="1" applyFill="1" applyBorder="1" applyAlignment="1">
      <alignment horizontal="left" wrapText="1"/>
    </xf>
    <xf numFmtId="0" fontId="6" fillId="0" borderId="32" xfId="7" applyFont="1" applyFill="1" applyBorder="1" applyAlignment="1">
      <alignment horizontal="left" wrapText="1"/>
    </xf>
    <xf numFmtId="0" fontId="3" fillId="0" borderId="32" xfId="7" applyFont="1" applyFill="1" applyBorder="1" applyAlignment="1">
      <alignment horizontal="center"/>
    </xf>
    <xf numFmtId="0" fontId="6" fillId="0" borderId="32" xfId="7" applyFont="1" applyBorder="1" applyAlignment="1">
      <alignment horizontal="right"/>
    </xf>
    <xf numFmtId="0" fontId="6" fillId="0" borderId="32" xfId="7" applyFont="1" applyFill="1" applyBorder="1" applyAlignment="1">
      <alignment horizontal="center"/>
    </xf>
    <xf numFmtId="37" fontId="3" fillId="0" borderId="32" xfId="7" applyNumberFormat="1" applyFont="1" applyBorder="1" applyAlignment="1">
      <alignment horizontal="right"/>
    </xf>
    <xf numFmtId="0" fontId="3" fillId="0" borderId="32" xfId="7" applyFont="1" applyFill="1" applyBorder="1" applyAlignment="1">
      <alignment horizontal="left"/>
    </xf>
    <xf numFmtId="165" fontId="3" fillId="0" borderId="32" xfId="7" applyNumberFormat="1" applyFont="1" applyBorder="1" applyAlignment="1">
      <alignment horizontal="right"/>
    </xf>
    <xf numFmtId="42" fontId="6" fillId="0" borderId="32" xfId="7" applyNumberFormat="1" applyFont="1" applyFill="1" applyBorder="1" applyAlignment="1">
      <alignment horizontal="center"/>
    </xf>
    <xf numFmtId="0" fontId="3" fillId="0" borderId="32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9" xfId="6" applyNumberFormat="1" applyFont="1" applyBorder="1" applyAlignment="1">
      <alignment horizontal="center"/>
    </xf>
    <xf numFmtId="164" fontId="5" fillId="0" borderId="9" xfId="6" applyNumberFormat="1" applyFont="1" applyBorder="1" applyAlignment="1">
      <alignment horizontal="left" wrapText="1"/>
    </xf>
    <xf numFmtId="5" fontId="6" fillId="0" borderId="9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9" xfId="6" applyNumberFormat="1" applyFont="1" applyBorder="1" applyAlignment="1">
      <alignment horizontal="center" vertical="center"/>
    </xf>
    <xf numFmtId="43" fontId="6" fillId="0" borderId="9" xfId="1" applyFont="1" applyBorder="1" applyProtection="1">
      <protection locked="0"/>
    </xf>
    <xf numFmtId="164" fontId="3" fillId="0" borderId="9" xfId="6" applyNumberFormat="1" applyFont="1" applyBorder="1" applyAlignment="1">
      <alignment horizontal="center" vertical="center"/>
    </xf>
    <xf numFmtId="164" fontId="3" fillId="0" borderId="9" xfId="6" applyNumberFormat="1" applyFont="1" applyBorder="1" applyAlignment="1">
      <alignment horizontal="left" wrapText="1"/>
    </xf>
    <xf numFmtId="5" fontId="3" fillId="0" borderId="9" xfId="6" applyNumberFormat="1" applyFont="1" applyBorder="1" applyAlignment="1">
      <alignment horizontal="right"/>
    </xf>
    <xf numFmtId="9" fontId="3" fillId="0" borderId="9" xfId="6" applyNumberFormat="1" applyFont="1" applyBorder="1" applyAlignment="1">
      <alignment horizontal="right"/>
    </xf>
    <xf numFmtId="164" fontId="3" fillId="0" borderId="9" xfId="6" applyNumberFormat="1" applyFont="1" applyBorder="1" applyAlignment="1">
      <alignment horizontal="right"/>
    </xf>
    <xf numFmtId="43" fontId="3" fillId="0" borderId="9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0" xfId="6" applyNumberFormat="1" applyFont="1" applyFill="1" applyBorder="1" applyAlignment="1">
      <alignment horizontal="center"/>
    </xf>
    <xf numFmtId="164" fontId="3" fillId="0" borderId="11" xfId="6" applyNumberFormat="1" applyFont="1" applyBorder="1" applyAlignment="1">
      <alignment horizontal="left"/>
    </xf>
    <xf numFmtId="5" fontId="3" fillId="0" borderId="10" xfId="6" applyNumberFormat="1" applyFont="1" applyBorder="1" applyAlignment="1">
      <alignment horizontal="right"/>
    </xf>
    <xf numFmtId="5" fontId="3" fillId="0" borderId="12" xfId="6" applyNumberFormat="1" applyFont="1" applyBorder="1" applyAlignment="1">
      <alignment horizontal="right"/>
    </xf>
    <xf numFmtId="9" fontId="3" fillId="0" borderId="12" xfId="6" applyNumberFormat="1" applyFont="1" applyBorder="1" applyAlignment="1">
      <alignment horizontal="right"/>
    </xf>
    <xf numFmtId="164" fontId="6" fillId="0" borderId="9" xfId="6" applyNumberFormat="1" applyFont="1" applyBorder="1" applyAlignment="1">
      <alignment horizontal="right"/>
    </xf>
    <xf numFmtId="164" fontId="3" fillId="0" borderId="12" xfId="6" applyNumberFormat="1" applyFont="1" applyFill="1" applyBorder="1" applyAlignment="1">
      <alignment horizontal="center"/>
    </xf>
    <xf numFmtId="164" fontId="3" fillId="0" borderId="10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13" xfId="7" applyFont="1" applyBorder="1" applyAlignment="1">
      <alignment horizontal="center"/>
    </xf>
    <xf numFmtId="0" fontId="6" fillId="0" borderId="0" xfId="7" applyFont="1" applyBorder="1"/>
    <xf numFmtId="164" fontId="3" fillId="0" borderId="9" xfId="7" applyNumberFormat="1" applyFont="1" applyBorder="1" applyAlignment="1">
      <alignment horizontal="center"/>
    </xf>
    <xf numFmtId="164" fontId="3" fillId="0" borderId="14" xfId="7" applyNumberFormat="1" applyFont="1" applyBorder="1" applyAlignment="1">
      <alignment horizontal="center"/>
    </xf>
    <xf numFmtId="164" fontId="3" fillId="0" borderId="14" xfId="7" applyNumberFormat="1" applyFont="1" applyBorder="1" applyAlignment="1"/>
    <xf numFmtId="0" fontId="3" fillId="0" borderId="14" xfId="7" applyFont="1" applyBorder="1" applyAlignment="1">
      <alignment horizontal="center" wrapText="1"/>
    </xf>
    <xf numFmtId="164" fontId="3" fillId="0" borderId="14" xfId="7" applyNumberFormat="1" applyFont="1" applyBorder="1" applyAlignment="1">
      <alignment horizontal="center" wrapText="1"/>
    </xf>
    <xf numFmtId="164" fontId="5" fillId="0" borderId="14" xfId="7" applyNumberFormat="1" applyFont="1" applyBorder="1" applyAlignment="1">
      <alignment horizontal="center"/>
    </xf>
    <xf numFmtId="164" fontId="5" fillId="0" borderId="14" xfId="7" applyNumberFormat="1" applyFont="1" applyBorder="1" applyAlignment="1">
      <alignment horizontal="left"/>
    </xf>
    <xf numFmtId="164" fontId="5" fillId="0" borderId="14" xfId="7" applyNumberFormat="1" applyFont="1" applyBorder="1" applyAlignment="1">
      <alignment horizontal="center" wrapText="1"/>
    </xf>
    <xf numFmtId="0" fontId="5" fillId="0" borderId="14" xfId="7" applyFont="1" applyBorder="1" applyAlignment="1">
      <alignment horizontal="center" wrapText="1"/>
    </xf>
    <xf numFmtId="164" fontId="6" fillId="0" borderId="9" xfId="7" applyNumberFormat="1" applyFont="1" applyBorder="1" applyAlignment="1">
      <alignment horizontal="center"/>
    </xf>
    <xf numFmtId="0" fontId="5" fillId="0" borderId="9" xfId="7" applyNumberFormat="1" applyFont="1" applyBorder="1" applyAlignment="1">
      <alignment horizontal="left" wrapText="1"/>
    </xf>
    <xf numFmtId="164" fontId="6" fillId="0" borderId="9" xfId="7" applyNumberFormat="1" applyFont="1" applyBorder="1" applyAlignment="1">
      <alignment horizontal="right"/>
    </xf>
    <xf numFmtId="164" fontId="3" fillId="0" borderId="9" xfId="7" applyNumberFormat="1" applyFont="1" applyBorder="1" applyAlignment="1">
      <alignment horizontal="right"/>
    </xf>
    <xf numFmtId="0" fontId="6" fillId="0" borderId="9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9" xfId="7" applyFont="1" applyBorder="1" applyAlignment="1">
      <alignment horizontal="center"/>
    </xf>
    <xf numFmtId="0" fontId="5" fillId="0" borderId="9" xfId="7" applyNumberFormat="1" applyFont="1" applyBorder="1"/>
    <xf numFmtId="5" fontId="6" fillId="0" borderId="9" xfId="7" applyNumberFormat="1" applyFont="1" applyBorder="1" applyAlignment="1">
      <alignment horizontal="right"/>
    </xf>
    <xf numFmtId="5" fontId="3" fillId="0" borderId="9" xfId="7" applyNumberFormat="1" applyFont="1" applyBorder="1" applyAlignment="1">
      <alignment horizontal="right"/>
    </xf>
    <xf numFmtId="9" fontId="3" fillId="0" borderId="9" xfId="7" applyNumberFormat="1" applyFont="1" applyBorder="1" applyAlignment="1">
      <alignment horizontal="right"/>
    </xf>
    <xf numFmtId="0" fontId="6" fillId="0" borderId="9" xfId="2" applyNumberFormat="1" applyFont="1" applyBorder="1" applyProtection="1">
      <protection locked="0"/>
    </xf>
    <xf numFmtId="9" fontId="6" fillId="0" borderId="9" xfId="7" applyNumberFormat="1" applyFont="1" applyBorder="1" applyAlignment="1">
      <alignment horizontal="right"/>
    </xf>
    <xf numFmtId="0" fontId="3" fillId="0" borderId="9" xfId="7" applyNumberFormat="1" applyFont="1" applyBorder="1"/>
    <xf numFmtId="43" fontId="6" fillId="0" borderId="9" xfId="2" applyFont="1" applyBorder="1" applyProtection="1">
      <protection locked="0"/>
    </xf>
    <xf numFmtId="164" fontId="6" fillId="0" borderId="9" xfId="7" applyNumberFormat="1" applyFont="1" applyFill="1" applyBorder="1" applyAlignment="1">
      <alignment horizontal="center"/>
    </xf>
    <xf numFmtId="3" fontId="3" fillId="0" borderId="9" xfId="7" applyNumberFormat="1" applyFont="1" applyBorder="1" applyAlignment="1" applyProtection="1"/>
    <xf numFmtId="9" fontId="6" fillId="0" borderId="9" xfId="9" applyFont="1" applyBorder="1" applyAlignment="1">
      <alignment horizontal="right"/>
    </xf>
    <xf numFmtId="0" fontId="3" fillId="0" borderId="9" xfId="7" applyNumberFormat="1" applyFont="1" applyBorder="1" applyAlignment="1">
      <alignment horizontal="left"/>
    </xf>
    <xf numFmtId="164" fontId="9" fillId="0" borderId="9" xfId="7" applyNumberFormat="1" applyFont="1" applyBorder="1" applyAlignment="1">
      <alignment horizontal="center"/>
    </xf>
    <xf numFmtId="0" fontId="6" fillId="0" borderId="9" xfId="7" applyFont="1" applyBorder="1"/>
    <xf numFmtId="3" fontId="6" fillId="0" borderId="9" xfId="7" applyNumberFormat="1" applyFont="1" applyBorder="1" applyAlignment="1" applyProtection="1"/>
    <xf numFmtId="0" fontId="8" fillId="0" borderId="9" xfId="7" applyBorder="1"/>
    <xf numFmtId="0" fontId="6" fillId="0" borderId="0" xfId="7" applyFont="1" applyBorder="1" applyAlignment="1">
      <alignment horizontal="right"/>
    </xf>
    <xf numFmtId="0" fontId="1" fillId="0" borderId="32" xfId="7" applyFont="1" applyBorder="1" applyAlignment="1">
      <alignment horizontal="center"/>
    </xf>
    <xf numFmtId="0" fontId="2" fillId="0" borderId="32" xfId="7" applyFont="1" applyBorder="1" applyAlignment="1">
      <alignment horizontal="centerContinuous"/>
    </xf>
    <xf numFmtId="0" fontId="1" fillId="0" borderId="32" xfId="7" applyFont="1" applyBorder="1" applyAlignment="1">
      <alignment horizontal="centerContinuous"/>
    </xf>
    <xf numFmtId="0" fontId="1" fillId="0" borderId="32" xfId="7" applyFont="1" applyBorder="1" applyAlignment="1"/>
    <xf numFmtId="0" fontId="2" fillId="0" borderId="32" xfId="7" applyFont="1" applyBorder="1" applyAlignment="1">
      <alignment horizontal="center"/>
    </xf>
    <xf numFmtId="164" fontId="2" fillId="0" borderId="32" xfId="7" applyNumberFormat="1" applyFont="1" applyBorder="1" applyAlignment="1">
      <alignment horizontal="center"/>
    </xf>
    <xf numFmtId="0" fontId="2" fillId="0" borderId="32" xfId="7" applyFont="1" applyFill="1" applyBorder="1" applyAlignment="1">
      <alignment horizontal="center"/>
    </xf>
    <xf numFmtId="0" fontId="2" fillId="0" borderId="32" xfId="7" applyFont="1" applyFill="1" applyBorder="1" applyAlignment="1">
      <alignment horizontal="centerContinuous"/>
    </xf>
    <xf numFmtId="0" fontId="4" fillId="0" borderId="32" xfId="7" applyFont="1" applyFill="1" applyBorder="1" applyAlignment="1">
      <alignment horizontal="center"/>
    </xf>
    <xf numFmtId="0" fontId="4" fillId="0" borderId="32" xfId="7" applyFont="1" applyFill="1" applyBorder="1" applyAlignment="1">
      <alignment horizontal="left"/>
    </xf>
    <xf numFmtId="5" fontId="1" fillId="0" borderId="32" xfId="7" applyNumberFormat="1" applyFont="1" applyBorder="1" applyAlignment="1"/>
    <xf numFmtId="0" fontId="6" fillId="0" borderId="34" xfId="7" applyFont="1" applyFill="1" applyBorder="1" applyAlignment="1">
      <alignment horizontal="left"/>
    </xf>
    <xf numFmtId="37" fontId="6" fillId="0" borderId="32" xfId="7" applyNumberFormat="1" applyFont="1" applyBorder="1" applyAlignment="1">
      <alignment horizontal="right"/>
    </xf>
    <xf numFmtId="0" fontId="6" fillId="0" borderId="34" xfId="7" applyFont="1" applyBorder="1" applyAlignment="1">
      <alignment horizontal="left"/>
    </xf>
    <xf numFmtId="166" fontId="6" fillId="0" borderId="32" xfId="7" applyNumberFormat="1" applyFont="1" applyBorder="1" applyAlignment="1">
      <alignment horizontal="right"/>
    </xf>
    <xf numFmtId="166" fontId="3" fillId="0" borderId="32" xfId="7" applyNumberFormat="1" applyFont="1" applyBorder="1" applyAlignment="1">
      <alignment horizontal="right"/>
    </xf>
    <xf numFmtId="10" fontId="6" fillId="0" borderId="32" xfId="7" applyNumberFormat="1" applyFont="1" applyBorder="1" applyAlignment="1">
      <alignment horizontal="right"/>
    </xf>
    <xf numFmtId="0" fontId="8" fillId="0" borderId="32" xfId="7" applyBorder="1"/>
    <xf numFmtId="0" fontId="4" fillId="0" borderId="32" xfId="7" applyFont="1" applyBorder="1" applyAlignment="1">
      <alignment horizontal="left"/>
    </xf>
    <xf numFmtId="0" fontId="1" fillId="0" borderId="32" xfId="7" applyFont="1" applyBorder="1" applyAlignment="1">
      <alignment horizontal="left"/>
    </xf>
    <xf numFmtId="167" fontId="6" fillId="0" borderId="32" xfId="7" applyNumberFormat="1" applyFont="1" applyBorder="1" applyAlignment="1">
      <alignment horizontal="right"/>
    </xf>
    <xf numFmtId="0" fontId="2" fillId="0" borderId="32" xfId="7" applyFont="1" applyBorder="1" applyAlignment="1">
      <alignment horizontal="left"/>
    </xf>
    <xf numFmtId="43" fontId="3" fillId="0" borderId="32" xfId="7" applyNumberFormat="1" applyFont="1" applyBorder="1" applyAlignment="1">
      <alignment horizontal="right"/>
    </xf>
    <xf numFmtId="5" fontId="1" fillId="0" borderId="32" xfId="7" applyNumberFormat="1" applyFont="1" applyBorder="1" applyAlignment="1">
      <alignment horizontal="right"/>
    </xf>
    <xf numFmtId="39" fontId="3" fillId="0" borderId="32" xfId="7" applyNumberFormat="1" applyFont="1" applyBorder="1" applyAlignment="1">
      <alignment horizontal="right"/>
    </xf>
    <xf numFmtId="4" fontId="3" fillId="0" borderId="32" xfId="7" applyNumberFormat="1" applyFont="1" applyBorder="1" applyAlignment="1">
      <alignment horizontal="right"/>
    </xf>
    <xf numFmtId="165" fontId="6" fillId="0" borderId="32" xfId="7" applyNumberFormat="1" applyFont="1" applyFill="1" applyBorder="1" applyAlignment="1">
      <alignment horizontal="right"/>
    </xf>
    <xf numFmtId="0" fontId="10" fillId="0" borderId="32" xfId="7" applyFont="1" applyBorder="1" applyAlignment="1">
      <alignment horizontal="left"/>
    </xf>
    <xf numFmtId="165" fontId="6" fillId="0" borderId="32" xfId="7" applyNumberFormat="1" applyFont="1" applyBorder="1" applyAlignment="1">
      <alignment horizontal="right"/>
    </xf>
    <xf numFmtId="167" fontId="3" fillId="0" borderId="32" xfId="7" applyNumberFormat="1" applyFont="1" applyFill="1" applyBorder="1" applyAlignment="1">
      <alignment horizontal="right"/>
    </xf>
    <xf numFmtId="164" fontId="3" fillId="0" borderId="32" xfId="7" applyNumberFormat="1" applyFont="1" applyBorder="1" applyAlignment="1">
      <alignment horizontal="right"/>
    </xf>
    <xf numFmtId="5" fontId="6" fillId="0" borderId="32" xfId="7" applyNumberFormat="1" applyFont="1" applyBorder="1" applyAlignment="1"/>
    <xf numFmtId="0" fontId="1" fillId="0" borderId="34" xfId="7" applyFont="1" applyBorder="1" applyAlignment="1">
      <alignment horizontal="left"/>
    </xf>
    <xf numFmtId="37" fontId="6" fillId="0" borderId="32" xfId="7" applyNumberFormat="1" applyFont="1" applyBorder="1" applyAlignment="1"/>
    <xf numFmtId="0" fontId="2" fillId="0" borderId="32" xfId="7" applyFont="1" applyFill="1" applyBorder="1" applyAlignment="1">
      <alignment horizontal="left"/>
    </xf>
    <xf numFmtId="5" fontId="3" fillId="0" borderId="32" xfId="7" applyNumberFormat="1" applyFont="1" applyBorder="1" applyAlignment="1"/>
    <xf numFmtId="165" fontId="3" fillId="0" borderId="32" xfId="7" applyNumberFormat="1" applyFont="1" applyBorder="1" applyAlignment="1"/>
    <xf numFmtId="0" fontId="5" fillId="0" borderId="32" xfId="7" applyFont="1" applyFill="1" applyBorder="1" applyAlignment="1">
      <alignment horizontal="left"/>
    </xf>
    <xf numFmtId="0" fontId="1" fillId="0" borderId="32" xfId="7" applyFont="1" applyFill="1" applyBorder="1" applyAlignment="1">
      <alignment horizontal="left"/>
    </xf>
    <xf numFmtId="165" fontId="1" fillId="0" borderId="32" xfId="7" applyNumberFormat="1" applyFont="1" applyBorder="1" applyAlignment="1"/>
    <xf numFmtId="42" fontId="6" fillId="0" borderId="32" xfId="7" applyNumberFormat="1" applyFont="1" applyBorder="1" applyAlignment="1">
      <alignment horizontal="right"/>
    </xf>
    <xf numFmtId="168" fontId="3" fillId="0" borderId="32" xfId="7" applyNumberFormat="1" applyFont="1" applyBorder="1" applyAlignment="1">
      <alignment horizontal="right"/>
    </xf>
    <xf numFmtId="1" fontId="3" fillId="0" borderId="32" xfId="7" applyNumberFormat="1" applyFont="1" applyBorder="1" applyAlignment="1">
      <alignment horizontal="right"/>
    </xf>
    <xf numFmtId="165" fontId="6" fillId="0" borderId="32" xfId="7" applyNumberFormat="1" applyFont="1" applyBorder="1" applyAlignment="1"/>
    <xf numFmtId="0" fontId="1" fillId="0" borderId="32" xfId="7" applyFont="1" applyFill="1" applyBorder="1" applyAlignment="1">
      <alignment horizontal="center"/>
    </xf>
    <xf numFmtId="41" fontId="6" fillId="0" borderId="32" xfId="7" applyNumberFormat="1" applyFont="1" applyBorder="1" applyAlignment="1">
      <alignment horizontal="right"/>
    </xf>
    <xf numFmtId="168" fontId="6" fillId="0" borderId="32" xfId="7" applyNumberFormat="1" applyFont="1" applyBorder="1" applyAlignment="1">
      <alignment horizontal="right"/>
    </xf>
    <xf numFmtId="0" fontId="8" fillId="0" borderId="32" xfId="7" applyFill="1" applyBorder="1" applyAlignment="1"/>
    <xf numFmtId="0" fontId="8" fillId="0" borderId="32" xfId="7" applyFill="1" applyBorder="1" applyAlignment="1">
      <alignment horizontal="center"/>
    </xf>
    <xf numFmtId="0" fontId="11" fillId="0" borderId="32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2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15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17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9" xfId="6" applyFont="1" applyBorder="1" applyAlignment="1">
      <alignment horizontal="center" vertical="center"/>
    </xf>
    <xf numFmtId="0" fontId="12" fillId="0" borderId="9" xfId="6" applyFont="1" applyBorder="1" applyAlignment="1">
      <alignment horizontal="left" vertical="center"/>
    </xf>
    <xf numFmtId="164" fontId="12" fillId="0" borderId="9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18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9" xfId="6" applyNumberFormat="1" applyFont="1" applyBorder="1" applyAlignment="1">
      <alignment horizontal="center"/>
    </xf>
    <xf numFmtId="0" fontId="13" fillId="0" borderId="9" xfId="6" applyFont="1" applyBorder="1"/>
    <xf numFmtId="5" fontId="13" fillId="0" borderId="9" xfId="6" applyNumberFormat="1" applyFont="1" applyBorder="1" applyAlignment="1">
      <alignment horizontal="right"/>
    </xf>
    <xf numFmtId="9" fontId="13" fillId="0" borderId="9" xfId="10" applyNumberFormat="1" applyFont="1" applyBorder="1" applyAlignment="1">
      <alignment horizontal="right"/>
    </xf>
    <xf numFmtId="37" fontId="13" fillId="0" borderId="9" xfId="6" applyNumberFormat="1" applyFont="1" applyFill="1" applyBorder="1" applyAlignment="1">
      <alignment horizontal="right"/>
    </xf>
    <xf numFmtId="164" fontId="12" fillId="0" borderId="9" xfId="6" applyNumberFormat="1" applyFont="1" applyFill="1" applyBorder="1" applyAlignment="1">
      <alignment horizontal="right"/>
    </xf>
    <xf numFmtId="164" fontId="12" fillId="0" borderId="9" xfId="6" applyNumberFormat="1" applyFont="1" applyFill="1" applyBorder="1" applyAlignment="1">
      <alignment horizontal="left"/>
    </xf>
    <xf numFmtId="5" fontId="12" fillId="0" borderId="9" xfId="6" applyNumberFormat="1" applyFont="1" applyBorder="1" applyAlignment="1">
      <alignment horizontal="right"/>
    </xf>
    <xf numFmtId="9" fontId="12" fillId="0" borderId="9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9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9" xfId="6" applyFont="1" applyBorder="1" applyAlignment="1">
      <alignment horizontal="center"/>
    </xf>
    <xf numFmtId="0" fontId="12" fillId="0" borderId="9" xfId="6" applyFont="1" applyBorder="1" applyAlignment="1">
      <alignment wrapText="1"/>
    </xf>
    <xf numFmtId="9" fontId="12" fillId="0" borderId="9" xfId="10" applyFont="1" applyBorder="1" applyAlignment="1">
      <alignment horizontal="right"/>
    </xf>
    <xf numFmtId="37" fontId="12" fillId="0" borderId="9" xfId="6" applyNumberFormat="1" applyFont="1" applyFill="1" applyBorder="1" applyAlignment="1">
      <alignment horizontal="right"/>
    </xf>
    <xf numFmtId="164" fontId="12" fillId="0" borderId="16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9" xfId="6" applyNumberFormat="1" applyFont="1" applyFill="1" applyBorder="1" applyAlignment="1">
      <alignment horizontal="left"/>
    </xf>
    <xf numFmtId="164" fontId="12" fillId="3" borderId="20" xfId="6" applyNumberFormat="1" applyFont="1" applyFill="1" applyBorder="1" applyAlignment="1">
      <alignment horizontal="center" wrapText="1"/>
    </xf>
    <xf numFmtId="164" fontId="12" fillId="3" borderId="21" xfId="6" applyNumberFormat="1" applyFont="1" applyFill="1" applyBorder="1" applyAlignment="1">
      <alignment horizontal="center" wrapText="1"/>
    </xf>
    <xf numFmtId="9" fontId="12" fillId="3" borderId="19" xfId="10" applyFont="1" applyFill="1" applyBorder="1" applyAlignment="1">
      <alignment horizontal="center" wrapText="1"/>
    </xf>
    <xf numFmtId="0" fontId="15" fillId="0" borderId="9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9" xfId="6" applyNumberFormat="1" applyFont="1" applyFill="1" applyBorder="1" applyAlignment="1">
      <alignment horizontal="left" wrapText="1"/>
    </xf>
    <xf numFmtId="0" fontId="12" fillId="0" borderId="9" xfId="6" applyFont="1" applyBorder="1" applyAlignment="1">
      <alignment horizontal="center" vertical="center"/>
    </xf>
    <xf numFmtId="0" fontId="12" fillId="0" borderId="9" xfId="6" applyFont="1" applyFill="1" applyBorder="1" applyAlignment="1">
      <alignment wrapText="1"/>
    </xf>
    <xf numFmtId="37" fontId="12" fillId="0" borderId="9" xfId="1" applyNumberFormat="1" applyFont="1" applyBorder="1" applyAlignment="1">
      <alignment horizontal="right"/>
    </xf>
    <xf numFmtId="0" fontId="1" fillId="0" borderId="32" xfId="6" applyBorder="1" applyAlignment="1">
      <alignment wrapText="1"/>
    </xf>
    <xf numFmtId="0" fontId="2" fillId="0" borderId="32" xfId="6" applyFont="1" applyBorder="1" applyAlignment="1">
      <alignment horizontal="centerContinuous" wrapText="1"/>
    </xf>
    <xf numFmtId="0" fontId="1" fillId="0" borderId="32" xfId="6" applyFont="1" applyBorder="1" applyAlignment="1">
      <alignment horizontal="centerContinuous" wrapText="1"/>
    </xf>
    <xf numFmtId="0" fontId="1" fillId="0" borderId="32" xfId="6" applyFont="1" applyBorder="1" applyAlignment="1">
      <alignment wrapText="1"/>
    </xf>
    <xf numFmtId="164" fontId="2" fillId="0" borderId="32" xfId="6" applyNumberFormat="1" applyFont="1" applyBorder="1" applyAlignment="1">
      <alignment horizontal="center" wrapText="1"/>
    </xf>
    <xf numFmtId="0" fontId="1" fillId="0" borderId="32" xfId="6" applyFill="1" applyBorder="1" applyAlignment="1">
      <alignment wrapText="1"/>
    </xf>
    <xf numFmtId="0" fontId="2" fillId="0" borderId="32" xfId="6" applyFont="1" applyFill="1" applyBorder="1" applyAlignment="1">
      <alignment horizontal="left" wrapText="1"/>
    </xf>
    <xf numFmtId="0" fontId="2" fillId="0" borderId="32" xfId="6" applyFont="1" applyFill="1" applyBorder="1" applyAlignment="1">
      <alignment horizontal="centerContinuous" wrapText="1"/>
    </xf>
    <xf numFmtId="164" fontId="3" fillId="0" borderId="32" xfId="6" applyNumberFormat="1" applyFont="1" applyBorder="1" applyAlignment="1">
      <alignment horizontal="center" wrapText="1"/>
    </xf>
    <xf numFmtId="0" fontId="2" fillId="0" borderId="32" xfId="6" applyFont="1" applyFill="1" applyBorder="1" applyAlignment="1">
      <alignment horizontal="center" wrapText="1"/>
    </xf>
    <xf numFmtId="0" fontId="1" fillId="0" borderId="32" xfId="6" applyFill="1" applyBorder="1" applyAlignment="1">
      <alignment horizontal="center" wrapText="1"/>
    </xf>
    <xf numFmtId="0" fontId="4" fillId="0" borderId="32" xfId="6" applyFont="1" applyFill="1" applyBorder="1" applyAlignment="1">
      <alignment horizontal="center" wrapText="1"/>
    </xf>
    <xf numFmtId="0" fontId="5" fillId="0" borderId="32" xfId="6" applyFont="1" applyFill="1" applyBorder="1" applyAlignment="1">
      <alignment horizontal="center" wrapText="1"/>
    </xf>
    <xf numFmtId="0" fontId="4" fillId="0" borderId="32" xfId="6" applyFont="1" applyFill="1" applyBorder="1" applyAlignment="1">
      <alignment horizontal="left" wrapText="1"/>
    </xf>
    <xf numFmtId="0" fontId="1" fillId="0" borderId="32" xfId="6" applyFont="1" applyFill="1" applyBorder="1" applyAlignment="1">
      <alignment wrapText="1"/>
    </xf>
    <xf numFmtId="0" fontId="3" fillId="0" borderId="32" xfId="6" applyFont="1" applyFill="1" applyBorder="1" applyAlignment="1">
      <alignment horizontal="center" wrapText="1"/>
    </xf>
    <xf numFmtId="0" fontId="1" fillId="0" borderId="32" xfId="6" applyFont="1" applyBorder="1" applyAlignment="1">
      <alignment horizontal="center" wrapText="1"/>
    </xf>
    <xf numFmtId="0" fontId="1" fillId="0" borderId="32" xfId="6" applyFont="1" applyBorder="1" applyAlignment="1">
      <alignment horizontal="left" wrapText="1"/>
    </xf>
    <xf numFmtId="9" fontId="1" fillId="0" borderId="32" xfId="6" applyNumberFormat="1" applyFont="1" applyBorder="1" applyAlignment="1">
      <alignment horizontal="right" wrapText="1"/>
    </xf>
    <xf numFmtId="0" fontId="6" fillId="0" borderId="32" xfId="6" applyFont="1" applyBorder="1" applyAlignment="1">
      <alignment horizontal="center" wrapText="1"/>
    </xf>
    <xf numFmtId="0" fontId="2" fillId="0" borderId="32" xfId="6" applyFont="1" applyBorder="1" applyAlignment="1">
      <alignment horizontal="left" wrapText="1"/>
    </xf>
    <xf numFmtId="5" fontId="3" fillId="0" borderId="32" xfId="6" applyNumberFormat="1" applyFont="1" applyBorder="1" applyAlignment="1">
      <alignment horizontal="right" wrapText="1"/>
    </xf>
    <xf numFmtId="9" fontId="3" fillId="0" borderId="32" xfId="6" applyNumberFormat="1" applyFont="1" applyBorder="1" applyAlignment="1">
      <alignment horizontal="right" wrapText="1"/>
    </xf>
    <xf numFmtId="37" fontId="1" fillId="0" borderId="32" xfId="6" applyNumberFormat="1" applyFont="1" applyBorder="1" applyAlignment="1">
      <alignment horizontal="right" wrapText="1"/>
    </xf>
    <xf numFmtId="0" fontId="3" fillId="0" borderId="32" xfId="6" applyFont="1" applyBorder="1" applyAlignment="1">
      <alignment horizontal="center" wrapText="1"/>
    </xf>
    <xf numFmtId="0" fontId="5" fillId="0" borderId="32" xfId="6" applyFont="1" applyBorder="1" applyAlignment="1">
      <alignment horizontal="left" wrapText="1"/>
    </xf>
    <xf numFmtId="0" fontId="1" fillId="0" borderId="32" xfId="6" applyBorder="1" applyAlignment="1">
      <alignment horizontal="left" wrapText="1"/>
    </xf>
    <xf numFmtId="6" fontId="1" fillId="0" borderId="32" xfId="6" applyNumberFormat="1" applyBorder="1" applyAlignment="1">
      <alignment horizontal="right" wrapText="1"/>
    </xf>
    <xf numFmtId="9" fontId="1" fillId="0" borderId="32" xfId="6" applyNumberFormat="1" applyBorder="1" applyAlignment="1">
      <alignment horizontal="right" wrapText="1"/>
    </xf>
    <xf numFmtId="0" fontId="2" fillId="0" borderId="32" xfId="6" applyFont="1" applyBorder="1" applyAlignment="1">
      <alignment horizontal="center" wrapText="1"/>
    </xf>
    <xf numFmtId="0" fontId="4" fillId="0" borderId="32" xfId="6" applyFont="1" applyBorder="1" applyAlignment="1">
      <alignment horizontal="left" wrapText="1"/>
    </xf>
    <xf numFmtId="0" fontId="6" fillId="0" borderId="32" xfId="6" applyFont="1" applyFill="1" applyBorder="1" applyAlignment="1">
      <alignment horizontal="center" wrapText="1"/>
    </xf>
    <xf numFmtId="0" fontId="6" fillId="0" borderId="32" xfId="6" applyFont="1" applyFill="1" applyBorder="1" applyAlignment="1">
      <alignment horizontal="left" wrapText="1"/>
    </xf>
    <xf numFmtId="9" fontId="6" fillId="0" borderId="32" xfId="6" applyNumberFormat="1" applyFont="1" applyFill="1" applyBorder="1" applyAlignment="1">
      <alignment horizontal="right" wrapText="1"/>
    </xf>
    <xf numFmtId="0" fontId="16" fillId="0" borderId="32" xfId="6" applyFont="1" applyBorder="1" applyAlignment="1">
      <alignment wrapText="1"/>
    </xf>
    <xf numFmtId="5" fontId="6" fillId="0" borderId="32" xfId="6" applyNumberFormat="1" applyFont="1" applyBorder="1" applyAlignment="1">
      <alignment horizontal="right" wrapText="1"/>
    </xf>
    <xf numFmtId="165" fontId="6" fillId="0" borderId="32" xfId="6" applyNumberFormat="1" applyFont="1" applyBorder="1" applyAlignment="1">
      <alignment horizontal="right" wrapText="1"/>
    </xf>
    <xf numFmtId="165" fontId="3" fillId="0" borderId="32" xfId="6" applyNumberFormat="1" applyFont="1" applyBorder="1" applyAlignment="1">
      <alignment horizontal="right" wrapText="1"/>
    </xf>
    <xf numFmtId="0" fontId="1" fillId="0" borderId="32" xfId="6" applyFont="1" applyBorder="1" applyAlignment="1">
      <alignment horizontal="right" wrapText="1"/>
    </xf>
    <xf numFmtId="0" fontId="11" fillId="0" borderId="32" xfId="6" applyFont="1" applyBorder="1" applyAlignment="1">
      <alignment wrapText="1"/>
    </xf>
    <xf numFmtId="164" fontId="5" fillId="0" borderId="32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2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5" xfId="7" applyFont="1" applyFill="1" applyBorder="1" applyAlignment="1">
      <alignment horizontal="center"/>
    </xf>
    <xf numFmtId="0" fontId="3" fillId="2" borderId="32" xfId="7" applyFont="1" applyFill="1" applyBorder="1" applyAlignment="1">
      <alignment horizontal="center"/>
    </xf>
    <xf numFmtId="0" fontId="4" fillId="2" borderId="32" xfId="7" applyFont="1" applyFill="1" applyBorder="1" applyAlignment="1">
      <alignment horizontal="left"/>
    </xf>
    <xf numFmtId="5" fontId="3" fillId="2" borderId="32" xfId="7" applyNumberFormat="1" applyFont="1" applyFill="1" applyBorder="1" applyAlignment="1">
      <alignment horizontal="right"/>
    </xf>
    <xf numFmtId="165" fontId="3" fillId="2" borderId="32" xfId="7" applyNumberFormat="1" applyFont="1" applyFill="1" applyBorder="1" applyAlignment="1">
      <alignment horizontal="right"/>
    </xf>
    <xf numFmtId="0" fontId="5" fillId="2" borderId="32" xfId="7" applyFont="1" applyFill="1" applyBorder="1" applyAlignment="1">
      <alignment horizontal="left"/>
    </xf>
    <xf numFmtId="43" fontId="3" fillId="2" borderId="32" xfId="7" applyNumberFormat="1" applyFont="1" applyFill="1" applyBorder="1" applyAlignment="1">
      <alignment horizontal="right"/>
    </xf>
    <xf numFmtId="0" fontId="1" fillId="2" borderId="32" xfId="7" applyFont="1" applyFill="1" applyBorder="1" applyAlignment="1">
      <alignment horizontal="center"/>
    </xf>
    <xf numFmtId="0" fontId="6" fillId="2" borderId="32" xfId="7" applyFont="1" applyFill="1" applyBorder="1" applyAlignment="1">
      <alignment horizontal="left" wrapText="1"/>
    </xf>
    <xf numFmtId="5" fontId="6" fillId="2" borderId="32" xfId="7" applyNumberFormat="1" applyFont="1" applyFill="1" applyBorder="1" applyAlignment="1"/>
    <xf numFmtId="0" fontId="2" fillId="2" borderId="32" xfId="7" applyFont="1" applyFill="1" applyBorder="1" applyAlignment="1">
      <alignment horizontal="left"/>
    </xf>
    <xf numFmtId="164" fontId="3" fillId="2" borderId="32" xfId="7" applyNumberFormat="1" applyFont="1" applyFill="1" applyBorder="1" applyAlignment="1">
      <alignment horizontal="right"/>
    </xf>
    <xf numFmtId="0" fontId="1" fillId="2" borderId="32" xfId="7" applyFont="1" applyFill="1" applyBorder="1" applyAlignment="1">
      <alignment horizontal="left"/>
    </xf>
    <xf numFmtId="5" fontId="1" fillId="2" borderId="32" xfId="7" applyNumberFormat="1" applyFont="1" applyFill="1" applyBorder="1" applyAlignment="1"/>
    <xf numFmtId="0" fontId="1" fillId="2" borderId="34" xfId="7" applyFont="1" applyFill="1" applyBorder="1" applyAlignment="1">
      <alignment horizontal="left"/>
    </xf>
    <xf numFmtId="0" fontId="8" fillId="2" borderId="32" xfId="7" applyFill="1" applyBorder="1"/>
    <xf numFmtId="5" fontId="3" fillId="2" borderId="32" xfId="7" applyNumberFormat="1" applyFont="1" applyFill="1" applyBorder="1" applyAlignment="1"/>
    <xf numFmtId="165" fontId="3" fillId="2" borderId="32" xfId="7" applyNumberFormat="1" applyFont="1" applyFill="1" applyBorder="1" applyAlignment="1"/>
    <xf numFmtId="1" fontId="3" fillId="2" borderId="32" xfId="7" applyNumberFormat="1" applyFont="1" applyFill="1" applyBorder="1" applyAlignment="1"/>
    <xf numFmtId="42" fontId="1" fillId="2" borderId="32" xfId="7" applyNumberFormat="1" applyFont="1" applyFill="1" applyBorder="1" applyAlignment="1"/>
    <xf numFmtId="42" fontId="6" fillId="2" borderId="32" xfId="7" applyNumberFormat="1" applyFont="1" applyFill="1" applyBorder="1" applyAlignment="1"/>
    <xf numFmtId="5" fontId="6" fillId="2" borderId="32" xfId="7" applyNumberFormat="1" applyFont="1" applyFill="1" applyBorder="1" applyAlignment="1">
      <alignment horizontal="right"/>
    </xf>
    <xf numFmtId="42" fontId="6" fillId="2" borderId="32" xfId="7" applyNumberFormat="1" applyFont="1" applyFill="1" applyBorder="1" applyAlignment="1">
      <alignment horizontal="right"/>
    </xf>
    <xf numFmtId="1" fontId="3" fillId="2" borderId="32" xfId="7" applyNumberFormat="1" applyFont="1" applyFill="1" applyBorder="1" applyAlignment="1">
      <alignment horizontal="right"/>
    </xf>
    <xf numFmtId="165" fontId="6" fillId="2" borderId="32" xfId="7" applyNumberFormat="1" applyFont="1" applyFill="1" applyBorder="1" applyAlignment="1">
      <alignment horizontal="right"/>
    </xf>
    <xf numFmtId="168" fontId="3" fillId="2" borderId="32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2" xfId="7" applyNumberFormat="1" applyFont="1" applyFill="1" applyBorder="1" applyAlignment="1"/>
    <xf numFmtId="0" fontId="1" fillId="0" borderId="13" xfId="7" applyFont="1" applyBorder="1" applyAlignment="1">
      <alignment horizontal="center"/>
    </xf>
    <xf numFmtId="164" fontId="2" fillId="0" borderId="9" xfId="7" applyNumberFormat="1" applyFont="1" applyBorder="1" applyAlignment="1"/>
    <xf numFmtId="164" fontId="2" fillId="0" borderId="9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13" xfId="7" applyFont="1" applyBorder="1" applyAlignment="1">
      <alignment horizontal="center"/>
    </xf>
    <xf numFmtId="164" fontId="5" fillId="0" borderId="9" xfId="7" applyNumberFormat="1" applyFont="1" applyFill="1" applyBorder="1" applyAlignment="1"/>
    <xf numFmtId="164" fontId="5" fillId="0" borderId="9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9" xfId="7" applyNumberFormat="1" applyFont="1" applyBorder="1" applyAlignment="1">
      <alignment horizontal="center"/>
    </xf>
    <xf numFmtId="0" fontId="6" fillId="0" borderId="13" xfId="7" applyFont="1" applyBorder="1" applyAlignment="1">
      <alignment horizontal="center"/>
    </xf>
    <xf numFmtId="164" fontId="6" fillId="0" borderId="9" xfId="7" applyNumberFormat="1" applyFont="1" applyBorder="1" applyAlignment="1"/>
    <xf numFmtId="3" fontId="1" fillId="0" borderId="9" xfId="7" applyNumberFormat="1" applyFont="1" applyBorder="1" applyAlignment="1">
      <alignment horizontal="right"/>
    </xf>
    <xf numFmtId="1" fontId="1" fillId="0" borderId="9" xfId="7" applyNumberFormat="1" applyFont="1" applyBorder="1" applyAlignment="1">
      <alignment horizontal="right"/>
    </xf>
    <xf numFmtId="167" fontId="1" fillId="0" borderId="9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9" xfId="7" applyNumberFormat="1" applyFont="1" applyBorder="1" applyAlignment="1"/>
    <xf numFmtId="3" fontId="3" fillId="0" borderId="9" xfId="7" applyNumberFormat="1" applyFont="1" applyBorder="1" applyAlignment="1">
      <alignment horizontal="right"/>
    </xf>
    <xf numFmtId="167" fontId="3" fillId="0" borderId="9" xfId="9" applyNumberFormat="1" applyFont="1" applyBorder="1" applyAlignment="1">
      <alignment horizontal="right"/>
    </xf>
    <xf numFmtId="164" fontId="1" fillId="0" borderId="9" xfId="7" applyNumberFormat="1" applyFont="1" applyBorder="1" applyAlignment="1"/>
    <xf numFmtId="3" fontId="2" fillId="0" borderId="9" xfId="7" applyNumberFormat="1" applyFont="1" applyBorder="1" applyAlignment="1">
      <alignment horizontal="right"/>
    </xf>
    <xf numFmtId="167" fontId="2" fillId="0" borderId="9" xfId="9" applyNumberFormat="1" applyFont="1" applyBorder="1" applyAlignment="1">
      <alignment horizontal="right"/>
    </xf>
    <xf numFmtId="1" fontId="2" fillId="0" borderId="9" xfId="7" applyNumberFormat="1" applyFont="1" applyBorder="1" applyAlignment="1">
      <alignment horizontal="right"/>
    </xf>
    <xf numFmtId="167" fontId="2" fillId="0" borderId="9" xfId="7" applyNumberFormat="1" applyFont="1" applyBorder="1" applyAlignment="1">
      <alignment horizontal="right"/>
    </xf>
    <xf numFmtId="37" fontId="2" fillId="0" borderId="9" xfId="7" applyNumberFormat="1" applyFont="1" applyBorder="1" applyAlignment="1">
      <alignment horizontal="right"/>
    </xf>
    <xf numFmtId="9" fontId="2" fillId="0" borderId="9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9" xfId="7" applyNumberFormat="1" applyFont="1" applyBorder="1" applyAlignment="1">
      <alignment wrapText="1"/>
    </xf>
    <xf numFmtId="37" fontId="3" fillId="0" borderId="9" xfId="2" applyNumberFormat="1" applyFont="1" applyBorder="1" applyAlignment="1">
      <alignment horizontal="right"/>
    </xf>
    <xf numFmtId="3" fontId="3" fillId="0" borderId="9" xfId="2" applyNumberFormat="1" applyFont="1" applyBorder="1" applyAlignment="1">
      <alignment horizontal="right"/>
    </xf>
    <xf numFmtId="9" fontId="3" fillId="0" borderId="9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20" xfId="7" applyFont="1" applyBorder="1" applyAlignment="1">
      <alignment horizontal="center"/>
    </xf>
    <xf numFmtId="164" fontId="5" fillId="0" borderId="9" xfId="7" applyNumberFormat="1" applyFont="1" applyBorder="1" applyAlignment="1">
      <alignment wrapText="1"/>
    </xf>
    <xf numFmtId="164" fontId="4" fillId="0" borderId="9" xfId="7" applyNumberFormat="1" applyFont="1" applyBorder="1" applyAlignment="1">
      <alignment horizontal="center"/>
    </xf>
    <xf numFmtId="164" fontId="6" fillId="0" borderId="9" xfId="7" applyNumberFormat="1" applyFont="1" applyBorder="1" applyAlignment="1">
      <alignment wrapText="1"/>
    </xf>
    <xf numFmtId="3" fontId="1" fillId="0" borderId="9" xfId="2" applyNumberFormat="1" applyFont="1" applyBorder="1" applyAlignment="1">
      <alignment horizontal="right"/>
    </xf>
    <xf numFmtId="9" fontId="1" fillId="0" borderId="9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9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9" xfId="7" applyNumberFormat="1" applyFont="1" applyBorder="1" applyAlignment="1">
      <alignment horizontal="right"/>
    </xf>
    <xf numFmtId="3" fontId="6" fillId="0" borderId="9" xfId="2" applyNumberFormat="1" applyFont="1" applyBorder="1" applyAlignment="1">
      <alignment horizontal="right"/>
    </xf>
    <xf numFmtId="170" fontId="1" fillId="0" borderId="9" xfId="7" applyNumberFormat="1" applyFont="1" applyBorder="1" applyAlignment="1">
      <alignment horizontal="right"/>
    </xf>
    <xf numFmtId="170" fontId="1" fillId="0" borderId="9" xfId="2" applyNumberFormat="1" applyFont="1" applyBorder="1" applyAlignment="1">
      <alignment horizontal="right"/>
    </xf>
    <xf numFmtId="170" fontId="3" fillId="0" borderId="9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9" xfId="8" applyFont="1" applyBorder="1" applyAlignment="1" applyProtection="1">
      <alignment horizontal="left"/>
      <protection locked="0"/>
    </xf>
    <xf numFmtId="0" fontId="3" fillId="0" borderId="9" xfId="8" applyFont="1" applyBorder="1" applyAlignment="1" applyProtection="1">
      <alignment horizontal="center"/>
      <protection locked="0"/>
    </xf>
    <xf numFmtId="0" fontId="11" fillId="0" borderId="22" xfId="8" applyFont="1" applyBorder="1" applyProtection="1">
      <protection locked="0"/>
    </xf>
    <xf numFmtId="0" fontId="18" fillId="0" borderId="9" xfId="8" applyFont="1" applyBorder="1" applyAlignment="1" applyProtection="1">
      <alignment horizontal="center"/>
      <protection locked="0"/>
    </xf>
    <xf numFmtId="0" fontId="18" fillId="0" borderId="2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9" xfId="8" applyFont="1" applyBorder="1" applyAlignment="1" applyProtection="1">
      <alignment horizontal="center"/>
      <protection locked="0"/>
    </xf>
    <xf numFmtId="0" fontId="20" fillId="0" borderId="9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18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9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9" xfId="8" applyFont="1" applyBorder="1" applyAlignment="1"/>
    <xf numFmtId="0" fontId="9" fillId="0" borderId="9" xfId="8" applyFont="1" applyBorder="1" applyAlignment="1">
      <alignment horizontal="center" vertical="top"/>
    </xf>
    <xf numFmtId="0" fontId="5" fillId="0" borderId="9" xfId="8" applyFont="1" applyBorder="1" applyAlignment="1"/>
    <xf numFmtId="0" fontId="19" fillId="0" borderId="9" xfId="8" applyFont="1" applyBorder="1" applyAlignment="1" applyProtection="1">
      <alignment horizontal="center"/>
      <protection locked="0"/>
    </xf>
    <xf numFmtId="0" fontId="11" fillId="0" borderId="9" xfId="8" applyFont="1" applyBorder="1" applyAlignment="1">
      <alignment horizontal="center"/>
    </xf>
    <xf numFmtId="0" fontId="11" fillId="0" borderId="9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9" xfId="8" applyFont="1" applyBorder="1" applyAlignment="1">
      <alignment horizontal="center" vertical="top"/>
    </xf>
    <xf numFmtId="0" fontId="20" fillId="0" borderId="9" xfId="8" applyFont="1" applyBorder="1" applyAlignment="1">
      <alignment vertical="top"/>
    </xf>
    <xf numFmtId="0" fontId="11" fillId="0" borderId="9" xfId="8" applyFont="1" applyBorder="1" applyProtection="1">
      <protection locked="0"/>
    </xf>
    <xf numFmtId="0" fontId="11" fillId="0" borderId="9" xfId="8" applyFont="1" applyBorder="1" applyAlignment="1">
      <alignment vertical="top" wrapText="1"/>
    </xf>
    <xf numFmtId="0" fontId="11" fillId="0" borderId="9" xfId="8" applyFont="1" applyBorder="1" applyAlignment="1">
      <alignment horizontal="center" vertical="top"/>
    </xf>
    <xf numFmtId="6" fontId="11" fillId="0" borderId="9" xfId="8" applyNumberFormat="1" applyFont="1" applyBorder="1" applyAlignment="1">
      <alignment horizontal="right" vertical="top"/>
    </xf>
    <xf numFmtId="6" fontId="11" fillId="0" borderId="9" xfId="8" applyNumberFormat="1" applyFont="1" applyBorder="1" applyAlignment="1">
      <alignment vertical="top"/>
    </xf>
    <xf numFmtId="38" fontId="11" fillId="0" borderId="9" xfId="8" applyNumberFormat="1" applyFont="1" applyBorder="1" applyAlignment="1">
      <alignment horizontal="right" vertical="top"/>
    </xf>
    <xf numFmtId="0" fontId="18" fillId="0" borderId="9" xfId="8" applyFont="1" applyBorder="1" applyAlignment="1">
      <alignment vertical="top" wrapText="1"/>
    </xf>
    <xf numFmtId="6" fontId="18" fillId="0" borderId="9" xfId="8" applyNumberFormat="1" applyFont="1" applyBorder="1" applyAlignment="1">
      <alignment vertical="top"/>
    </xf>
    <xf numFmtId="38" fontId="11" fillId="0" borderId="9" xfId="8" applyNumberFormat="1" applyFont="1" applyBorder="1" applyAlignment="1">
      <alignment vertical="top"/>
    </xf>
    <xf numFmtId="0" fontId="19" fillId="0" borderId="9" xfId="8" applyFont="1" applyBorder="1" applyAlignment="1" applyProtection="1">
      <alignment horizontal="left"/>
      <protection locked="0"/>
    </xf>
    <xf numFmtId="0" fontId="19" fillId="0" borderId="9" xfId="8" applyFont="1" applyBorder="1" applyProtection="1">
      <protection locked="0"/>
    </xf>
    <xf numFmtId="0" fontId="20" fillId="0" borderId="9" xfId="8" applyFont="1" applyBorder="1" applyProtection="1">
      <protection locked="0"/>
    </xf>
    <xf numFmtId="0" fontId="20" fillId="0" borderId="9" xfId="8" applyFont="1" applyBorder="1" applyAlignment="1"/>
    <xf numFmtId="10" fontId="11" fillId="0" borderId="9" xfId="11" applyNumberFormat="1" applyFont="1" applyBorder="1" applyAlignment="1">
      <alignment vertical="top"/>
    </xf>
    <xf numFmtId="10" fontId="18" fillId="0" borderId="9" xfId="8" applyNumberFormat="1" applyFont="1" applyBorder="1" applyAlignment="1">
      <alignment vertical="top"/>
    </xf>
    <xf numFmtId="10" fontId="18" fillId="0" borderId="9" xfId="11" applyNumberFormat="1" applyFont="1" applyBorder="1" applyAlignment="1">
      <alignment vertical="top"/>
    </xf>
    <xf numFmtId="10" fontId="18" fillId="0" borderId="9" xfId="8" applyNumberFormat="1" applyFont="1" applyBorder="1" applyAlignment="1" applyProtection="1">
      <alignment horizontal="center"/>
      <protection locked="0"/>
    </xf>
    <xf numFmtId="0" fontId="18" fillId="0" borderId="9" xfId="8" applyFont="1" applyBorder="1" applyProtection="1">
      <protection locked="0"/>
    </xf>
    <xf numFmtId="167" fontId="11" fillId="0" borderId="9" xfId="11" applyNumberFormat="1" applyFont="1" applyBorder="1" applyAlignment="1">
      <alignment vertical="top"/>
    </xf>
    <xf numFmtId="0" fontId="9" fillId="0" borderId="9" xfId="8" applyFont="1" applyBorder="1" applyAlignment="1" applyProtection="1">
      <alignment horizontal="center"/>
      <protection locked="0"/>
    </xf>
    <xf numFmtId="3" fontId="11" fillId="0" borderId="9" xfId="8" applyNumberFormat="1" applyFont="1" applyBorder="1" applyAlignment="1">
      <alignment horizontal="right" vertical="top"/>
    </xf>
    <xf numFmtId="176" fontId="11" fillId="0" borderId="9" xfId="3" applyNumberFormat="1" applyFont="1" applyBorder="1" applyAlignment="1">
      <alignment vertical="top"/>
    </xf>
    <xf numFmtId="3" fontId="18" fillId="0" borderId="9" xfId="8" applyNumberFormat="1" applyFont="1" applyBorder="1" applyAlignment="1">
      <alignment vertical="top"/>
    </xf>
    <xf numFmtId="176" fontId="18" fillId="0" borderId="9" xfId="3" applyNumberFormat="1" applyFont="1" applyBorder="1" applyAlignment="1">
      <alignment vertical="top"/>
    </xf>
    <xf numFmtId="3" fontId="11" fillId="0" borderId="9" xfId="8" applyNumberFormat="1" applyFont="1" applyBorder="1" applyAlignment="1">
      <alignment vertical="top"/>
    </xf>
    <xf numFmtId="3" fontId="11" fillId="0" borderId="9" xfId="8" applyNumberFormat="1" applyFont="1" applyFill="1" applyBorder="1" applyAlignment="1">
      <alignment vertical="top"/>
    </xf>
    <xf numFmtId="170" fontId="11" fillId="0" borderId="9" xfId="8" applyNumberFormat="1" applyFont="1" applyBorder="1" applyAlignment="1">
      <alignment vertical="top"/>
    </xf>
    <xf numFmtId="174" fontId="11" fillId="0" borderId="9" xfId="3" applyNumberFormat="1" applyFont="1" applyBorder="1" applyAlignment="1">
      <alignment vertical="top"/>
    </xf>
    <xf numFmtId="170" fontId="18" fillId="0" borderId="9" xfId="8" applyNumberFormat="1" applyFont="1" applyBorder="1" applyAlignment="1">
      <alignment vertical="top"/>
    </xf>
    <xf numFmtId="174" fontId="18" fillId="0" borderId="9" xfId="3" applyNumberFormat="1" applyFont="1" applyBorder="1" applyAlignment="1">
      <alignment vertical="top"/>
    </xf>
    <xf numFmtId="174" fontId="11" fillId="0" borderId="9" xfId="8" applyNumberFormat="1" applyFont="1" applyBorder="1" applyAlignment="1">
      <alignment vertical="top"/>
    </xf>
    <xf numFmtId="180" fontId="11" fillId="0" borderId="9" xfId="8" applyNumberFormat="1" applyFont="1" applyBorder="1" applyAlignment="1">
      <alignment horizontal="right" vertical="top"/>
    </xf>
    <xf numFmtId="172" fontId="11" fillId="0" borderId="9" xfId="3" applyNumberFormat="1" applyFont="1" applyBorder="1" applyAlignment="1">
      <alignment vertical="top"/>
    </xf>
    <xf numFmtId="180" fontId="18" fillId="0" borderId="9" xfId="8" applyNumberFormat="1" applyFont="1" applyBorder="1" applyAlignment="1">
      <alignment horizontal="right" vertical="top"/>
    </xf>
    <xf numFmtId="172" fontId="18" fillId="0" borderId="9" xfId="3" applyNumberFormat="1" applyFont="1" applyBorder="1" applyAlignment="1">
      <alignment vertical="top"/>
    </xf>
    <xf numFmtId="0" fontId="11" fillId="0" borderId="9" xfId="8" applyFont="1" applyBorder="1" applyAlignment="1">
      <alignment horizontal="right" vertical="top"/>
    </xf>
    <xf numFmtId="6" fontId="11" fillId="0" borderId="9" xfId="8" applyNumberFormat="1" applyFont="1" applyBorder="1" applyProtection="1">
      <protection locked="0"/>
    </xf>
    <xf numFmtId="10" fontId="11" fillId="0" borderId="9" xfId="11" applyNumberFormat="1" applyFont="1" applyBorder="1" applyProtection="1">
      <protection locked="0"/>
    </xf>
    <xf numFmtId="0" fontId="27" fillId="0" borderId="9" xfId="8" applyFont="1" applyFill="1" applyBorder="1" applyAlignment="1">
      <alignment vertical="top" wrapText="1"/>
    </xf>
    <xf numFmtId="6" fontId="11" fillId="0" borderId="9" xfId="8" applyNumberFormat="1" applyFont="1" applyFill="1" applyBorder="1" applyProtection="1">
      <protection locked="0"/>
    </xf>
    <xf numFmtId="0" fontId="5" fillId="0" borderId="9" xfId="8" applyFont="1" applyBorder="1" applyAlignment="1">
      <alignment vertical="top"/>
    </xf>
    <xf numFmtId="0" fontId="11" fillId="0" borderId="9" xfId="8" applyFont="1" applyBorder="1" applyAlignment="1" applyProtection="1">
      <alignment horizontal="left"/>
      <protection locked="0"/>
    </xf>
    <xf numFmtId="0" fontId="18" fillId="0" borderId="9" xfId="8" applyFont="1" applyBorder="1" applyAlignment="1" applyProtection="1">
      <alignment horizontal="left"/>
      <protection locked="0"/>
    </xf>
    <xf numFmtId="169" fontId="11" fillId="0" borderId="9" xfId="3" applyNumberFormat="1" applyFont="1" applyBorder="1" applyProtection="1">
      <protection locked="0"/>
    </xf>
    <xf numFmtId="169" fontId="11" fillId="0" borderId="9" xfId="8" applyNumberFormat="1" applyFont="1" applyBorder="1" applyProtection="1">
      <protection locked="0"/>
    </xf>
    <xf numFmtId="169" fontId="18" fillId="0" borderId="9" xfId="3" applyNumberFormat="1" applyFont="1" applyBorder="1" applyProtection="1">
      <protection locked="0"/>
    </xf>
    <xf numFmtId="169" fontId="18" fillId="0" borderId="9" xfId="8" applyNumberFormat="1" applyFont="1" applyBorder="1" applyProtection="1">
      <protection locked="0"/>
    </xf>
    <xf numFmtId="181" fontId="11" fillId="0" borderId="9" xfId="8" applyNumberFormat="1" applyFont="1" applyBorder="1" applyProtection="1">
      <protection locked="0"/>
    </xf>
    <xf numFmtId="181" fontId="18" fillId="0" borderId="9" xfId="8" applyNumberFormat="1" applyFont="1" applyBorder="1" applyProtection="1">
      <protection locked="0"/>
    </xf>
    <xf numFmtId="182" fontId="18" fillId="0" borderId="9" xfId="8" applyNumberFormat="1" applyFont="1" applyBorder="1" applyProtection="1">
      <protection locked="0"/>
    </xf>
    <xf numFmtId="8" fontId="11" fillId="0" borderId="9" xfId="8" applyNumberFormat="1" applyFont="1" applyBorder="1" applyProtection="1">
      <protection locked="0"/>
    </xf>
    <xf numFmtId="8" fontId="18" fillId="0" borderId="9" xfId="8" applyNumberFormat="1" applyFont="1" applyBorder="1" applyProtection="1">
      <protection locked="0"/>
    </xf>
    <xf numFmtId="8" fontId="11" fillId="0" borderId="9" xfId="8" applyNumberFormat="1" applyFont="1" applyBorder="1" applyAlignment="1" applyProtection="1">
      <alignment horizontal="right"/>
      <protection locked="0"/>
    </xf>
    <xf numFmtId="8" fontId="18" fillId="0" borderId="9" xfId="8" applyNumberFormat="1" applyFont="1" applyBorder="1" applyAlignment="1" applyProtection="1">
      <alignment horizontal="right"/>
      <protection locked="0"/>
    </xf>
    <xf numFmtId="6" fontId="18" fillId="0" borderId="9" xfId="8" applyNumberFormat="1" applyFont="1" applyBorder="1" applyProtection="1">
      <protection locked="0"/>
    </xf>
    <xf numFmtId="6" fontId="29" fillId="0" borderId="9" xfId="8" applyNumberFormat="1" applyFont="1" applyBorder="1" applyProtection="1">
      <protection locked="0"/>
    </xf>
    <xf numFmtId="183" fontId="11" fillId="0" borderId="9" xfId="3" applyNumberFormat="1" applyFont="1" applyBorder="1" applyProtection="1">
      <protection locked="0"/>
    </xf>
    <xf numFmtId="184" fontId="11" fillId="0" borderId="9" xfId="8" applyNumberFormat="1" applyFont="1" applyBorder="1" applyProtection="1">
      <protection locked="0"/>
    </xf>
    <xf numFmtId="6" fontId="11" fillId="0" borderId="14" xfId="8" applyNumberFormat="1" applyFont="1" applyBorder="1" applyProtection="1">
      <protection locked="0"/>
    </xf>
    <xf numFmtId="0" fontId="11" fillId="0" borderId="9" xfId="8" applyFont="1" applyFill="1" applyBorder="1" applyAlignment="1">
      <alignment horizontal="center" vertical="top"/>
    </xf>
    <xf numFmtId="0" fontId="11" fillId="0" borderId="9" xfId="8" applyFont="1" applyFill="1" applyBorder="1" applyAlignment="1">
      <alignment vertical="top"/>
    </xf>
    <xf numFmtId="6" fontId="29" fillId="0" borderId="9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9" xfId="8" applyFont="1" applyBorder="1" applyAlignment="1">
      <alignment vertical="top"/>
    </xf>
    <xf numFmtId="10" fontId="11" fillId="0" borderId="9" xfId="8" applyNumberFormat="1" applyFont="1" applyBorder="1" applyProtection="1">
      <protection locked="0"/>
    </xf>
    <xf numFmtId="10" fontId="18" fillId="0" borderId="9" xfId="11" applyNumberFormat="1" applyFont="1" applyBorder="1" applyProtection="1">
      <protection locked="0"/>
    </xf>
    <xf numFmtId="10" fontId="18" fillId="0" borderId="9" xfId="8" applyNumberFormat="1" applyFont="1" applyBorder="1" applyProtection="1">
      <protection locked="0"/>
    </xf>
    <xf numFmtId="0" fontId="3" fillId="0" borderId="9" xfId="8" applyFont="1" applyBorder="1" applyAlignment="1"/>
    <xf numFmtId="6" fontId="11" fillId="0" borderId="9" xfId="8" applyNumberFormat="1" applyFont="1" applyFill="1" applyBorder="1" applyAlignment="1">
      <alignment horizontal="right" vertical="top"/>
    </xf>
    <xf numFmtId="6" fontId="11" fillId="0" borderId="9" xfId="8" applyNumberFormat="1" applyFont="1" applyFill="1" applyBorder="1" applyAlignment="1">
      <alignment vertical="top"/>
    </xf>
    <xf numFmtId="6" fontId="18" fillId="0" borderId="9" xfId="8" applyNumberFormat="1" applyFont="1" applyFill="1" applyBorder="1" applyAlignment="1">
      <alignment vertical="top"/>
    </xf>
    <xf numFmtId="6" fontId="18" fillId="0" borderId="9" xfId="8" applyNumberFormat="1" applyFont="1" applyBorder="1" applyAlignment="1">
      <alignment horizontal="right" vertical="top"/>
    </xf>
    <xf numFmtId="6" fontId="18" fillId="0" borderId="9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9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9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9" xfId="8" applyFont="1" applyBorder="1" applyAlignment="1">
      <alignment vertical="top"/>
    </xf>
    <xf numFmtId="0" fontId="6" fillId="0" borderId="9" xfId="8" applyFont="1" applyBorder="1" applyProtection="1">
      <protection locked="0"/>
    </xf>
    <xf numFmtId="0" fontId="6" fillId="0" borderId="9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9" xfId="8" applyNumberFormat="1" applyFont="1" applyBorder="1" applyAlignment="1">
      <alignment horizontal="right" vertical="top"/>
    </xf>
    <xf numFmtId="10" fontId="11" fillId="0" borderId="9" xfId="8" applyNumberFormat="1" applyFont="1" applyBorder="1" applyAlignment="1">
      <alignment horizontal="right" vertical="top"/>
    </xf>
    <xf numFmtId="185" fontId="11" fillId="0" borderId="9" xfId="8" applyNumberFormat="1" applyFont="1" applyBorder="1" applyProtection="1">
      <protection locked="0"/>
    </xf>
    <xf numFmtId="0" fontId="6" fillId="0" borderId="9" xfId="8" applyFont="1" applyFill="1" applyBorder="1" applyAlignment="1">
      <alignment vertical="top"/>
    </xf>
    <xf numFmtId="0" fontId="6" fillId="0" borderId="9" xfId="8" applyFont="1" applyBorder="1" applyAlignment="1" applyProtection="1">
      <alignment horizontal="center"/>
      <protection locked="0"/>
    </xf>
    <xf numFmtId="6" fontId="11" fillId="0" borderId="18" xfId="8" applyNumberFormat="1" applyFont="1" applyBorder="1" applyAlignment="1">
      <alignment horizontal="right" vertical="top"/>
    </xf>
    <xf numFmtId="6" fontId="11" fillId="0" borderId="18" xfId="8" applyNumberFormat="1" applyFont="1" applyBorder="1" applyAlignment="1">
      <alignment vertical="top"/>
    </xf>
    <xf numFmtId="6" fontId="18" fillId="0" borderId="18" xfId="8" applyNumberFormat="1" applyFont="1" applyBorder="1" applyAlignment="1">
      <alignment horizontal="right" vertical="top"/>
    </xf>
    <xf numFmtId="0" fontId="1" fillId="0" borderId="32" xfId="7" applyFont="1" applyBorder="1"/>
    <xf numFmtId="0" fontId="3" fillId="0" borderId="0" xfId="7" applyFont="1" applyBorder="1" applyAlignment="1">
      <alignment horizontal="right"/>
    </xf>
    <xf numFmtId="37" fontId="2" fillId="0" borderId="32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2" xfId="7" applyFont="1" applyBorder="1" applyAlignment="1">
      <alignment horizontal="center"/>
    </xf>
    <xf numFmtId="0" fontId="5" fillId="0" borderId="32" xfId="7" applyFont="1" applyBorder="1"/>
    <xf numFmtId="0" fontId="4" fillId="0" borderId="32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2" xfId="7" applyFont="1" applyBorder="1"/>
    <xf numFmtId="43" fontId="6" fillId="0" borderId="32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2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2" xfId="7" applyNumberFormat="1" applyFont="1" applyBorder="1" applyAlignment="1">
      <alignment horizontal="right"/>
    </xf>
    <xf numFmtId="43" fontId="6" fillId="0" borderId="32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2" xfId="2" applyFont="1" applyFill="1" applyBorder="1" applyAlignment="1" applyProtection="1">
      <alignment horizontal="left" wrapText="1"/>
      <protection locked="0"/>
    </xf>
    <xf numFmtId="0" fontId="6" fillId="0" borderId="32" xfId="7" applyFont="1" applyBorder="1"/>
    <xf numFmtId="43" fontId="3" fillId="0" borderId="32" xfId="2" applyFont="1" applyBorder="1" applyAlignment="1" applyProtection="1">
      <alignment horizontal="left"/>
      <protection locked="0"/>
    </xf>
    <xf numFmtId="37" fontId="10" fillId="0" borderId="32" xfId="7" applyNumberFormat="1" applyFont="1" applyBorder="1" applyAlignment="1">
      <alignment horizontal="right"/>
    </xf>
    <xf numFmtId="9" fontId="10" fillId="0" borderId="32" xfId="7" applyNumberFormat="1" applyFont="1" applyBorder="1" applyAlignment="1">
      <alignment horizontal="right"/>
    </xf>
    <xf numFmtId="0" fontId="30" fillId="0" borderId="32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2" xfId="7" applyFont="1" applyBorder="1" applyAlignment="1">
      <alignment horizontal="left" wrapText="1"/>
    </xf>
    <xf numFmtId="167" fontId="3" fillId="0" borderId="32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2" xfId="7" applyNumberFormat="1" applyFont="1" applyBorder="1" applyAlignment="1">
      <alignment horizontal="right"/>
    </xf>
    <xf numFmtId="0" fontId="2" fillId="0" borderId="32" xfId="7" applyFont="1" applyBorder="1" applyAlignment="1"/>
    <xf numFmtId="0" fontId="31" fillId="0" borderId="32" xfId="7" applyFont="1" applyBorder="1" applyAlignment="1">
      <alignment horizontal="left"/>
    </xf>
    <xf numFmtId="5" fontId="31" fillId="0" borderId="32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2" xfId="7" applyFont="1" applyBorder="1" applyAlignment="1">
      <alignment horizontal="left"/>
    </xf>
    <xf numFmtId="43" fontId="11" fillId="0" borderId="32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4" xfId="6" applyFont="1" applyBorder="1" applyAlignment="1">
      <alignment horizontal="center"/>
    </xf>
    <xf numFmtId="0" fontId="2" fillId="0" borderId="36" xfId="6" applyFont="1" applyBorder="1" applyAlignment="1">
      <alignment horizontal="center"/>
    </xf>
    <xf numFmtId="0" fontId="2" fillId="0" borderId="37" xfId="6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0" fontId="3" fillId="0" borderId="36" xfId="7" applyFont="1" applyBorder="1" applyAlignment="1">
      <alignment horizontal="center"/>
    </xf>
    <xf numFmtId="0" fontId="3" fillId="0" borderId="37" xfId="7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20" xfId="6" applyNumberFormat="1" applyFont="1" applyFill="1" applyBorder="1" applyAlignment="1">
      <alignment horizontal="center" wrapText="1"/>
    </xf>
    <xf numFmtId="164" fontId="3" fillId="3" borderId="21" xfId="6" applyNumberFormat="1" applyFont="1" applyFill="1" applyBorder="1" applyAlignment="1">
      <alignment horizontal="center" wrapText="1"/>
    </xf>
    <xf numFmtId="164" fontId="3" fillId="3" borderId="19" xfId="6" applyNumberFormat="1" applyFont="1" applyFill="1" applyBorder="1" applyAlignment="1">
      <alignment horizontal="center" wrapText="1"/>
    </xf>
    <xf numFmtId="164" fontId="3" fillId="0" borderId="2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2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23" xfId="6" applyNumberFormat="1" applyFont="1" applyBorder="1" applyAlignment="1">
      <alignment horizontal="center"/>
    </xf>
    <xf numFmtId="5" fontId="6" fillId="0" borderId="24" xfId="6" applyNumberFormat="1" applyFont="1" applyBorder="1" applyAlignment="1">
      <alignment horizontal="center"/>
    </xf>
    <xf numFmtId="5" fontId="6" fillId="0" borderId="25" xfId="6" applyNumberFormat="1" applyFont="1" applyBorder="1" applyAlignment="1">
      <alignment horizontal="center"/>
    </xf>
    <xf numFmtId="5" fontId="6" fillId="0" borderId="20" xfId="6" applyNumberFormat="1" applyFont="1" applyBorder="1" applyAlignment="1">
      <alignment horizontal="center"/>
    </xf>
    <xf numFmtId="5" fontId="6" fillId="0" borderId="21" xfId="6" applyNumberFormat="1" applyFont="1" applyBorder="1" applyAlignment="1">
      <alignment horizontal="center"/>
    </xf>
    <xf numFmtId="5" fontId="6" fillId="0" borderId="19" xfId="6" applyNumberFormat="1" applyFont="1" applyBorder="1" applyAlignment="1">
      <alignment horizontal="center"/>
    </xf>
    <xf numFmtId="0" fontId="3" fillId="0" borderId="13" xfId="7" applyFont="1" applyBorder="1" applyAlignment="1">
      <alignment horizontal="center"/>
    </xf>
    <xf numFmtId="0" fontId="3" fillId="0" borderId="26" xfId="7" applyFont="1" applyBorder="1" applyAlignment="1">
      <alignment horizontal="center"/>
    </xf>
    <xf numFmtId="0" fontId="3" fillId="0" borderId="27" xfId="7" applyFont="1" applyBorder="1" applyAlignment="1">
      <alignment horizontal="center"/>
    </xf>
    <xf numFmtId="0" fontId="15" fillId="0" borderId="14" xfId="6" applyFont="1" applyBorder="1" applyAlignment="1"/>
    <xf numFmtId="0" fontId="15" fillId="0" borderId="8" xfId="6" applyFont="1" applyBorder="1" applyAlignment="1"/>
    <xf numFmtId="164" fontId="12" fillId="0" borderId="18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20" xfId="6" applyNumberFormat="1" applyFont="1" applyBorder="1" applyAlignment="1">
      <alignment horizontal="center" wrapText="1"/>
    </xf>
    <xf numFmtId="164" fontId="12" fillId="0" borderId="21" xfId="6" applyNumberFormat="1" applyFont="1" applyBorder="1" applyAlignment="1">
      <alignment horizontal="center" wrapText="1"/>
    </xf>
    <xf numFmtId="164" fontId="12" fillId="0" borderId="19" xfId="6" applyNumberFormat="1" applyFont="1" applyBorder="1" applyAlignment="1">
      <alignment horizontal="center" wrapText="1"/>
    </xf>
    <xf numFmtId="0" fontId="14" fillId="0" borderId="22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2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23" xfId="6" applyNumberFormat="1" applyFont="1" applyBorder="1" applyAlignment="1">
      <alignment horizontal="center" wrapText="1"/>
    </xf>
    <xf numFmtId="164" fontId="12" fillId="0" borderId="24" xfId="6" applyNumberFormat="1" applyFont="1" applyBorder="1" applyAlignment="1">
      <alignment horizontal="center" wrapText="1"/>
    </xf>
    <xf numFmtId="164" fontId="12" fillId="0" borderId="25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164" fontId="12" fillId="3" borderId="30" xfId="6" applyNumberFormat="1" applyFont="1" applyFill="1" applyBorder="1" applyAlignment="1">
      <alignment horizontal="center" wrapText="1"/>
    </xf>
    <xf numFmtId="0" fontId="14" fillId="0" borderId="14" xfId="6" applyFont="1" applyBorder="1" applyAlignment="1">
      <alignment horizontal="center"/>
    </xf>
    <xf numFmtId="0" fontId="2" fillId="0" borderId="34" xfId="6" applyFont="1" applyBorder="1" applyAlignment="1">
      <alignment horizontal="center" wrapText="1"/>
    </xf>
    <xf numFmtId="0" fontId="2" fillId="0" borderId="36" xfId="6" applyFont="1" applyBorder="1" applyAlignment="1">
      <alignment horizontal="center" wrapText="1"/>
    </xf>
    <xf numFmtId="0" fontId="2" fillId="0" borderId="37" xfId="6" applyFont="1" applyBorder="1" applyAlignment="1">
      <alignment horizontal="center" wrapText="1"/>
    </xf>
    <xf numFmtId="0" fontId="2" fillId="0" borderId="13" xfId="7" applyFont="1" applyBorder="1" applyAlignment="1">
      <alignment horizontal="center"/>
    </xf>
    <xf numFmtId="0" fontId="2" fillId="0" borderId="26" xfId="7" applyFont="1" applyBorder="1" applyAlignment="1">
      <alignment horizontal="center"/>
    </xf>
    <xf numFmtId="0" fontId="2" fillId="0" borderId="27" xfId="7" applyFont="1" applyBorder="1" applyAlignment="1">
      <alignment horizontal="center"/>
    </xf>
    <xf numFmtId="164" fontId="3" fillId="0" borderId="13" xfId="7" applyNumberFormat="1" applyFont="1" applyBorder="1" applyAlignment="1">
      <alignment wrapText="1"/>
    </xf>
    <xf numFmtId="164" fontId="3" fillId="0" borderId="26" xfId="7" applyNumberFormat="1" applyFont="1" applyBorder="1" applyAlignment="1">
      <alignment wrapText="1"/>
    </xf>
    <xf numFmtId="164" fontId="3" fillId="0" borderId="27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13" xfId="8" applyFont="1" applyBorder="1" applyAlignment="1" applyProtection="1">
      <alignment horizontal="center"/>
      <protection locked="0"/>
    </xf>
    <xf numFmtId="0" fontId="3" fillId="0" borderId="26" xfId="8" applyFont="1" applyBorder="1" applyAlignment="1" applyProtection="1">
      <alignment horizontal="center"/>
      <protection locked="0"/>
    </xf>
    <xf numFmtId="0" fontId="3" fillId="0" borderId="27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13" xfId="8" applyNumberFormat="1" applyFont="1" applyBorder="1" applyAlignment="1" applyProtection="1">
      <alignment horizontal="center"/>
      <protection locked="0"/>
    </xf>
    <xf numFmtId="164" fontId="3" fillId="0" borderId="26" xfId="8" applyNumberFormat="1" applyFont="1" applyBorder="1" applyAlignment="1" applyProtection="1">
      <alignment horizontal="center"/>
      <protection locked="0"/>
    </xf>
    <xf numFmtId="164" fontId="3" fillId="0" borderId="27" xfId="8" applyNumberFormat="1" applyFont="1" applyBorder="1" applyAlignment="1" applyProtection="1">
      <alignment horizontal="center"/>
      <protection locked="0"/>
    </xf>
    <xf numFmtId="0" fontId="1" fillId="0" borderId="34" xfId="7" applyFont="1" applyBorder="1"/>
    <xf numFmtId="0" fontId="1" fillId="0" borderId="36" xfId="7" applyFont="1" applyBorder="1"/>
    <xf numFmtId="0" fontId="1" fillId="0" borderId="37" xfId="7" applyFont="1" applyBorder="1"/>
    <xf numFmtId="0" fontId="2" fillId="0" borderId="34" xfId="7" applyFont="1" applyBorder="1" applyAlignment="1">
      <alignment horizontal="center"/>
    </xf>
    <xf numFmtId="0" fontId="2" fillId="0" borderId="36" xfId="7" applyFont="1" applyBorder="1" applyAlignment="1">
      <alignment horizontal="center"/>
    </xf>
    <xf numFmtId="0" fontId="2" fillId="0" borderId="37" xfId="7" applyFont="1" applyBorder="1" applyAlignment="1">
      <alignment horizontal="center"/>
    </xf>
    <xf numFmtId="0" fontId="3" fillId="0" borderId="34" xfId="7" applyFont="1" applyBorder="1" applyAlignment="1">
      <alignment horizontal="left"/>
    </xf>
    <xf numFmtId="0" fontId="3" fillId="0" borderId="36" xfId="7" applyFont="1" applyBorder="1" applyAlignment="1">
      <alignment horizontal="left"/>
    </xf>
    <xf numFmtId="0" fontId="3" fillId="0" borderId="37" xfId="7" applyFont="1" applyBorder="1" applyAlignment="1">
      <alignment horizontal="left"/>
    </xf>
    <xf numFmtId="0" fontId="3" fillId="0" borderId="34" xfId="7" applyFont="1" applyBorder="1" applyAlignment="1">
      <alignment horizontal="left" wrapText="1"/>
    </xf>
    <xf numFmtId="0" fontId="3" fillId="0" borderId="36" xfId="7" applyFont="1" applyBorder="1" applyAlignment="1">
      <alignment horizontal="left" wrapText="1"/>
    </xf>
    <xf numFmtId="0" fontId="3" fillId="0" borderId="37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1772696</v>
      </c>
      <c r="D13" s="22">
        <v>2130527</v>
      </c>
      <c r="E13" s="22">
        <f t="shared" ref="E13:E22" si="0">D13-C13</f>
        <v>357831</v>
      </c>
      <c r="F13" s="23">
        <f t="shared" ref="F13:F22" si="1">IF(C13=0,0,E13/C13)</f>
        <v>0.20185694557893738</v>
      </c>
    </row>
    <row r="14" spans="1:8" ht="24" customHeight="1" x14ac:dyDescent="0.2">
      <c r="A14" s="20">
        <v>2</v>
      </c>
      <c r="B14" s="21" t="s">
        <v>17</v>
      </c>
      <c r="C14" s="22">
        <v>0</v>
      </c>
      <c r="D14" s="22">
        <v>0</v>
      </c>
      <c r="E14" s="22">
        <f t="shared" si="0"/>
        <v>0</v>
      </c>
      <c r="F14" s="23">
        <f t="shared" si="1"/>
        <v>0</v>
      </c>
    </row>
    <row r="15" spans="1:8" ht="24" customHeight="1" x14ac:dyDescent="0.2">
      <c r="A15" s="20">
        <v>3</v>
      </c>
      <c r="B15" s="21" t="s">
        <v>18</v>
      </c>
      <c r="C15" s="22">
        <v>10900702</v>
      </c>
      <c r="D15" s="22">
        <v>8279947</v>
      </c>
      <c r="E15" s="22">
        <f t="shared" si="0"/>
        <v>-2620755</v>
      </c>
      <c r="F15" s="23">
        <f t="shared" si="1"/>
        <v>-0.24042075455323886</v>
      </c>
    </row>
    <row r="16" spans="1:8" ht="24" customHeight="1" x14ac:dyDescent="0.2">
      <c r="A16" s="20">
        <v>4</v>
      </c>
      <c r="B16" s="21" t="s">
        <v>19</v>
      </c>
      <c r="C16" s="22">
        <v>323965</v>
      </c>
      <c r="D16" s="22">
        <v>265258</v>
      </c>
      <c r="E16" s="22">
        <f t="shared" si="0"/>
        <v>-58707</v>
      </c>
      <c r="F16" s="23">
        <f t="shared" si="1"/>
        <v>-0.18121402003302825</v>
      </c>
    </row>
    <row r="17" spans="1:11" ht="24" customHeight="1" x14ac:dyDescent="0.2">
      <c r="A17" s="20">
        <v>5</v>
      </c>
      <c r="B17" s="21" t="s">
        <v>20</v>
      </c>
      <c r="C17" s="22">
        <v>65011</v>
      </c>
      <c r="D17" s="22">
        <v>14916</v>
      </c>
      <c r="E17" s="22">
        <f t="shared" si="0"/>
        <v>-50095</v>
      </c>
      <c r="F17" s="23">
        <f t="shared" si="1"/>
        <v>-0.77056190490840015</v>
      </c>
    </row>
    <row r="18" spans="1:11" ht="24" customHeight="1" x14ac:dyDescent="0.2">
      <c r="A18" s="20">
        <v>6</v>
      </c>
      <c r="B18" s="21" t="s">
        <v>21</v>
      </c>
      <c r="C18" s="22">
        <v>148435</v>
      </c>
      <c r="D18" s="22">
        <v>751256</v>
      </c>
      <c r="E18" s="22">
        <f t="shared" si="0"/>
        <v>602821</v>
      </c>
      <c r="F18" s="23">
        <f t="shared" si="1"/>
        <v>4.0611782935291538</v>
      </c>
    </row>
    <row r="19" spans="1:11" ht="24" customHeight="1" x14ac:dyDescent="0.2">
      <c r="A19" s="20">
        <v>7</v>
      </c>
      <c r="B19" s="21" t="s">
        <v>22</v>
      </c>
      <c r="C19" s="22">
        <v>1325483</v>
      </c>
      <c r="D19" s="22">
        <v>1266636</v>
      </c>
      <c r="E19" s="22">
        <f t="shared" si="0"/>
        <v>-58847</v>
      </c>
      <c r="F19" s="23">
        <f t="shared" si="1"/>
        <v>-4.4396646354574146E-2</v>
      </c>
    </row>
    <row r="20" spans="1:11" ht="24" customHeight="1" x14ac:dyDescent="0.2">
      <c r="A20" s="20">
        <v>8</v>
      </c>
      <c r="B20" s="21" t="s">
        <v>23</v>
      </c>
      <c r="C20" s="22">
        <v>201349</v>
      </c>
      <c r="D20" s="22">
        <v>209439</v>
      </c>
      <c r="E20" s="22">
        <f t="shared" si="0"/>
        <v>8090</v>
      </c>
      <c r="F20" s="23">
        <f t="shared" si="1"/>
        <v>4.0178992694277098E-2</v>
      </c>
    </row>
    <row r="21" spans="1:11" ht="24" customHeight="1" x14ac:dyDescent="0.2">
      <c r="A21" s="20">
        <v>9</v>
      </c>
      <c r="B21" s="21" t="s">
        <v>24</v>
      </c>
      <c r="C21" s="22">
        <v>0</v>
      </c>
      <c r="D21" s="22">
        <v>0</v>
      </c>
      <c r="E21" s="22">
        <f t="shared" si="0"/>
        <v>0</v>
      </c>
      <c r="F21" s="23">
        <f t="shared" si="1"/>
        <v>0</v>
      </c>
    </row>
    <row r="22" spans="1:11" ht="24" customHeight="1" x14ac:dyDescent="0.25">
      <c r="A22" s="24"/>
      <c r="B22" s="25" t="s">
        <v>25</v>
      </c>
      <c r="C22" s="26">
        <f>SUM(C13:C21)</f>
        <v>14737641</v>
      </c>
      <c r="D22" s="26">
        <f>SUM(D13:D21)</f>
        <v>12917979</v>
      </c>
      <c r="E22" s="26">
        <f t="shared" si="0"/>
        <v>-1819662</v>
      </c>
      <c r="F22" s="27">
        <f t="shared" si="1"/>
        <v>-0.12347037086871637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3068974</v>
      </c>
      <c r="D25" s="22">
        <v>2867611</v>
      </c>
      <c r="E25" s="22">
        <f>D25-C25</f>
        <v>-201363</v>
      </c>
      <c r="F25" s="23">
        <f>IF(C25=0,0,E25/C25)</f>
        <v>-6.5612481565500397E-2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14606911</v>
      </c>
      <c r="D28" s="22">
        <v>12526596</v>
      </c>
      <c r="E28" s="22">
        <f>D28-C28</f>
        <v>-2080315</v>
      </c>
      <c r="F28" s="23">
        <f>IF(C28=0,0,E28/C28)</f>
        <v>-0.14241991342317345</v>
      </c>
    </row>
    <row r="29" spans="1:11" ht="24" customHeight="1" x14ac:dyDescent="0.25">
      <c r="A29" s="24"/>
      <c r="B29" s="25" t="s">
        <v>32</v>
      </c>
      <c r="C29" s="26">
        <f>SUM(C25:C28)</f>
        <v>17675885</v>
      </c>
      <c r="D29" s="26">
        <f>SUM(D25:D28)</f>
        <v>15394207</v>
      </c>
      <c r="E29" s="26">
        <f>D29-C29</f>
        <v>-2281678</v>
      </c>
      <c r="F29" s="27">
        <f>IF(C29=0,0,E29/C29)</f>
        <v>-0.12908422972880848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3599134</v>
      </c>
      <c r="D31" s="22">
        <v>3664214</v>
      </c>
      <c r="E31" s="22">
        <f>D31-C31</f>
        <v>65080</v>
      </c>
      <c r="F31" s="23">
        <f>IF(C31=0,0,E31/C31)</f>
        <v>1.8082127534012348E-2</v>
      </c>
    </row>
    <row r="32" spans="1:11" ht="24" customHeight="1" x14ac:dyDescent="0.2">
      <c r="A32" s="20">
        <v>6</v>
      </c>
      <c r="B32" s="21" t="s">
        <v>34</v>
      </c>
      <c r="C32" s="22">
        <v>3489604</v>
      </c>
      <c r="D32" s="22">
        <v>5679183</v>
      </c>
      <c r="E32" s="22">
        <f>D32-C32</f>
        <v>2189579</v>
      </c>
      <c r="F32" s="23">
        <f>IF(C32=0,0,E32/C32)</f>
        <v>0.6274577287279588</v>
      </c>
    </row>
    <row r="33" spans="1:8" ht="24" customHeight="1" x14ac:dyDescent="0.2">
      <c r="A33" s="20">
        <v>7</v>
      </c>
      <c r="B33" s="21" t="s">
        <v>35</v>
      </c>
      <c r="C33" s="22">
        <v>9583805</v>
      </c>
      <c r="D33" s="22">
        <v>5544590</v>
      </c>
      <c r="E33" s="22">
        <f>D33-C33</f>
        <v>-4039215</v>
      </c>
      <c r="F33" s="23">
        <f>IF(C33=0,0,E33/C33)</f>
        <v>-0.42146256106003827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86739517</v>
      </c>
      <c r="D36" s="22">
        <v>87146304</v>
      </c>
      <c r="E36" s="22">
        <f>D36-C36</f>
        <v>406787</v>
      </c>
      <c r="F36" s="23">
        <f>IF(C36=0,0,E36/C36)</f>
        <v>4.6897540367904058E-3</v>
      </c>
    </row>
    <row r="37" spans="1:8" ht="24" customHeight="1" x14ac:dyDescent="0.2">
      <c r="A37" s="20">
        <v>2</v>
      </c>
      <c r="B37" s="21" t="s">
        <v>39</v>
      </c>
      <c r="C37" s="22">
        <v>61358971</v>
      </c>
      <c r="D37" s="22">
        <v>64443314</v>
      </c>
      <c r="E37" s="22">
        <f>D37-C37</f>
        <v>3084343</v>
      </c>
      <c r="F37" s="23">
        <f>IF(C37=0,0,E37/C37)</f>
        <v>5.0267189128709477E-2</v>
      </c>
    </row>
    <row r="38" spans="1:8" ht="24" customHeight="1" x14ac:dyDescent="0.25">
      <c r="A38" s="24"/>
      <c r="B38" s="25" t="s">
        <v>40</v>
      </c>
      <c r="C38" s="26">
        <f>C36-C37</f>
        <v>25380546</v>
      </c>
      <c r="D38" s="26">
        <f>D36-D37</f>
        <v>22702990</v>
      </c>
      <c r="E38" s="26">
        <f>D38-C38</f>
        <v>-2677556</v>
      </c>
      <c r="F38" s="27">
        <f>IF(C38=0,0,E38/C38)</f>
        <v>-0.10549639081838508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320330</v>
      </c>
      <c r="D40" s="22">
        <v>299832</v>
      </c>
      <c r="E40" s="22">
        <f>D40-C40</f>
        <v>-20498</v>
      </c>
      <c r="F40" s="23">
        <f>IF(C40=0,0,E40/C40)</f>
        <v>-6.3990260044329283E-2</v>
      </c>
    </row>
    <row r="41" spans="1:8" ht="24" customHeight="1" x14ac:dyDescent="0.25">
      <c r="A41" s="24"/>
      <c r="B41" s="25" t="s">
        <v>42</v>
      </c>
      <c r="C41" s="26">
        <f>+C38+C40</f>
        <v>25700876</v>
      </c>
      <c r="D41" s="26">
        <f>+D38+D40</f>
        <v>23002822</v>
      </c>
      <c r="E41" s="26">
        <f>D41-C41</f>
        <v>-2698054</v>
      </c>
      <c r="F41" s="27">
        <f>IF(C41=0,0,E41/C41)</f>
        <v>-0.10497906763956216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74786945</v>
      </c>
      <c r="D43" s="26">
        <f>D22+D29+D31+D32+D33+D41</f>
        <v>66202995</v>
      </c>
      <c r="E43" s="26">
        <f>D43-C43</f>
        <v>-8583950</v>
      </c>
      <c r="F43" s="27">
        <f>IF(C43=0,0,E43/C43)</f>
        <v>-0.11477872240937238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5481077</v>
      </c>
      <c r="D49" s="22">
        <v>4923729</v>
      </c>
      <c r="E49" s="22">
        <f t="shared" ref="E49:E56" si="2">D49-C49</f>
        <v>-557348</v>
      </c>
      <c r="F49" s="23">
        <f t="shared" ref="F49:F56" si="3">IF(C49=0,0,E49/C49)</f>
        <v>-0.10168585480554278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700314</v>
      </c>
      <c r="D50" s="22">
        <v>699543</v>
      </c>
      <c r="E50" s="22">
        <f t="shared" si="2"/>
        <v>-771</v>
      </c>
      <c r="F50" s="23">
        <f t="shared" si="3"/>
        <v>-1.1009347235668571E-3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1132410</v>
      </c>
      <c r="D51" s="22">
        <v>1056682</v>
      </c>
      <c r="E51" s="22">
        <f t="shared" si="2"/>
        <v>-75728</v>
      </c>
      <c r="F51" s="23">
        <f t="shared" si="3"/>
        <v>-6.6873305604860434E-2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0</v>
      </c>
      <c r="D52" s="22">
        <v>984268</v>
      </c>
      <c r="E52" s="22">
        <f t="shared" si="2"/>
        <v>984268</v>
      </c>
      <c r="F52" s="23">
        <f t="shared" si="3"/>
        <v>0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621550</v>
      </c>
      <c r="D53" s="22">
        <v>592450</v>
      </c>
      <c r="E53" s="22">
        <f t="shared" si="2"/>
        <v>-29100</v>
      </c>
      <c r="F53" s="23">
        <f t="shared" si="3"/>
        <v>-4.6818437776526424E-2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323609</v>
      </c>
      <c r="D54" s="22">
        <v>324906</v>
      </c>
      <c r="E54" s="22">
        <f t="shared" si="2"/>
        <v>1297</v>
      </c>
      <c r="F54" s="23">
        <f t="shared" si="3"/>
        <v>4.0079231418162038E-3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1020925</v>
      </c>
      <c r="D55" s="22">
        <v>232337</v>
      </c>
      <c r="E55" s="22">
        <f t="shared" si="2"/>
        <v>-788588</v>
      </c>
      <c r="F55" s="23">
        <f t="shared" si="3"/>
        <v>-0.7724250067340892</v>
      </c>
    </row>
    <row r="56" spans="1:6" ht="24" customHeight="1" x14ac:dyDescent="0.25">
      <c r="A56" s="24"/>
      <c r="B56" s="25" t="s">
        <v>54</v>
      </c>
      <c r="C56" s="26">
        <f>SUM(C49:C55)</f>
        <v>9279885</v>
      </c>
      <c r="D56" s="26">
        <f>SUM(D49:D55)</f>
        <v>8813915</v>
      </c>
      <c r="E56" s="26">
        <f t="shared" si="2"/>
        <v>-465970</v>
      </c>
      <c r="F56" s="27">
        <f t="shared" si="3"/>
        <v>-5.0212906733219216E-2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22347221</v>
      </c>
      <c r="D59" s="22">
        <v>21750022</v>
      </c>
      <c r="E59" s="22">
        <f>D59-C59</f>
        <v>-597199</v>
      </c>
      <c r="F59" s="23">
        <f>IF(C59=0,0,E59/C59)</f>
        <v>-2.6723636017203213E-2</v>
      </c>
    </row>
    <row r="60" spans="1:6" ht="24" customHeight="1" x14ac:dyDescent="0.2">
      <c r="A60" s="20">
        <v>2</v>
      </c>
      <c r="B60" s="21" t="s">
        <v>57</v>
      </c>
      <c r="C60" s="22">
        <v>1045087</v>
      </c>
      <c r="D60" s="22">
        <v>719366</v>
      </c>
      <c r="E60" s="22">
        <f>D60-C60</f>
        <v>-325721</v>
      </c>
      <c r="F60" s="23">
        <f>IF(C60=0,0,E60/C60)</f>
        <v>-0.31166878929696762</v>
      </c>
    </row>
    <row r="61" spans="1:6" ht="24" customHeight="1" x14ac:dyDescent="0.25">
      <c r="A61" s="24"/>
      <c r="B61" s="25" t="s">
        <v>58</v>
      </c>
      <c r="C61" s="26">
        <f>SUM(C59:C60)</f>
        <v>23392308</v>
      </c>
      <c r="D61" s="26">
        <f>SUM(D59:D60)</f>
        <v>22469388</v>
      </c>
      <c r="E61" s="26">
        <f>D61-C61</f>
        <v>-922920</v>
      </c>
      <c r="F61" s="27">
        <f>IF(C61=0,0,E61/C61)</f>
        <v>-3.9453994877290434E-2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10081347</v>
      </c>
      <c r="D63" s="22">
        <v>13968710</v>
      </c>
      <c r="E63" s="22">
        <f>D63-C63</f>
        <v>3887363</v>
      </c>
      <c r="F63" s="23">
        <f>IF(C63=0,0,E63/C63)</f>
        <v>0.38559956323296879</v>
      </c>
    </row>
    <row r="64" spans="1:6" ht="24" customHeight="1" x14ac:dyDescent="0.2">
      <c r="A64" s="20">
        <v>4</v>
      </c>
      <c r="B64" s="21" t="s">
        <v>60</v>
      </c>
      <c r="C64" s="22">
        <v>3699103</v>
      </c>
      <c r="D64" s="22">
        <v>2072072</v>
      </c>
      <c r="E64" s="22">
        <f>D64-C64</f>
        <v>-1627031</v>
      </c>
      <c r="F64" s="23">
        <f>IF(C64=0,0,E64/C64)</f>
        <v>-0.43984474073849794</v>
      </c>
    </row>
    <row r="65" spans="1:6" ht="24" customHeight="1" x14ac:dyDescent="0.25">
      <c r="A65" s="24"/>
      <c r="B65" s="25" t="s">
        <v>61</v>
      </c>
      <c r="C65" s="26">
        <f>SUM(C61:C64)</f>
        <v>37172758</v>
      </c>
      <c r="D65" s="26">
        <f>SUM(D61:D64)</f>
        <v>38510170</v>
      </c>
      <c r="E65" s="26">
        <f>D65-C65</f>
        <v>1337412</v>
      </c>
      <c r="F65" s="27">
        <f>IF(C65=0,0,E65/C65)</f>
        <v>3.5978282805919325E-2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24211838</v>
      </c>
      <c r="D70" s="22">
        <v>14969087</v>
      </c>
      <c r="E70" s="22">
        <f>D70-C70</f>
        <v>-9242751</v>
      </c>
      <c r="F70" s="23">
        <f>IF(C70=0,0,E70/C70)</f>
        <v>-0.3817451198872221</v>
      </c>
    </row>
    <row r="71" spans="1:6" ht="24" customHeight="1" x14ac:dyDescent="0.2">
      <c r="A71" s="20">
        <v>2</v>
      </c>
      <c r="B71" s="21" t="s">
        <v>65</v>
      </c>
      <c r="C71" s="22">
        <v>549043</v>
      </c>
      <c r="D71" s="22">
        <v>537851</v>
      </c>
      <c r="E71" s="22">
        <f>D71-C71</f>
        <v>-11192</v>
      </c>
      <c r="F71" s="23">
        <f>IF(C71=0,0,E71/C71)</f>
        <v>-2.0384560043566716E-2</v>
      </c>
    </row>
    <row r="72" spans="1:6" ht="24" customHeight="1" x14ac:dyDescent="0.2">
      <c r="A72" s="20">
        <v>3</v>
      </c>
      <c r="B72" s="21" t="s">
        <v>66</v>
      </c>
      <c r="C72" s="22">
        <v>3573421</v>
      </c>
      <c r="D72" s="22">
        <v>3371972</v>
      </c>
      <c r="E72" s="22">
        <f>D72-C72</f>
        <v>-201449</v>
      </c>
      <c r="F72" s="23">
        <f>IF(C72=0,0,E72/C72)</f>
        <v>-5.6374269922295751E-2</v>
      </c>
    </row>
    <row r="73" spans="1:6" ht="24" customHeight="1" x14ac:dyDescent="0.25">
      <c r="A73" s="20"/>
      <c r="B73" s="25" t="s">
        <v>67</v>
      </c>
      <c r="C73" s="26">
        <f>SUM(C70:C72)</f>
        <v>28334302</v>
      </c>
      <c r="D73" s="26">
        <f>SUM(D70:D72)</f>
        <v>18878910</v>
      </c>
      <c r="E73" s="26">
        <f>D73-C73</f>
        <v>-9455392</v>
      </c>
      <c r="F73" s="27">
        <f>IF(C73=0,0,E73/C73)</f>
        <v>-0.33370830874887969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74786945</v>
      </c>
      <c r="D75" s="26">
        <f>D56+D65+D67+D73</f>
        <v>66202995</v>
      </c>
      <c r="E75" s="26">
        <f>D75-C75</f>
        <v>-8583950</v>
      </c>
      <c r="F75" s="27">
        <f>IF(C75=0,0,E75/C75)</f>
        <v>-0.11477872240937238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scale="70" fitToHeight="0" orientation="portrait" horizontalDpi="1200" verticalDpi="1200" r:id="rId1"/>
  <headerFooter>
    <oddHeader>&amp;LOFFICE OF HEALTH CARE ACCESS&amp;CTWELVE MONTHS ACTUAL FILING&amp;RROCKVILLE GENERAL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298979957</v>
      </c>
      <c r="D11" s="76">
        <v>299755216</v>
      </c>
      <c r="E11" s="76">
        <v>297145105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28987736</v>
      </c>
      <c r="D12" s="185">
        <v>29000109</v>
      </c>
      <c r="E12" s="185">
        <v>18422521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327967693</v>
      </c>
      <c r="D13" s="76">
        <f>+D11+D12</f>
        <v>328755325</v>
      </c>
      <c r="E13" s="76">
        <f>+E11+E12</f>
        <v>315567626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327855198</v>
      </c>
      <c r="D14" s="185">
        <v>326582604</v>
      </c>
      <c r="E14" s="185">
        <v>315848076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112495</v>
      </c>
      <c r="D15" s="76">
        <f>+D13-D14</f>
        <v>2172721</v>
      </c>
      <c r="E15" s="76">
        <f>+E13-E14</f>
        <v>-280450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-2138589</v>
      </c>
      <c r="D16" s="185">
        <v>-2125751</v>
      </c>
      <c r="E16" s="185">
        <v>-2235410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-2026094</v>
      </c>
      <c r="D17" s="76">
        <f>D15+D16</f>
        <v>46970</v>
      </c>
      <c r="E17" s="76">
        <f>E15+E16</f>
        <v>-2515860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3.4525767839327208E-4</v>
      </c>
      <c r="D20" s="189">
        <f>IF(+D27=0,0,+D24/+D27)</f>
        <v>6.6519420559266323E-3</v>
      </c>
      <c r="E20" s="189">
        <f>IF(+E27=0,0,+E24/+E27)</f>
        <v>-8.9505638322233676E-4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-6.5635296962299602E-3</v>
      </c>
      <c r="D21" s="189">
        <f>IF(+D27=0,0,+D26/+D27)</f>
        <v>-6.5081400130656874E-3</v>
      </c>
      <c r="E21" s="189">
        <f>IF(+E27=0,0,+E26/+E27)</f>
        <v>-7.1343126746979636E-3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-6.2182720178366874E-3</v>
      </c>
      <c r="D22" s="189">
        <f>IF(+D27=0,0,+D28/+D27)</f>
        <v>1.4380204286094437E-4</v>
      </c>
      <c r="E22" s="189">
        <f>IF(+E27=0,0,+E28/+E27)</f>
        <v>-8.0293690579203002E-3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112495</v>
      </c>
      <c r="D24" s="76">
        <f>+D15</f>
        <v>2172721</v>
      </c>
      <c r="E24" s="76">
        <f>+E15</f>
        <v>-280450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327967693</v>
      </c>
      <c r="D25" s="76">
        <f>+D13</f>
        <v>328755325</v>
      </c>
      <c r="E25" s="76">
        <f>+E13</f>
        <v>315567626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-2138589</v>
      </c>
      <c r="D26" s="76">
        <f>+D16</f>
        <v>-2125751</v>
      </c>
      <c r="E26" s="76">
        <f>+E16</f>
        <v>-2235410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325829104</v>
      </c>
      <c r="D27" s="76">
        <f>SUM(D25:D26)</f>
        <v>326629574</v>
      </c>
      <c r="E27" s="76">
        <f>SUM(E25:E26)</f>
        <v>313332216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-2026094</v>
      </c>
      <c r="D28" s="76">
        <f>+D17</f>
        <v>46970</v>
      </c>
      <c r="E28" s="76">
        <f>+E17</f>
        <v>-2515860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70965928</v>
      </c>
      <c r="D31" s="76">
        <v>59544873</v>
      </c>
      <c r="E31" s="76">
        <v>42167565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85849149</v>
      </c>
      <c r="D32" s="76">
        <v>77693789</v>
      </c>
      <c r="E32" s="76">
        <v>58707549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34247888</v>
      </c>
      <c r="D33" s="76">
        <f>+D32-C32</f>
        <v>-8155360</v>
      </c>
      <c r="E33" s="76">
        <f>+E32-D32</f>
        <v>-18986240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1.6637</v>
      </c>
      <c r="D34" s="193">
        <f>IF(C32=0,0,+D33/C32)</f>
        <v>-9.4996398857721931E-2</v>
      </c>
      <c r="E34" s="193">
        <f>IF(D32=0,0,+E33/D32)</f>
        <v>-0.24437268724273442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1.311508725619533</v>
      </c>
      <c r="D38" s="338">
        <f>IF(+D40=0,0,+D39/+D40)</f>
        <v>1.3327302292232019</v>
      </c>
      <c r="E38" s="338">
        <f>IF(+E40=0,0,+E39/+E40)</f>
        <v>1.4463231559046146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84389707</v>
      </c>
      <c r="D39" s="341">
        <v>81233895</v>
      </c>
      <c r="E39" s="341">
        <v>74771961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64345517</v>
      </c>
      <c r="D40" s="341">
        <v>60952992</v>
      </c>
      <c r="E40" s="341">
        <v>51697963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25.954656364633504</v>
      </c>
      <c r="D42" s="343">
        <f>IF((D48/365)=0,0,+D45/(D48/365))</f>
        <v>24.071590136151443</v>
      </c>
      <c r="E42" s="343">
        <f>IF((E48/365)=0,0,+E45/(E48/365))</f>
        <v>19.559583787515329</v>
      </c>
    </row>
    <row r="43" spans="1:14" ht="24" customHeight="1" x14ac:dyDescent="0.2">
      <c r="A43" s="339">
        <v>5</v>
      </c>
      <c r="B43" s="344" t="s">
        <v>16</v>
      </c>
      <c r="C43" s="345">
        <v>22439356</v>
      </c>
      <c r="D43" s="345">
        <v>20733601</v>
      </c>
      <c r="E43" s="345">
        <v>16286829</v>
      </c>
    </row>
    <row r="44" spans="1:14" ht="24" customHeight="1" x14ac:dyDescent="0.2">
      <c r="A44" s="339">
        <v>6</v>
      </c>
      <c r="B44" s="346" t="s">
        <v>17</v>
      </c>
      <c r="C44" s="345">
        <v>0</v>
      </c>
      <c r="D44" s="345">
        <v>0</v>
      </c>
      <c r="E44" s="345">
        <v>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22439356</v>
      </c>
      <c r="D45" s="341">
        <f>+D43+D44</f>
        <v>20733601</v>
      </c>
      <c r="E45" s="341">
        <f>+E43+E44</f>
        <v>16286829</v>
      </c>
    </row>
    <row r="46" spans="1:14" ht="24" customHeight="1" x14ac:dyDescent="0.2">
      <c r="A46" s="339">
        <v>8</v>
      </c>
      <c r="B46" s="340" t="s">
        <v>334</v>
      </c>
      <c r="C46" s="341">
        <f>+C14</f>
        <v>327855198</v>
      </c>
      <c r="D46" s="341">
        <f>+D14</f>
        <v>326582604</v>
      </c>
      <c r="E46" s="341">
        <f>+E14</f>
        <v>315848076</v>
      </c>
    </row>
    <row r="47" spans="1:14" ht="24" customHeight="1" x14ac:dyDescent="0.2">
      <c r="A47" s="339">
        <v>9</v>
      </c>
      <c r="B47" s="340" t="s">
        <v>356</v>
      </c>
      <c r="C47" s="341">
        <v>12290822</v>
      </c>
      <c r="D47" s="341">
        <v>12196877</v>
      </c>
      <c r="E47" s="341">
        <v>11920720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315564376</v>
      </c>
      <c r="D48" s="341">
        <f>+D46-D47</f>
        <v>314385727</v>
      </c>
      <c r="E48" s="341">
        <f>+E46-E47</f>
        <v>303927356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55.516532400865927</v>
      </c>
      <c r="D50" s="350">
        <f>IF((D55/365)=0,0,+D54/(D55/365))</f>
        <v>51.713660272053446</v>
      </c>
      <c r="E50" s="350">
        <f>IF((E55/365)=0,0,+E54/(E55/365))</f>
        <v>51.659534993854265</v>
      </c>
    </row>
    <row r="51" spans="1:5" ht="24" customHeight="1" x14ac:dyDescent="0.2">
      <c r="A51" s="339">
        <v>12</v>
      </c>
      <c r="B51" s="344" t="s">
        <v>359</v>
      </c>
      <c r="C51" s="351">
        <v>46524143</v>
      </c>
      <c r="D51" s="351">
        <v>44610272</v>
      </c>
      <c r="E51" s="351">
        <v>41607499</v>
      </c>
    </row>
    <row r="52" spans="1:5" ht="24" customHeight="1" x14ac:dyDescent="0.2">
      <c r="A52" s="339">
        <v>13</v>
      </c>
      <c r="B52" s="344" t="s">
        <v>21</v>
      </c>
      <c r="C52" s="341">
        <v>3463096</v>
      </c>
      <c r="D52" s="341">
        <v>3602585</v>
      </c>
      <c r="E52" s="341">
        <v>3573134</v>
      </c>
    </row>
    <row r="53" spans="1:5" ht="24" customHeight="1" x14ac:dyDescent="0.2">
      <c r="A53" s="339">
        <v>14</v>
      </c>
      <c r="B53" s="344" t="s">
        <v>49</v>
      </c>
      <c r="C53" s="341">
        <v>4512361</v>
      </c>
      <c r="D53" s="341">
        <v>5743160</v>
      </c>
      <c r="E53" s="341">
        <v>3124803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45474878</v>
      </c>
      <c r="D54" s="352">
        <f>+D51+D52-D53</f>
        <v>42469697</v>
      </c>
      <c r="E54" s="352">
        <f>+E51+E52-E53</f>
        <v>42055830</v>
      </c>
    </row>
    <row r="55" spans="1:5" ht="24" customHeight="1" x14ac:dyDescent="0.2">
      <c r="A55" s="339">
        <v>16</v>
      </c>
      <c r="B55" s="340" t="s">
        <v>75</v>
      </c>
      <c r="C55" s="341">
        <f>+C11</f>
        <v>298979957</v>
      </c>
      <c r="D55" s="341">
        <f>+D11</f>
        <v>299755216</v>
      </c>
      <c r="E55" s="341">
        <f>+E11</f>
        <v>297145105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74.425744764675215</v>
      </c>
      <c r="D57" s="355">
        <f>IF((D61/365)=0,0,+D58/(D61/365))</f>
        <v>70.766069097023603</v>
      </c>
      <c r="E57" s="355">
        <f>IF((E61/365)=0,0,+E58/(E61/365))</f>
        <v>62.086403617448639</v>
      </c>
    </row>
    <row r="58" spans="1:5" ht="24" customHeight="1" x14ac:dyDescent="0.2">
      <c r="A58" s="339">
        <v>18</v>
      </c>
      <c r="B58" s="340" t="s">
        <v>54</v>
      </c>
      <c r="C58" s="353">
        <f>+C40</f>
        <v>64345517</v>
      </c>
      <c r="D58" s="353">
        <f>+D40</f>
        <v>60952992</v>
      </c>
      <c r="E58" s="353">
        <f>+E40</f>
        <v>51697963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327855198</v>
      </c>
      <c r="D59" s="353">
        <f t="shared" si="0"/>
        <v>326582604</v>
      </c>
      <c r="E59" s="353">
        <f t="shared" si="0"/>
        <v>315848076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12290822</v>
      </c>
      <c r="D60" s="356">
        <f t="shared" si="0"/>
        <v>12196877</v>
      </c>
      <c r="E60" s="356">
        <f t="shared" si="0"/>
        <v>11920720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315564376</v>
      </c>
      <c r="D61" s="353">
        <f>+D59-D60</f>
        <v>314385727</v>
      </c>
      <c r="E61" s="353">
        <f>+E59-E60</f>
        <v>303927356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30.392657987169152</v>
      </c>
      <c r="D65" s="357">
        <f>IF(D67=0,0,(D66/D67)*100)</f>
        <v>28.141033736990963</v>
      </c>
      <c r="E65" s="357">
        <f>IF(E67=0,0,(E66/E67)*100)</f>
        <v>22.527869905578729</v>
      </c>
    </row>
    <row r="66" spans="1:5" ht="24" customHeight="1" x14ac:dyDescent="0.2">
      <c r="A66" s="339">
        <v>2</v>
      </c>
      <c r="B66" s="340" t="s">
        <v>67</v>
      </c>
      <c r="C66" s="353">
        <f>+C32</f>
        <v>85849149</v>
      </c>
      <c r="D66" s="353">
        <f>+D32</f>
        <v>77693789</v>
      </c>
      <c r="E66" s="353">
        <f>+E32</f>
        <v>58707549</v>
      </c>
    </row>
    <row r="67" spans="1:5" ht="24" customHeight="1" x14ac:dyDescent="0.2">
      <c r="A67" s="339">
        <v>3</v>
      </c>
      <c r="B67" s="340" t="s">
        <v>43</v>
      </c>
      <c r="C67" s="353">
        <v>282466736</v>
      </c>
      <c r="D67" s="353">
        <v>276087189</v>
      </c>
      <c r="E67" s="353">
        <v>260599645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6.900122957197742</v>
      </c>
      <c r="D69" s="357">
        <f>IF(D75=0,0,(D72/D75)*100)</f>
        <v>8.5294203824179</v>
      </c>
      <c r="E69" s="357">
        <f>IF(E75=0,0,(E72/E75)*100)</f>
        <v>7.1346116588238768</v>
      </c>
    </row>
    <row r="70" spans="1:5" ht="24" customHeight="1" x14ac:dyDescent="0.2">
      <c r="A70" s="339">
        <v>5</v>
      </c>
      <c r="B70" s="340" t="s">
        <v>366</v>
      </c>
      <c r="C70" s="353">
        <f>+C28</f>
        <v>-2026094</v>
      </c>
      <c r="D70" s="353">
        <f>+D28</f>
        <v>46970</v>
      </c>
      <c r="E70" s="353">
        <f>+E28</f>
        <v>-2515860</v>
      </c>
    </row>
    <row r="71" spans="1:5" ht="24" customHeight="1" x14ac:dyDescent="0.2">
      <c r="A71" s="339">
        <v>6</v>
      </c>
      <c r="B71" s="340" t="s">
        <v>356</v>
      </c>
      <c r="C71" s="356">
        <f>+C47</f>
        <v>12290822</v>
      </c>
      <c r="D71" s="356">
        <f>+D47</f>
        <v>12196877</v>
      </c>
      <c r="E71" s="356">
        <f>+E47</f>
        <v>11920720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10264728</v>
      </c>
      <c r="D72" s="353">
        <f>+D70+D71</f>
        <v>12243847</v>
      </c>
      <c r="E72" s="353">
        <f>+E70+E71</f>
        <v>9404860</v>
      </c>
    </row>
    <row r="73" spans="1:5" ht="24" customHeight="1" x14ac:dyDescent="0.2">
      <c r="A73" s="339">
        <v>8</v>
      </c>
      <c r="B73" s="340" t="s">
        <v>54</v>
      </c>
      <c r="C73" s="341">
        <f>+C40</f>
        <v>64345517</v>
      </c>
      <c r="D73" s="341">
        <f>+D40</f>
        <v>60952992</v>
      </c>
      <c r="E73" s="341">
        <f>+E40</f>
        <v>51697963</v>
      </c>
    </row>
    <row r="74" spans="1:5" ht="24" customHeight="1" x14ac:dyDescent="0.2">
      <c r="A74" s="339">
        <v>9</v>
      </c>
      <c r="B74" s="340" t="s">
        <v>58</v>
      </c>
      <c r="C74" s="353">
        <v>84416006</v>
      </c>
      <c r="D74" s="353">
        <v>82595414</v>
      </c>
      <c r="E74" s="353">
        <v>80122246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148761523</v>
      </c>
      <c r="D75" s="341">
        <f>+D73+D74</f>
        <v>143548406</v>
      </c>
      <c r="E75" s="341">
        <f>+E73+E74</f>
        <v>131820209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49.579143777245555</v>
      </c>
      <c r="D77" s="359">
        <f>IF(D80=0,0,(D78/D80)*100)</f>
        <v>51.528994126946905</v>
      </c>
      <c r="E77" s="359">
        <f>IF(E80=0,0,(E78/E80)*100)</f>
        <v>57.712572434469124</v>
      </c>
    </row>
    <row r="78" spans="1:5" ht="24" customHeight="1" x14ac:dyDescent="0.2">
      <c r="A78" s="339">
        <v>12</v>
      </c>
      <c r="B78" s="340" t="s">
        <v>58</v>
      </c>
      <c r="C78" s="341">
        <f>+C74</f>
        <v>84416006</v>
      </c>
      <c r="D78" s="341">
        <f>+D74</f>
        <v>82595414</v>
      </c>
      <c r="E78" s="341">
        <f>+E74</f>
        <v>80122246</v>
      </c>
    </row>
    <row r="79" spans="1:5" ht="24" customHeight="1" x14ac:dyDescent="0.2">
      <c r="A79" s="339">
        <v>13</v>
      </c>
      <c r="B79" s="340" t="s">
        <v>67</v>
      </c>
      <c r="C79" s="341">
        <f>+C32</f>
        <v>85849149</v>
      </c>
      <c r="D79" s="341">
        <f>+D32</f>
        <v>77693789</v>
      </c>
      <c r="E79" s="341">
        <f>+E32</f>
        <v>58707549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170265155</v>
      </c>
      <c r="D80" s="341">
        <f>+D78+D79</f>
        <v>160289203</v>
      </c>
      <c r="E80" s="341">
        <f>+E78+E79</f>
        <v>138829795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3" fitToHeight="0" orientation="portrait" horizontalDpi="1200" verticalDpi="1200" r:id="rId1"/>
  <headerFooter>
    <oddHeader>_x000D_
                &amp;L&amp;8OFFICE OF HEALTH CARE ACCESS&amp;C&amp;8TWELVE MONTHS ACTUAL FILING&amp;R&amp;8EASTERN CT HEALTH NETWORK , INC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7735</v>
      </c>
      <c r="D11" s="376">
        <v>2112</v>
      </c>
      <c r="E11" s="376">
        <v>2037</v>
      </c>
      <c r="F11" s="377">
        <v>38</v>
      </c>
      <c r="G11" s="377">
        <v>81</v>
      </c>
      <c r="H11" s="378">
        <f>IF(F11=0,0,$C11/(F11*365))</f>
        <v>0.55767844268204758</v>
      </c>
      <c r="I11" s="378">
        <f>IF(G11=0,0,$C11/(G11*365))</f>
        <v>0.26162692372738033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2138</v>
      </c>
      <c r="D13" s="376">
        <v>182</v>
      </c>
      <c r="E13" s="376">
        <v>0</v>
      </c>
      <c r="F13" s="377">
        <v>9</v>
      </c>
      <c r="G13" s="377">
        <v>9</v>
      </c>
      <c r="H13" s="378">
        <f>IF(F13=0,0,$C13/(F13*365))</f>
        <v>0.65083713850837144</v>
      </c>
      <c r="I13" s="378">
        <f>IF(G13=0,0,$C13/(G13*365))</f>
        <v>0.65083713850837144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0</v>
      </c>
      <c r="D16" s="376">
        <v>0</v>
      </c>
      <c r="E16" s="376">
        <v>0</v>
      </c>
      <c r="F16" s="377">
        <v>0</v>
      </c>
      <c r="G16" s="377">
        <v>0</v>
      </c>
      <c r="H16" s="378">
        <f t="shared" si="0"/>
        <v>0</v>
      </c>
      <c r="I16" s="378">
        <f t="shared" si="0"/>
        <v>0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0</v>
      </c>
      <c r="D17" s="381">
        <f>SUM(D15:D16)</f>
        <v>0</v>
      </c>
      <c r="E17" s="381">
        <f>SUM(E15:E16)</f>
        <v>0</v>
      </c>
      <c r="F17" s="381">
        <f>SUM(F15:F16)</f>
        <v>0</v>
      </c>
      <c r="G17" s="381">
        <f>SUM(G15:G16)</f>
        <v>0</v>
      </c>
      <c r="H17" s="382">
        <f t="shared" si="0"/>
        <v>0</v>
      </c>
      <c r="I17" s="382">
        <f t="shared" si="0"/>
        <v>0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0</v>
      </c>
      <c r="D21" s="376">
        <v>0</v>
      </c>
      <c r="E21" s="376">
        <v>0</v>
      </c>
      <c r="F21" s="377">
        <v>0</v>
      </c>
      <c r="G21" s="377">
        <v>12</v>
      </c>
      <c r="H21" s="378">
        <f>IF(F21=0,0,$C21/(F21*365))</f>
        <v>0</v>
      </c>
      <c r="I21" s="378">
        <f>IF(G21=0,0,$C21/(G21*365))</f>
        <v>0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0</v>
      </c>
      <c r="D23" s="376">
        <v>0</v>
      </c>
      <c r="E23" s="376">
        <v>0</v>
      </c>
      <c r="F23" s="377">
        <v>0</v>
      </c>
      <c r="G23" s="377">
        <v>16</v>
      </c>
      <c r="H23" s="378">
        <f>IF(F23=0,0,$C23/(F23*365))</f>
        <v>0</v>
      </c>
      <c r="I23" s="378">
        <f>IF(G23=0,0,$C23/(G23*365))</f>
        <v>0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0</v>
      </c>
      <c r="D25" s="376">
        <v>0</v>
      </c>
      <c r="E25" s="376">
        <v>0</v>
      </c>
      <c r="F25" s="377">
        <v>0</v>
      </c>
      <c r="G25" s="377">
        <v>0</v>
      </c>
      <c r="H25" s="378">
        <f>IF(F25=0,0,$C25/(F25*365))</f>
        <v>0</v>
      </c>
      <c r="I25" s="378">
        <f>IF(G25=0,0,$C25/(G25*365))</f>
        <v>0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0</v>
      </c>
      <c r="D27" s="376">
        <v>0</v>
      </c>
      <c r="E27" s="376">
        <v>0</v>
      </c>
      <c r="F27" s="377">
        <v>0</v>
      </c>
      <c r="G27" s="377">
        <v>0</v>
      </c>
      <c r="H27" s="378">
        <f>IF(F27=0,0,$C27/(F27*365))</f>
        <v>0</v>
      </c>
      <c r="I27" s="378">
        <f>IF(G27=0,0,$C27/(G27*365))</f>
        <v>0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9873</v>
      </c>
      <c r="D31" s="384">
        <f>SUM(D10:D29)-D13-D17-D23</f>
        <v>2112</v>
      </c>
      <c r="E31" s="384">
        <f>SUM(E10:E29)-E17-E23</f>
        <v>2037</v>
      </c>
      <c r="F31" s="384">
        <f>SUM(F10:F29)-F17-F23</f>
        <v>47</v>
      </c>
      <c r="G31" s="384">
        <f>SUM(G10:G29)-G17-G23</f>
        <v>102</v>
      </c>
      <c r="H31" s="385">
        <f>IF(F31=0,0,$C31/(F31*365))</f>
        <v>0.57551734188283299</v>
      </c>
      <c r="I31" s="385">
        <f>IF(G31=0,0,$C31/(G31*365))</f>
        <v>0.26518936341659954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9873</v>
      </c>
      <c r="D33" s="384">
        <f>SUM(D10:D29)-D13-D17</f>
        <v>2112</v>
      </c>
      <c r="E33" s="384">
        <f>SUM(E10:E29)-E17</f>
        <v>2037</v>
      </c>
      <c r="F33" s="384">
        <f>SUM(F10:F29)-F17</f>
        <v>47</v>
      </c>
      <c r="G33" s="384">
        <f>SUM(G10:G29)-G17</f>
        <v>118</v>
      </c>
      <c r="H33" s="385">
        <f>IF(F33=0,0,$C33/(F33*365))</f>
        <v>0.57551734188283299</v>
      </c>
      <c r="I33" s="385">
        <f>IF(G33=0,0,$C33/(G33*365))</f>
        <v>0.22923148363129789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9873</v>
      </c>
      <c r="D36" s="384">
        <f t="shared" si="1"/>
        <v>2112</v>
      </c>
      <c r="E36" s="384">
        <f t="shared" si="1"/>
        <v>2037</v>
      </c>
      <c r="F36" s="384">
        <f t="shared" si="1"/>
        <v>47</v>
      </c>
      <c r="G36" s="384">
        <f t="shared" si="1"/>
        <v>118</v>
      </c>
      <c r="H36" s="387">
        <f t="shared" si="1"/>
        <v>0.57551734188283299</v>
      </c>
      <c r="I36" s="387">
        <f t="shared" si="1"/>
        <v>0.22923148363129789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11155</v>
      </c>
      <c r="D37" s="384">
        <v>2341</v>
      </c>
      <c r="E37" s="384">
        <v>2266</v>
      </c>
      <c r="F37" s="386">
        <v>47</v>
      </c>
      <c r="G37" s="386">
        <v>118</v>
      </c>
      <c r="H37" s="385">
        <f>IF(F37=0,0,$C37/(F37*365))</f>
        <v>0.65024774118332851</v>
      </c>
      <c r="I37" s="385">
        <f>IF(G37=0,0,$C37/(G37*365))</f>
        <v>0.25899698165776641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-1282</v>
      </c>
      <c r="D38" s="384">
        <f t="shared" si="2"/>
        <v>-229</v>
      </c>
      <c r="E38" s="384">
        <f t="shared" si="2"/>
        <v>-229</v>
      </c>
      <c r="F38" s="384">
        <f t="shared" si="2"/>
        <v>0</v>
      </c>
      <c r="G38" s="384">
        <f t="shared" si="2"/>
        <v>0</v>
      </c>
      <c r="H38" s="387">
        <f t="shared" si="2"/>
        <v>-7.473039930049552E-2</v>
      </c>
      <c r="I38" s="387">
        <f t="shared" si="2"/>
        <v>-2.9765498026468523E-2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-0.1149260421335724</v>
      </c>
      <c r="D40" s="389">
        <f t="shared" si="3"/>
        <v>-9.7821443827424179E-2</v>
      </c>
      <c r="E40" s="389">
        <f t="shared" si="3"/>
        <v>-0.10105913503971757</v>
      </c>
      <c r="F40" s="389">
        <f t="shared" si="3"/>
        <v>0</v>
      </c>
      <c r="G40" s="389">
        <f t="shared" si="3"/>
        <v>0</v>
      </c>
      <c r="H40" s="389">
        <f t="shared" si="3"/>
        <v>-0.11492604213357244</v>
      </c>
      <c r="I40" s="389">
        <f t="shared" si="3"/>
        <v>-0.11492604213357233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118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scale="70" fitToHeight="0" orientation="landscape" horizontalDpi="1200" verticalDpi="1200" r:id="rId1"/>
  <headerFooter>
    <oddHeader>&amp;LOFFICE OF HEALTH CARE ACCESS&amp;CTWELVE MONTHS ACTUAL FILING&amp;RROCKVILLE GENERAL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1"/>
  <sheetViews>
    <sheetView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0" t="s">
        <v>0</v>
      </c>
      <c r="B1" s="811"/>
      <c r="C1" s="811"/>
      <c r="D1" s="811"/>
      <c r="E1" s="811"/>
      <c r="F1" s="812"/>
    </row>
    <row r="2" spans="1:16" ht="15.75" customHeight="1" x14ac:dyDescent="0.25">
      <c r="A2" s="810" t="s">
        <v>1</v>
      </c>
      <c r="B2" s="811"/>
      <c r="C2" s="811"/>
      <c r="D2" s="811"/>
      <c r="E2" s="811"/>
      <c r="F2" s="812"/>
    </row>
    <row r="3" spans="1:16" ht="15.75" customHeight="1" x14ac:dyDescent="0.25">
      <c r="A3" s="810" t="s">
        <v>2</v>
      </c>
      <c r="B3" s="811"/>
      <c r="C3" s="811"/>
      <c r="D3" s="811"/>
      <c r="E3" s="811"/>
      <c r="F3" s="812"/>
    </row>
    <row r="4" spans="1:16" ht="15.75" customHeight="1" x14ac:dyDescent="0.25">
      <c r="A4" s="810" t="s">
        <v>553</v>
      </c>
      <c r="B4" s="811"/>
      <c r="C4" s="811"/>
      <c r="D4" s="811"/>
      <c r="E4" s="811"/>
      <c r="F4" s="812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1676</v>
      </c>
      <c r="D12" s="409">
        <v>1764</v>
      </c>
      <c r="E12" s="409">
        <f>+D12-C12</f>
        <v>88</v>
      </c>
      <c r="F12" s="410">
        <f>IF(C12=0,0,+E12/C12)</f>
        <v>5.2505966587112173E-2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4357</v>
      </c>
      <c r="D13" s="409">
        <v>4630</v>
      </c>
      <c r="E13" s="409">
        <f>+D13-C13</f>
        <v>273</v>
      </c>
      <c r="F13" s="410">
        <f>IF(C13=0,0,+E13/C13)</f>
        <v>6.2657792058756032E-2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1695</v>
      </c>
      <c r="D14" s="409">
        <v>1800</v>
      </c>
      <c r="E14" s="409">
        <f>+D14-C14</f>
        <v>105</v>
      </c>
      <c r="F14" s="410">
        <f>IF(C14=0,0,+E14/C14)</f>
        <v>6.1946902654867256E-2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7728</v>
      </c>
      <c r="D16" s="401">
        <f>SUM(D12:D15)</f>
        <v>8194</v>
      </c>
      <c r="E16" s="401">
        <f>+D16-C16</f>
        <v>466</v>
      </c>
      <c r="F16" s="402">
        <f>IF(C16=0,0,+E16/C16)</f>
        <v>6.0300207039337472E-2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194</v>
      </c>
      <c r="D19" s="409">
        <v>268</v>
      </c>
      <c r="E19" s="409">
        <f>+D19-C19</f>
        <v>74</v>
      </c>
      <c r="F19" s="410">
        <f>IF(C19=0,0,+E19/C19)</f>
        <v>0.38144329896907214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2323</v>
      </c>
      <c r="D20" s="409">
        <v>1182</v>
      </c>
      <c r="E20" s="409">
        <f>+D20-C20</f>
        <v>-1141</v>
      </c>
      <c r="F20" s="410">
        <f>IF(C20=0,0,+E20/C20)</f>
        <v>-0.49117520447696944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115</v>
      </c>
      <c r="D21" s="409">
        <v>24</v>
      </c>
      <c r="E21" s="409">
        <f>+D21-C21</f>
        <v>-91</v>
      </c>
      <c r="F21" s="410">
        <f>IF(C21=0,0,+E21/C21)</f>
        <v>-0.79130434782608694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2632</v>
      </c>
      <c r="D23" s="401">
        <f>SUM(D19:D22)</f>
        <v>1474</v>
      </c>
      <c r="E23" s="401">
        <f>+D23-C23</f>
        <v>-1158</v>
      </c>
      <c r="F23" s="402">
        <f>IF(C23=0,0,+E23/C23)</f>
        <v>-0.4399696048632219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0</v>
      </c>
      <c r="D27" s="409">
        <v>0</v>
      </c>
      <c r="E27" s="409">
        <f>+D27-C27</f>
        <v>0</v>
      </c>
      <c r="F27" s="410">
        <f>IF(C27=0,0,+E27/C27)</f>
        <v>0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0</v>
      </c>
      <c r="D30" s="401">
        <f>SUM(D26:D29)</f>
        <v>0</v>
      </c>
      <c r="E30" s="401">
        <f>+D30-C30</f>
        <v>0</v>
      </c>
      <c r="F30" s="402">
        <f>IF(C30=0,0,+E30/C30)</f>
        <v>0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0</v>
      </c>
      <c r="D33" s="409">
        <v>0</v>
      </c>
      <c r="E33" s="409">
        <f>+D33-C33</f>
        <v>0</v>
      </c>
      <c r="F33" s="410">
        <f>IF(C33=0,0,+E33/C33)</f>
        <v>0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0</v>
      </c>
      <c r="D34" s="409">
        <v>0</v>
      </c>
      <c r="E34" s="409">
        <f>+D34-C34</f>
        <v>0</v>
      </c>
      <c r="F34" s="410">
        <f>IF(C34=0,0,+E34/C34)</f>
        <v>0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0</v>
      </c>
      <c r="D37" s="401">
        <f>SUM(D33:D36)</f>
        <v>0</v>
      </c>
      <c r="E37" s="401">
        <f>+D37-C37</f>
        <v>0</v>
      </c>
      <c r="F37" s="402">
        <f>IF(C37=0,0,+E37/C37)</f>
        <v>0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3" t="s">
        <v>566</v>
      </c>
      <c r="C39" s="814"/>
      <c r="D39" s="814"/>
      <c r="E39" s="814"/>
      <c r="F39" s="815"/>
    </row>
    <row r="40" spans="1:16" ht="15.75" customHeight="1" x14ac:dyDescent="0.25">
      <c r="A40" s="136"/>
      <c r="B40" s="813" t="s">
        <v>567</v>
      </c>
      <c r="C40" s="814"/>
      <c r="D40" s="814"/>
      <c r="E40" s="814"/>
      <c r="F40" s="815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0</v>
      </c>
      <c r="D43" s="409">
        <v>0</v>
      </c>
      <c r="E43" s="409">
        <f>+D43-C43</f>
        <v>0</v>
      </c>
      <c r="F43" s="410">
        <f>IF(C43=0,0,+E43/C43)</f>
        <v>0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0</v>
      </c>
      <c r="D44" s="409">
        <v>0</v>
      </c>
      <c r="E44" s="409">
        <f>+D44-C44</f>
        <v>0</v>
      </c>
      <c r="F44" s="410">
        <f>IF(C44=0,0,+E44/C44)</f>
        <v>0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0</v>
      </c>
      <c r="D45" s="401">
        <f>SUM(D43:D44)</f>
        <v>0</v>
      </c>
      <c r="E45" s="401">
        <f>+D45-C45</f>
        <v>0</v>
      </c>
      <c r="F45" s="402">
        <f>IF(C45=0,0,+E45/C45)</f>
        <v>0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0</v>
      </c>
      <c r="D48" s="409">
        <v>0</v>
      </c>
      <c r="E48" s="409">
        <f>+D48-C48</f>
        <v>0</v>
      </c>
      <c r="F48" s="410">
        <f>IF(C48=0,0,+E48/C48)</f>
        <v>0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0</v>
      </c>
      <c r="D49" s="409">
        <v>0</v>
      </c>
      <c r="E49" s="409">
        <f>+D49-C49</f>
        <v>0</v>
      </c>
      <c r="F49" s="410">
        <f>IF(C49=0,0,+E49/C49)</f>
        <v>0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0</v>
      </c>
      <c r="D50" s="401">
        <f>SUM(D48:D49)</f>
        <v>0</v>
      </c>
      <c r="E50" s="401">
        <f>+D50-C50</f>
        <v>0</v>
      </c>
      <c r="F50" s="402">
        <f>IF(C50=0,0,+E50/C50)</f>
        <v>0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0</v>
      </c>
      <c r="D53" s="409">
        <v>0</v>
      </c>
      <c r="E53" s="409">
        <f>+D53-C53</f>
        <v>0</v>
      </c>
      <c r="F53" s="410">
        <f>IF(C53=0,0,+E53/C53)</f>
        <v>0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0</v>
      </c>
      <c r="D54" s="409">
        <v>0</v>
      </c>
      <c r="E54" s="409">
        <f>+D54-C54</f>
        <v>0</v>
      </c>
      <c r="F54" s="410">
        <f>IF(C54=0,0,+E54/C54)</f>
        <v>0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0</v>
      </c>
      <c r="D55" s="401">
        <f>SUM(D53:D54)</f>
        <v>0</v>
      </c>
      <c r="E55" s="401">
        <f>+D55-C55</f>
        <v>0</v>
      </c>
      <c r="F55" s="402">
        <f>IF(C55=0,0,+E55/C55)</f>
        <v>0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0</v>
      </c>
      <c r="D58" s="409">
        <v>0</v>
      </c>
      <c r="E58" s="409">
        <f>+D58-C58</f>
        <v>0</v>
      </c>
      <c r="F58" s="410">
        <f>IF(C58=0,0,+E58/C58)</f>
        <v>0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0</v>
      </c>
      <c r="D59" s="409">
        <v>0</v>
      </c>
      <c r="E59" s="409">
        <f>+D59-C59</f>
        <v>0</v>
      </c>
      <c r="F59" s="410">
        <f>IF(C59=0,0,+E59/C59)</f>
        <v>0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0</v>
      </c>
      <c r="D60" s="401">
        <f>SUM(D58:D59)</f>
        <v>0</v>
      </c>
      <c r="E60" s="401">
        <f>SUM(E58:E59)</f>
        <v>0</v>
      </c>
      <c r="F60" s="402">
        <f>IF(C60=0,0,+E60/C60)</f>
        <v>0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508</v>
      </c>
      <c r="D63" s="409">
        <v>470</v>
      </c>
      <c r="E63" s="409">
        <f>+D63-C63</f>
        <v>-38</v>
      </c>
      <c r="F63" s="410">
        <f>IF(C63=0,0,+E63/C63)</f>
        <v>-7.4803149606299218E-2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1380</v>
      </c>
      <c r="D64" s="409">
        <v>1434</v>
      </c>
      <c r="E64" s="409">
        <f>+D64-C64</f>
        <v>54</v>
      </c>
      <c r="F64" s="410">
        <f>IF(C64=0,0,+E64/C64)</f>
        <v>3.9130434782608699E-2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1888</v>
      </c>
      <c r="D65" s="401">
        <f>SUM(D63:D64)</f>
        <v>1904</v>
      </c>
      <c r="E65" s="401">
        <f>+D65-C65</f>
        <v>16</v>
      </c>
      <c r="F65" s="402">
        <f>IF(C65=0,0,+E65/C65)</f>
        <v>8.4745762711864406E-3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198</v>
      </c>
      <c r="D68" s="409">
        <v>184</v>
      </c>
      <c r="E68" s="409">
        <f>+D68-C68</f>
        <v>-14</v>
      </c>
      <c r="F68" s="410">
        <f>IF(C68=0,0,+E68/C68)</f>
        <v>-7.0707070707070704E-2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2421</v>
      </c>
      <c r="D69" s="409">
        <v>2325</v>
      </c>
      <c r="E69" s="409">
        <f>+D69-C69</f>
        <v>-96</v>
      </c>
      <c r="F69" s="412">
        <f>IF(C69=0,0,+E69/C69)</f>
        <v>-3.9653035935563817E-2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2619</v>
      </c>
      <c r="D70" s="401">
        <f>SUM(D68:D69)</f>
        <v>2509</v>
      </c>
      <c r="E70" s="401">
        <f>+D70-C70</f>
        <v>-110</v>
      </c>
      <c r="F70" s="402">
        <f>IF(C70=0,0,+E70/C70)</f>
        <v>-4.2000763650248185E-2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2089</v>
      </c>
      <c r="D73" s="376">
        <v>1893</v>
      </c>
      <c r="E73" s="409">
        <f>+D73-C73</f>
        <v>-196</v>
      </c>
      <c r="F73" s="410">
        <f>IF(C73=0,0,+E73/C73)</f>
        <v>-9.382479655337482E-2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19262</v>
      </c>
      <c r="D74" s="376">
        <v>18996</v>
      </c>
      <c r="E74" s="409">
        <f>+D74-C74</f>
        <v>-266</v>
      </c>
      <c r="F74" s="410">
        <f>IF(C74=0,0,+E74/C74)</f>
        <v>-1.3809573253037067E-2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21351</v>
      </c>
      <c r="D75" s="401">
        <f>SUM(D73:D74)</f>
        <v>20889</v>
      </c>
      <c r="E75" s="401">
        <f>SUM(E73:E74)</f>
        <v>-462</v>
      </c>
      <c r="F75" s="402">
        <f>IF(C75=0,0,+E75/C75)</f>
        <v>-2.1638330757341576E-2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0</v>
      </c>
      <c r="D81" s="376">
        <v>0</v>
      </c>
      <c r="E81" s="409">
        <f t="shared" si="0"/>
        <v>0</v>
      </c>
      <c r="F81" s="410">
        <f t="shared" si="1"/>
        <v>0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6721</v>
      </c>
      <c r="D84" s="376">
        <v>5405</v>
      </c>
      <c r="E84" s="409">
        <f t="shared" si="0"/>
        <v>-1316</v>
      </c>
      <c r="F84" s="410">
        <f t="shared" si="1"/>
        <v>-0.19580419580419581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1167</v>
      </c>
      <c r="D90" s="376">
        <v>905</v>
      </c>
      <c r="E90" s="409">
        <f t="shared" si="0"/>
        <v>-262</v>
      </c>
      <c r="F90" s="410">
        <f t="shared" si="1"/>
        <v>-0.22450728363324765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0</v>
      </c>
      <c r="D91" s="376">
        <v>0</v>
      </c>
      <c r="E91" s="409">
        <f t="shared" si="0"/>
        <v>0</v>
      </c>
      <c r="F91" s="410">
        <f t="shared" si="1"/>
        <v>0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7888</v>
      </c>
      <c r="D92" s="381">
        <f>SUM(D79:D91)</f>
        <v>6310</v>
      </c>
      <c r="E92" s="401">
        <f t="shared" si="0"/>
        <v>-1578</v>
      </c>
      <c r="F92" s="402">
        <f t="shared" si="1"/>
        <v>-0.20005070993914809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38400</v>
      </c>
      <c r="D95" s="414">
        <v>38849</v>
      </c>
      <c r="E95" s="415">
        <f t="shared" ref="E95:E100" si="2">+D95-C95</f>
        <v>449</v>
      </c>
      <c r="F95" s="412">
        <f t="shared" ref="F95:F100" si="3">IF(C95=0,0,+E95/C95)</f>
        <v>1.1692708333333333E-2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7730</v>
      </c>
      <c r="D96" s="414">
        <v>7543</v>
      </c>
      <c r="E96" s="409">
        <f t="shared" si="2"/>
        <v>-187</v>
      </c>
      <c r="F96" s="410">
        <f t="shared" si="3"/>
        <v>-2.4191461836998707E-2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0</v>
      </c>
      <c r="D97" s="414">
        <v>0</v>
      </c>
      <c r="E97" s="409">
        <f t="shared" si="2"/>
        <v>0</v>
      </c>
      <c r="F97" s="410">
        <f t="shared" si="3"/>
        <v>0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2421</v>
      </c>
      <c r="D98" s="414">
        <v>2325</v>
      </c>
      <c r="E98" s="409">
        <f t="shared" si="2"/>
        <v>-96</v>
      </c>
      <c r="F98" s="410">
        <f t="shared" si="3"/>
        <v>-3.9653035935563817E-2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45944</v>
      </c>
      <c r="D99" s="414">
        <v>48344</v>
      </c>
      <c r="E99" s="409">
        <f t="shared" si="2"/>
        <v>2400</v>
      </c>
      <c r="F99" s="410">
        <f t="shared" si="3"/>
        <v>5.2237506529688317E-2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94495</v>
      </c>
      <c r="D100" s="381">
        <f>SUM(D95:D99)</f>
        <v>97061</v>
      </c>
      <c r="E100" s="401">
        <f t="shared" si="2"/>
        <v>2566</v>
      </c>
      <c r="F100" s="402">
        <f t="shared" si="3"/>
        <v>2.7154875919360812E-2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112.3</v>
      </c>
      <c r="D104" s="416">
        <v>102.9</v>
      </c>
      <c r="E104" s="417">
        <f>+D104-C104</f>
        <v>-9.3999999999999915</v>
      </c>
      <c r="F104" s="410">
        <f>IF(C104=0,0,+E104/C104)</f>
        <v>-8.3704363312555582E-2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6</v>
      </c>
      <c r="D105" s="416">
        <v>4.5999999999999996</v>
      </c>
      <c r="E105" s="417">
        <f>+D105-C105</f>
        <v>-1.4000000000000004</v>
      </c>
      <c r="F105" s="410">
        <f>IF(C105=0,0,+E105/C105)</f>
        <v>-0.23333333333333339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304.39999999999998</v>
      </c>
      <c r="D106" s="416">
        <v>273.60000000000002</v>
      </c>
      <c r="E106" s="417">
        <f>+D106-C106</f>
        <v>-30.799999999999955</v>
      </c>
      <c r="F106" s="410">
        <f>IF(C106=0,0,+E106/C106)</f>
        <v>-0.10118265440210235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422.7</v>
      </c>
      <c r="D107" s="418">
        <f>SUM(D104:D106)</f>
        <v>381.1</v>
      </c>
      <c r="E107" s="418">
        <f>+D107-C107</f>
        <v>-41.599999999999966</v>
      </c>
      <c r="F107" s="402">
        <f>IF(C107=0,0,+E107/C107)</f>
        <v>-9.8414951502247383E-2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A1:F1"/>
    <mergeCell ref="A2:F2"/>
    <mergeCell ref="A3:F3"/>
    <mergeCell ref="A4:F4"/>
    <mergeCell ref="B39:F39"/>
    <mergeCell ref="B40:F40"/>
  </mergeCells>
  <printOptions gridLines="1"/>
  <pageMargins left="0.25" right="0.25" top="0.5" bottom="0.5" header="0.25" footer="0.25"/>
  <pageSetup scale="74" fitToHeight="0" orientation="portrait" horizontalDpi="1200" verticalDpi="1200" r:id="rId1"/>
  <headerFooter>
    <oddHeader>&amp;LOFFICE OF HEALTH CARE ACCESS&amp;CTWELVE MONTHS ACTUAL FILING&amp;RROCKVILLE GENERAL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opLeftCell="A4" zoomScale="75" zoomScaleSheetLayoutView="90" workbookViewId="0">
      <selection activeCell="B29" sqref="B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0" t="s">
        <v>0</v>
      </c>
      <c r="B1" s="811"/>
      <c r="C1" s="811"/>
      <c r="D1" s="811"/>
      <c r="E1" s="811"/>
      <c r="F1" s="812"/>
    </row>
    <row r="2" spans="1:6" ht="15.75" customHeight="1" x14ac:dyDescent="0.25">
      <c r="A2" s="810" t="s">
        <v>1</v>
      </c>
      <c r="B2" s="811"/>
      <c r="C2" s="811"/>
      <c r="D2" s="811"/>
      <c r="E2" s="811"/>
      <c r="F2" s="812"/>
    </row>
    <row r="3" spans="1:6" ht="15.75" customHeight="1" x14ac:dyDescent="0.25">
      <c r="A3" s="810" t="s">
        <v>2</v>
      </c>
      <c r="B3" s="811"/>
      <c r="C3" s="811"/>
      <c r="D3" s="811"/>
      <c r="E3" s="811"/>
      <c r="F3" s="812"/>
    </row>
    <row r="4" spans="1:6" ht="15.75" customHeight="1" x14ac:dyDescent="0.25">
      <c r="A4" s="810" t="s">
        <v>620</v>
      </c>
      <c r="B4" s="811"/>
      <c r="C4" s="811"/>
      <c r="D4" s="811"/>
      <c r="E4" s="811"/>
      <c r="F4" s="812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1380</v>
      </c>
      <c r="D12" s="409">
        <v>1434</v>
      </c>
      <c r="E12" s="409">
        <f>+D12-C12</f>
        <v>54</v>
      </c>
      <c r="F12" s="410">
        <f>IF(C12=0,0,+E12/C12)</f>
        <v>3.9130434782608699E-2</v>
      </c>
    </row>
    <row r="13" spans="1:6" ht="15.75" customHeight="1" x14ac:dyDescent="0.25">
      <c r="A13" s="374"/>
      <c r="B13" s="399" t="s">
        <v>622</v>
      </c>
      <c r="C13" s="401">
        <f>SUM(C11:C12)</f>
        <v>1380</v>
      </c>
      <c r="D13" s="401">
        <f>SUM(D11:D12)</f>
        <v>1434</v>
      </c>
      <c r="E13" s="401">
        <f>+D13-C13</f>
        <v>54</v>
      </c>
      <c r="F13" s="402">
        <f>IF(C13=0,0,+E13/C13)</f>
        <v>3.9130434782608699E-2</v>
      </c>
    </row>
    <row r="14" spans="1:6" ht="15.75" customHeight="1" x14ac:dyDescent="0.25">
      <c r="A14" s="136"/>
      <c r="B14" s="399"/>
      <c r="C14" s="401"/>
      <c r="D14" s="401"/>
      <c r="E14" s="401"/>
      <c r="F14" s="402"/>
    </row>
    <row r="15" spans="1:6" ht="15.75" customHeight="1" x14ac:dyDescent="0.25">
      <c r="A15" s="136" t="s">
        <v>26</v>
      </c>
      <c r="B15" s="406" t="s">
        <v>588</v>
      </c>
      <c r="C15" s="409"/>
      <c r="D15" s="409"/>
      <c r="E15" s="409"/>
      <c r="F15" s="410"/>
    </row>
    <row r="16" spans="1:6" ht="15.75" customHeight="1" x14ac:dyDescent="0.2">
      <c r="A16" s="374">
        <v>1</v>
      </c>
      <c r="B16" s="408" t="s">
        <v>621</v>
      </c>
      <c r="C16" s="409">
        <v>2421</v>
      </c>
      <c r="D16" s="409">
        <v>2325</v>
      </c>
      <c r="E16" s="409">
        <f>+D16-C16</f>
        <v>-96</v>
      </c>
      <c r="F16" s="410">
        <f>IF(C16=0,0,+E16/C16)</f>
        <v>-3.9653035935563817E-2</v>
      </c>
    </row>
    <row r="17" spans="1:6" ht="15.75" customHeight="1" x14ac:dyDescent="0.25">
      <c r="A17" s="374"/>
      <c r="B17" s="399" t="s">
        <v>623</v>
      </c>
      <c r="C17" s="401">
        <f>SUM(C15:C16)</f>
        <v>2421</v>
      </c>
      <c r="D17" s="401">
        <f>SUM(D15:D16)</f>
        <v>2325</v>
      </c>
      <c r="E17" s="401">
        <f>+D17-C17</f>
        <v>-96</v>
      </c>
      <c r="F17" s="402">
        <f>IF(C17=0,0,+E17/C17)</f>
        <v>-3.9653035935563817E-2</v>
      </c>
    </row>
    <row r="18" spans="1:6" ht="15.75" customHeight="1" x14ac:dyDescent="0.25">
      <c r="A18" s="136"/>
      <c r="B18" s="399"/>
      <c r="C18" s="401"/>
      <c r="D18" s="401"/>
      <c r="E18" s="401"/>
      <c r="F18" s="402"/>
    </row>
    <row r="19" spans="1:6" ht="15.75" customHeight="1" x14ac:dyDescent="0.25">
      <c r="A19" s="136" t="s">
        <v>36</v>
      </c>
      <c r="B19" s="406" t="s">
        <v>624</v>
      </c>
      <c r="C19" s="409"/>
      <c r="D19" s="409"/>
      <c r="E19" s="409"/>
      <c r="F19" s="410"/>
    </row>
    <row r="20" spans="1:6" ht="15.75" customHeight="1" x14ac:dyDescent="0.2">
      <c r="A20" s="374">
        <v>1</v>
      </c>
      <c r="B20" s="408" t="s">
        <v>625</v>
      </c>
      <c r="C20" s="409">
        <v>19262</v>
      </c>
      <c r="D20" s="409">
        <v>18996</v>
      </c>
      <c r="E20" s="409">
        <f>+D20-C20</f>
        <v>-266</v>
      </c>
      <c r="F20" s="410">
        <f>IF(C20=0,0,+E20/C20)</f>
        <v>-1.3809573253037067E-2</v>
      </c>
    </row>
    <row r="21" spans="1:6" ht="15.75" customHeight="1" x14ac:dyDescent="0.25">
      <c r="A21" s="374"/>
      <c r="B21" s="399" t="s">
        <v>626</v>
      </c>
      <c r="C21" s="401">
        <f>SUM(C19:C20)</f>
        <v>19262</v>
      </c>
      <c r="D21" s="401">
        <f>SUM(D19:D20)</f>
        <v>18996</v>
      </c>
      <c r="E21" s="401">
        <f>+D21-C21</f>
        <v>-266</v>
      </c>
      <c r="F21" s="402">
        <f>IF(C21=0,0,+E21/C21)</f>
        <v>-1.3809573253037067E-2</v>
      </c>
    </row>
    <row r="22" spans="1:6" ht="15.75" customHeight="1" x14ac:dyDescent="0.25">
      <c r="A22" s="136"/>
      <c r="B22" s="399"/>
      <c r="C22" s="401"/>
      <c r="D22" s="401"/>
      <c r="E22" s="401"/>
      <c r="F22" s="402"/>
    </row>
    <row r="23" spans="1:6" ht="15.75" customHeight="1" x14ac:dyDescent="0.25">
      <c r="B23" s="813" t="s">
        <v>627</v>
      </c>
      <c r="C23" s="814"/>
      <c r="D23" s="814"/>
      <c r="E23" s="814"/>
      <c r="F23" s="815"/>
    </row>
    <row r="24" spans="1:6" ht="15.75" customHeight="1" x14ac:dyDescent="0.25">
      <c r="A24" s="392"/>
    </row>
    <row r="25" spans="1:6" ht="15.75" customHeight="1" x14ac:dyDescent="0.25">
      <c r="B25" s="813" t="s">
        <v>628</v>
      </c>
      <c r="C25" s="814"/>
      <c r="D25" s="814"/>
      <c r="E25" s="814"/>
      <c r="F25" s="815"/>
    </row>
    <row r="26" spans="1:6" ht="15.75" customHeight="1" x14ac:dyDescent="0.25">
      <c r="A26" s="392"/>
    </row>
    <row r="27" spans="1:6" ht="15.75" customHeight="1" x14ac:dyDescent="0.25">
      <c r="B27" s="813" t="s">
        <v>629</v>
      </c>
      <c r="C27" s="814"/>
      <c r="D27" s="814"/>
      <c r="E27" s="814"/>
      <c r="F27" s="815"/>
    </row>
    <row r="28" spans="1:6" ht="15.75" customHeight="1" x14ac:dyDescent="0.25">
      <c r="A28" s="392"/>
    </row>
  </sheetData>
  <mergeCells count="7">
    <mergeCell ref="B27:F27"/>
    <mergeCell ref="A1:F1"/>
    <mergeCell ref="A2:F2"/>
    <mergeCell ref="A3:F3"/>
    <mergeCell ref="A4:F4"/>
    <mergeCell ref="B23:F23"/>
    <mergeCell ref="B25:F25"/>
  </mergeCells>
  <printOptions gridLines="1"/>
  <pageMargins left="0.25" right="0.25" top="0.5" bottom="0.5" header="0.25" footer="0.25"/>
  <pageSetup scale="82" fitToHeight="0" orientation="portrait" horizontalDpi="1200" verticalDpi="1200" r:id="rId1"/>
  <headerFooter>
    <oddHeader>&amp;LOFFICE OF HEALTH CARE ACCESS&amp;CTWELVE MONTHS ACTUAL FILING&amp;RROCKVILLE GENERAL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opLeftCell="A286" zoomScale="85" zoomScaleSheetLayoutView="80" workbookViewId="0">
      <selection activeCell="B329" sqref="B32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630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631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632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633</v>
      </c>
      <c r="D7" s="426" t="s">
        <v>633</v>
      </c>
      <c r="E7" s="426" t="s">
        <v>634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635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636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637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638</v>
      </c>
      <c r="C15" s="448">
        <v>50841937</v>
      </c>
      <c r="D15" s="448">
        <v>51328637</v>
      </c>
      <c r="E15" s="448">
        <f t="shared" ref="E15:E24" si="0">D15-C15</f>
        <v>486700</v>
      </c>
      <c r="F15" s="449">
        <f t="shared" ref="F15:F24" si="1">IF(C15=0,0,E15/C15)</f>
        <v>9.5728060085515619E-3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639</v>
      </c>
      <c r="C16" s="448">
        <v>15218316</v>
      </c>
      <c r="D16" s="448">
        <v>14223185</v>
      </c>
      <c r="E16" s="448">
        <f t="shared" si="0"/>
        <v>-995131</v>
      </c>
      <c r="F16" s="449">
        <f t="shared" si="1"/>
        <v>-6.5390349365856248E-2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640</v>
      </c>
      <c r="C17" s="453">
        <f>IF(C15=0,0,C16/C15)</f>
        <v>0.29932604652729888</v>
      </c>
      <c r="D17" s="453">
        <f>IF(LN_IA1=0,0,LN_IA2/LN_IA1)</f>
        <v>0.27710038355392136</v>
      </c>
      <c r="E17" s="454">
        <f t="shared" si="0"/>
        <v>-2.2225662973377525E-2</v>
      </c>
      <c r="F17" s="449">
        <f t="shared" si="1"/>
        <v>-7.42523520129095E-2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1524</v>
      </c>
      <c r="D18" s="456">
        <v>1428</v>
      </c>
      <c r="E18" s="456">
        <f t="shared" si="0"/>
        <v>-96</v>
      </c>
      <c r="F18" s="449">
        <f t="shared" si="1"/>
        <v>-6.2992125984251968E-2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641</v>
      </c>
      <c r="C19" s="459">
        <v>1.5733299999999999</v>
      </c>
      <c r="D19" s="459">
        <v>1.7138199999999999</v>
      </c>
      <c r="E19" s="460">
        <f t="shared" si="0"/>
        <v>0.14049</v>
      </c>
      <c r="F19" s="449">
        <f t="shared" si="1"/>
        <v>8.9294680709069305E-2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642</v>
      </c>
      <c r="C20" s="463">
        <f>C18*C19</f>
        <v>2397.7549199999999</v>
      </c>
      <c r="D20" s="463">
        <f>LN_IA4*LN_IA5</f>
        <v>2447.3349599999997</v>
      </c>
      <c r="E20" s="463">
        <f t="shared" si="0"/>
        <v>49.580039999999826</v>
      </c>
      <c r="F20" s="449">
        <f t="shared" si="1"/>
        <v>2.0677692947868011E-2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643</v>
      </c>
      <c r="C21" s="465">
        <f>IF(C20=0,0,C16/C20)</f>
        <v>6346.9022096720382</v>
      </c>
      <c r="D21" s="465">
        <f>IF(LN_IA6=0,0,LN_IA2/LN_IA6)</f>
        <v>5811.7034376038182</v>
      </c>
      <c r="E21" s="465">
        <f t="shared" si="0"/>
        <v>-535.19877206822002</v>
      </c>
      <c r="F21" s="449">
        <f t="shared" si="1"/>
        <v>-8.4324408095122552E-2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7734</v>
      </c>
      <c r="D22" s="456">
        <v>7024</v>
      </c>
      <c r="E22" s="456">
        <f t="shared" si="0"/>
        <v>-710</v>
      </c>
      <c r="F22" s="449">
        <f t="shared" si="1"/>
        <v>-9.180243082492888E-2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644</v>
      </c>
      <c r="C23" s="465">
        <f>IF(C22=0,0,C16/C22)</f>
        <v>1967.7160589604343</v>
      </c>
      <c r="D23" s="465">
        <f>IF(LN_IA8=0,0,LN_IA2/LN_IA8)</f>
        <v>2024.9409168564921</v>
      </c>
      <c r="E23" s="465">
        <f t="shared" si="0"/>
        <v>57.224857896057756</v>
      </c>
      <c r="F23" s="449">
        <f t="shared" si="1"/>
        <v>2.9081867597447096E-2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645</v>
      </c>
      <c r="C24" s="466">
        <f>IF(C18=0,0,C22/C18)</f>
        <v>5.0748031496062991</v>
      </c>
      <c r="D24" s="466">
        <f>IF(LN_IA4=0,0,LN_IA8/LN_IA4)</f>
        <v>4.9187675070028014</v>
      </c>
      <c r="E24" s="466">
        <f t="shared" si="0"/>
        <v>-0.15603564260349767</v>
      </c>
      <c r="F24" s="449">
        <f t="shared" si="1"/>
        <v>-3.0747132056856797E-2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646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647</v>
      </c>
      <c r="C27" s="448">
        <v>49133767</v>
      </c>
      <c r="D27" s="448">
        <v>51687196</v>
      </c>
      <c r="E27" s="448">
        <f t="shared" ref="E27:E32" si="2">D27-C27</f>
        <v>2553429</v>
      </c>
      <c r="F27" s="449">
        <f t="shared" ref="F27:F32" si="3">IF(C27=0,0,E27/C27)</f>
        <v>5.1968923937788042E-2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648</v>
      </c>
      <c r="C28" s="448">
        <v>9712148</v>
      </c>
      <c r="D28" s="448">
        <v>9465425</v>
      </c>
      <c r="E28" s="448">
        <f t="shared" si="2"/>
        <v>-246723</v>
      </c>
      <c r="F28" s="449">
        <f t="shared" si="3"/>
        <v>-2.5403546156833687E-2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649</v>
      </c>
      <c r="C29" s="453">
        <f>IF(C27=0,0,C28/C27)</f>
        <v>0.1976674819172729</v>
      </c>
      <c r="D29" s="453">
        <f>IF(LN_IA11=0,0,LN_IA12/LN_IA11)</f>
        <v>0.18312900935852663</v>
      </c>
      <c r="E29" s="454">
        <f t="shared" si="2"/>
        <v>-1.4538472558746268E-2</v>
      </c>
      <c r="F29" s="449">
        <f t="shared" si="3"/>
        <v>-7.3550148045245289E-2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650</v>
      </c>
      <c r="C30" s="453">
        <f>IF(C15=0,0,C27/C15)</f>
        <v>0.96640234222390076</v>
      </c>
      <c r="D30" s="453">
        <f>IF(LN_IA1=0,0,LN_IA11/LN_IA1)</f>
        <v>1.0069855546719466</v>
      </c>
      <c r="E30" s="454">
        <f t="shared" si="2"/>
        <v>4.0583212448045858E-2</v>
      </c>
      <c r="F30" s="449">
        <f t="shared" si="3"/>
        <v>4.1994116399444059E-2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651</v>
      </c>
      <c r="C31" s="463">
        <f>C30*C18</f>
        <v>1472.7971695492247</v>
      </c>
      <c r="D31" s="463">
        <f>LN_IA14*LN_IA4</f>
        <v>1437.9753720715398</v>
      </c>
      <c r="E31" s="463">
        <f t="shared" si="2"/>
        <v>-34.821797477684868</v>
      </c>
      <c r="F31" s="449">
        <f t="shared" si="3"/>
        <v>-2.3643308255638953E-2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652</v>
      </c>
      <c r="C32" s="465">
        <f>IF(C31=0,0,C28/C31)</f>
        <v>6594.3554216447692</v>
      </c>
      <c r="D32" s="465">
        <f>IF(LN_IA15=0,0,LN_IA12/LN_IA15)</f>
        <v>6582.466698552812</v>
      </c>
      <c r="E32" s="465">
        <f t="shared" si="2"/>
        <v>-11.888723091957218</v>
      </c>
      <c r="F32" s="449">
        <f t="shared" si="3"/>
        <v>-1.802863560088777E-3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653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654</v>
      </c>
      <c r="C35" s="448">
        <f>C15+C27</f>
        <v>99975704</v>
      </c>
      <c r="D35" s="448">
        <f>LN_IA1+LN_IA11</f>
        <v>103015833</v>
      </c>
      <c r="E35" s="448">
        <f>D35-C35</f>
        <v>3040129</v>
      </c>
      <c r="F35" s="449">
        <f>IF(C35=0,0,E35/C35)</f>
        <v>3.0408678092429337E-2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655</v>
      </c>
      <c r="C36" s="448">
        <f>C16+C28</f>
        <v>24930464</v>
      </c>
      <c r="D36" s="448">
        <f>LN_IA2+LN_IA12</f>
        <v>23688610</v>
      </c>
      <c r="E36" s="448">
        <f>D36-C36</f>
        <v>-1241854</v>
      </c>
      <c r="F36" s="449">
        <f>IF(C36=0,0,E36/C36)</f>
        <v>-4.9812711067070393E-2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656</v>
      </c>
      <c r="C37" s="448">
        <f>C35-C36</f>
        <v>75045240</v>
      </c>
      <c r="D37" s="448">
        <f>LN_IA17-LN_IA18</f>
        <v>79327223</v>
      </c>
      <c r="E37" s="448">
        <f>D37-C37</f>
        <v>4281983</v>
      </c>
      <c r="F37" s="449">
        <f>IF(C37=0,0,E37/C37)</f>
        <v>5.7058688865542974E-2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657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658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638</v>
      </c>
      <c r="C42" s="448">
        <v>16037037</v>
      </c>
      <c r="D42" s="448">
        <v>13834638</v>
      </c>
      <c r="E42" s="448">
        <f t="shared" ref="E42:E53" si="4">D42-C42</f>
        <v>-2202399</v>
      </c>
      <c r="F42" s="449">
        <f t="shared" ref="F42:F53" si="5">IF(C42=0,0,E42/C42)</f>
        <v>-0.13733203957813403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639</v>
      </c>
      <c r="C43" s="448">
        <v>6801498</v>
      </c>
      <c r="D43" s="448">
        <v>6433906</v>
      </c>
      <c r="E43" s="448">
        <f t="shared" si="4"/>
        <v>-367592</v>
      </c>
      <c r="F43" s="449">
        <f t="shared" si="5"/>
        <v>-5.4045741099975328E-2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640</v>
      </c>
      <c r="C44" s="453">
        <f>IF(C42=0,0,C43/C42)</f>
        <v>0.42411188550603207</v>
      </c>
      <c r="D44" s="453">
        <f>IF(LN_IB1=0,0,LN_IB2/LN_IB1)</f>
        <v>0.46505777744238774</v>
      </c>
      <c r="E44" s="454">
        <f t="shared" si="4"/>
        <v>4.0945891936355672E-2</v>
      </c>
      <c r="F44" s="449">
        <f t="shared" si="5"/>
        <v>9.6545023461204804E-2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489</v>
      </c>
      <c r="D45" s="456">
        <v>409</v>
      </c>
      <c r="E45" s="456">
        <f t="shared" si="4"/>
        <v>-80</v>
      </c>
      <c r="F45" s="449">
        <f t="shared" si="5"/>
        <v>-0.16359918200408999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641</v>
      </c>
      <c r="C46" s="459">
        <v>1.61446</v>
      </c>
      <c r="D46" s="459">
        <v>1.77478</v>
      </c>
      <c r="E46" s="460">
        <f t="shared" si="4"/>
        <v>0.16032000000000002</v>
      </c>
      <c r="F46" s="449">
        <f t="shared" si="5"/>
        <v>9.9302553175674851E-2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642</v>
      </c>
      <c r="C47" s="463">
        <f>C45*C46</f>
        <v>789.47094000000004</v>
      </c>
      <c r="D47" s="463">
        <f>LN_IB4*LN_IB5</f>
        <v>725.88502000000005</v>
      </c>
      <c r="E47" s="463">
        <f t="shared" si="4"/>
        <v>-63.585919999999987</v>
      </c>
      <c r="F47" s="449">
        <f t="shared" si="5"/>
        <v>-8.0542445298873167E-2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643</v>
      </c>
      <c r="C48" s="465">
        <f>IF(C47=0,0,C43/C47)</f>
        <v>8615.2607466463542</v>
      </c>
      <c r="D48" s="465">
        <f>IF(LN_IB6=0,0,LN_IB2/LN_IB6)</f>
        <v>8863.5332356080307</v>
      </c>
      <c r="E48" s="465">
        <f t="shared" si="4"/>
        <v>248.27248896167657</v>
      </c>
      <c r="F48" s="449">
        <f t="shared" si="5"/>
        <v>2.8817756799563044E-2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659</v>
      </c>
      <c r="C49" s="465">
        <f>C21-C48</f>
        <v>-2268.3585369743159</v>
      </c>
      <c r="D49" s="465">
        <f>LN_IA7-LN_IB7</f>
        <v>-3051.8297980042125</v>
      </c>
      <c r="E49" s="465">
        <f t="shared" si="4"/>
        <v>-783.4712610298966</v>
      </c>
      <c r="F49" s="449">
        <f t="shared" si="5"/>
        <v>0.34539128107805278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660</v>
      </c>
      <c r="C50" s="479">
        <f>C49*C47</f>
        <v>-1790803.1464421381</v>
      </c>
      <c r="D50" s="479">
        <f>LN_IB8*LN_IB6</f>
        <v>-2215277.533960884</v>
      </c>
      <c r="E50" s="479">
        <f t="shared" si="4"/>
        <v>-424474.38751874585</v>
      </c>
      <c r="F50" s="449">
        <f t="shared" si="5"/>
        <v>0.2370301774162428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2005</v>
      </c>
      <c r="D51" s="456">
        <v>1537</v>
      </c>
      <c r="E51" s="456">
        <f t="shared" si="4"/>
        <v>-468</v>
      </c>
      <c r="F51" s="449">
        <f t="shared" si="5"/>
        <v>-0.23341645885286783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644</v>
      </c>
      <c r="C52" s="465">
        <f>IF(C51=0,0,C43/C51)</f>
        <v>3392.2683291770572</v>
      </c>
      <c r="D52" s="465">
        <f>IF(LN_IB10=0,0,LN_IB2/LN_IB10)</f>
        <v>4186.015614834092</v>
      </c>
      <c r="E52" s="465">
        <f t="shared" si="4"/>
        <v>793.74728565703481</v>
      </c>
      <c r="F52" s="449">
        <f t="shared" si="5"/>
        <v>0.23398717572839908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645</v>
      </c>
      <c r="C53" s="466">
        <f>IF(C45=0,0,C51/C45)</f>
        <v>4.1002044989775053</v>
      </c>
      <c r="D53" s="466">
        <f>IF(LN_IB4=0,0,LN_IB10/LN_IB4)</f>
        <v>3.7579462102689485</v>
      </c>
      <c r="E53" s="466">
        <f t="shared" si="4"/>
        <v>-0.34225828870855679</v>
      </c>
      <c r="F53" s="449">
        <f t="shared" si="5"/>
        <v>-8.3473467919443517E-2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661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647</v>
      </c>
      <c r="C56" s="448">
        <v>68784346</v>
      </c>
      <c r="D56" s="448">
        <v>64457721</v>
      </c>
      <c r="E56" s="448">
        <f t="shared" ref="E56:E63" si="6">D56-C56</f>
        <v>-4326625</v>
      </c>
      <c r="F56" s="449">
        <f t="shared" ref="F56:F63" si="7">IF(C56=0,0,E56/C56)</f>
        <v>-6.2901303154063573E-2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648</v>
      </c>
      <c r="C57" s="448">
        <v>30280369</v>
      </c>
      <c r="D57" s="448">
        <v>27427116</v>
      </c>
      <c r="E57" s="448">
        <f t="shared" si="6"/>
        <v>-2853253</v>
      </c>
      <c r="F57" s="449">
        <f t="shared" si="7"/>
        <v>-9.4227814727092657E-2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649</v>
      </c>
      <c r="C58" s="453">
        <f>IF(C56=0,0,C57/C56)</f>
        <v>0.44022180569980268</v>
      </c>
      <c r="D58" s="453">
        <f>IF(LN_IB13=0,0,LN_IB14/LN_IB13)</f>
        <v>0.4255055185708474</v>
      </c>
      <c r="E58" s="454">
        <f t="shared" si="6"/>
        <v>-1.4716287128955285E-2</v>
      </c>
      <c r="F58" s="449">
        <f t="shared" si="7"/>
        <v>-3.3429255294524549E-2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650</v>
      </c>
      <c r="C59" s="453">
        <f>IF(C42=0,0,C56/C42)</f>
        <v>4.289093178496751</v>
      </c>
      <c r="D59" s="453">
        <f>IF(LN_IB1=0,0,LN_IB13/LN_IB1)</f>
        <v>4.6591548691046345</v>
      </c>
      <c r="E59" s="454">
        <f t="shared" si="6"/>
        <v>0.37006169060788352</v>
      </c>
      <c r="F59" s="449">
        <f t="shared" si="7"/>
        <v>8.6279704172242622E-2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651</v>
      </c>
      <c r="C60" s="463">
        <f>C59*C45</f>
        <v>2097.3665642849114</v>
      </c>
      <c r="D60" s="463">
        <f>LN_IB16*LN_IB4</f>
        <v>1905.5943414637954</v>
      </c>
      <c r="E60" s="463">
        <f t="shared" si="6"/>
        <v>-191.77222282111597</v>
      </c>
      <c r="F60" s="449">
        <f t="shared" si="7"/>
        <v>-9.1434766857981228E-2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652</v>
      </c>
      <c r="C61" s="465">
        <f>IF(C60=0,0,C57/C60)</f>
        <v>14437.327988168805</v>
      </c>
      <c r="D61" s="465">
        <f>IF(LN_IB17=0,0,LN_IB14/LN_IB17)</f>
        <v>14392.945761442423</v>
      </c>
      <c r="E61" s="465">
        <f t="shared" si="6"/>
        <v>-44.382226726382214</v>
      </c>
      <c r="F61" s="449">
        <f t="shared" si="7"/>
        <v>-3.0741302519935025E-3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662</v>
      </c>
      <c r="C62" s="465">
        <f>C32-C61</f>
        <v>-7842.9725665240358</v>
      </c>
      <c r="D62" s="465">
        <f>LN_IA16-LN_IB18</f>
        <v>-7810.4790628896108</v>
      </c>
      <c r="E62" s="465">
        <f t="shared" si="6"/>
        <v>32.493503634424997</v>
      </c>
      <c r="F62" s="449">
        <f t="shared" si="7"/>
        <v>-4.143008707325614E-3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663</v>
      </c>
      <c r="C63" s="448">
        <f>C62*C60</f>
        <v>-16449588.425631331</v>
      </c>
      <c r="D63" s="448">
        <f>LN_IB19*LN_IB17</f>
        <v>-14883604.70636389</v>
      </c>
      <c r="E63" s="448">
        <f t="shared" si="6"/>
        <v>1565983.719267441</v>
      </c>
      <c r="F63" s="449">
        <f t="shared" si="7"/>
        <v>-9.5198960530061952E-2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664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654</v>
      </c>
      <c r="C66" s="448">
        <f>C42+C56</f>
        <v>84821383</v>
      </c>
      <c r="D66" s="448">
        <f>LN_IB1+LN_IB13</f>
        <v>78292359</v>
      </c>
      <c r="E66" s="448">
        <f>D66-C66</f>
        <v>-6529024</v>
      </c>
      <c r="F66" s="449">
        <f>IF(C66=0,0,E66/C66)</f>
        <v>-7.6973797986764722E-2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655</v>
      </c>
      <c r="C67" s="448">
        <f>C43+C57</f>
        <v>37081867</v>
      </c>
      <c r="D67" s="448">
        <f>LN_IB2+LN_IB14</f>
        <v>33861022</v>
      </c>
      <c r="E67" s="448">
        <f>D67-C67</f>
        <v>-3220845</v>
      </c>
      <c r="F67" s="449">
        <f>IF(C67=0,0,E67/C67)</f>
        <v>-8.6857681680374943E-2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656</v>
      </c>
      <c r="C68" s="448">
        <f>C66-C67</f>
        <v>47739516</v>
      </c>
      <c r="D68" s="448">
        <f>LN_IB21-LN_IB22</f>
        <v>44431337</v>
      </c>
      <c r="E68" s="448">
        <f>D68-C68</f>
        <v>-3308179</v>
      </c>
      <c r="F68" s="449">
        <f>IF(C68=0,0,E68/C68)</f>
        <v>-6.9296450345244384E-2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665</v>
      </c>
      <c r="C70" s="441">
        <f>C50+C63</f>
        <v>-18240391.572073471</v>
      </c>
      <c r="D70" s="441">
        <f>LN_IB9+LN_IB20</f>
        <v>-17098882.240324773</v>
      </c>
      <c r="E70" s="448">
        <f>D70-C70</f>
        <v>1141509.3317486979</v>
      </c>
      <c r="F70" s="449">
        <f>IF(C70=0,0,E70/C70)</f>
        <v>-6.258140496810273E-2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666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667</v>
      </c>
      <c r="C73" s="488">
        <v>84821383</v>
      </c>
      <c r="D73" s="488">
        <v>78292359</v>
      </c>
      <c r="E73" s="488">
        <f>D73-C73</f>
        <v>-6529024</v>
      </c>
      <c r="F73" s="489">
        <f>IF(C73=0,0,E73/C73)</f>
        <v>-7.6973797986764722E-2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668</v>
      </c>
      <c r="C74" s="488">
        <v>37081867</v>
      </c>
      <c r="D74" s="488">
        <v>33861022</v>
      </c>
      <c r="E74" s="488">
        <f>D74-C74</f>
        <v>-3220845</v>
      </c>
      <c r="F74" s="489">
        <f>IF(C74=0,0,E74/C74)</f>
        <v>-8.6857681680374943E-2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669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670</v>
      </c>
      <c r="C76" s="441">
        <f>C73-C74</f>
        <v>47739516</v>
      </c>
      <c r="D76" s="441">
        <f>LN_IB32-LN_IB33</f>
        <v>44431337</v>
      </c>
      <c r="E76" s="488">
        <f>D76-C76</f>
        <v>-3308179</v>
      </c>
      <c r="F76" s="489">
        <f>IF(E76=0,0,E76/C76)</f>
        <v>-6.9296450345244384E-2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671</v>
      </c>
      <c r="C77" s="453">
        <f>IF(C73=0,0,C76/C73)</f>
        <v>0.56282406996358458</v>
      </c>
      <c r="D77" s="453">
        <f>IF(LN_IB32=0,0,LN_IB34/LN_IB32)</f>
        <v>0.56750540624277268</v>
      </c>
      <c r="E77" s="493">
        <f>D77-C77</f>
        <v>4.6813362791880975E-3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672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673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638</v>
      </c>
      <c r="C83" s="448">
        <v>802034</v>
      </c>
      <c r="D83" s="448">
        <v>479270</v>
      </c>
      <c r="E83" s="448">
        <f t="shared" ref="E83:E95" si="8">D83-C83</f>
        <v>-322764</v>
      </c>
      <c r="F83" s="449">
        <f t="shared" ref="F83:F95" si="9">IF(C83=0,0,E83/C83)</f>
        <v>-0.40243181710501053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639</v>
      </c>
      <c r="C84" s="448">
        <v>20</v>
      </c>
      <c r="D84" s="448">
        <v>10675</v>
      </c>
      <c r="E84" s="448">
        <f t="shared" si="8"/>
        <v>10655</v>
      </c>
      <c r="F84" s="449">
        <f t="shared" si="9"/>
        <v>532.75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640</v>
      </c>
      <c r="C85" s="453">
        <f>IF(C83=0,0,C84/C83)</f>
        <v>2.4936598697810816E-5</v>
      </c>
      <c r="D85" s="453">
        <f>IF(LN_IC1=0,0,LN_IC2/LN_IC1)</f>
        <v>2.2273457550023995E-2</v>
      </c>
      <c r="E85" s="454">
        <f t="shared" si="8"/>
        <v>2.2248520951326185E-2</v>
      </c>
      <c r="F85" s="449">
        <f t="shared" si="9"/>
        <v>892.20351263379723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26</v>
      </c>
      <c r="D86" s="456">
        <v>16</v>
      </c>
      <c r="E86" s="456">
        <f t="shared" si="8"/>
        <v>-10</v>
      </c>
      <c r="F86" s="449">
        <f t="shared" si="9"/>
        <v>-0.38461538461538464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641</v>
      </c>
      <c r="C87" s="459">
        <v>1.0972500000000001</v>
      </c>
      <c r="D87" s="459">
        <v>1.05498</v>
      </c>
      <c r="E87" s="460">
        <f t="shared" si="8"/>
        <v>-4.227000000000003E-2</v>
      </c>
      <c r="F87" s="449">
        <f t="shared" si="9"/>
        <v>-3.8523581681476446E-2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642</v>
      </c>
      <c r="C88" s="463">
        <f>C86*C87</f>
        <v>28.528500000000001</v>
      </c>
      <c r="D88" s="463">
        <f>LN_IC4*LN_IC5</f>
        <v>16.87968</v>
      </c>
      <c r="E88" s="463">
        <f t="shared" si="8"/>
        <v>-11.648820000000001</v>
      </c>
      <c r="F88" s="449">
        <f t="shared" si="9"/>
        <v>-0.4083222041116778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643</v>
      </c>
      <c r="C89" s="465">
        <f>IF(C88=0,0,C84/C88)</f>
        <v>0.70105333263227998</v>
      </c>
      <c r="D89" s="465">
        <f>IF(LN_IC6=0,0,LN_IC2/LN_IC6)</f>
        <v>632.41720222184301</v>
      </c>
      <c r="E89" s="465">
        <f t="shared" si="8"/>
        <v>631.71614888921079</v>
      </c>
      <c r="F89" s="449">
        <f t="shared" si="9"/>
        <v>901.09570767929256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674</v>
      </c>
      <c r="C90" s="465">
        <f>C48-C89</f>
        <v>8614.5596933137222</v>
      </c>
      <c r="D90" s="465">
        <f>LN_IB7-LN_IC7</f>
        <v>8231.1160333861881</v>
      </c>
      <c r="E90" s="465">
        <f t="shared" si="8"/>
        <v>-383.4436599275341</v>
      </c>
      <c r="F90" s="449">
        <f t="shared" si="9"/>
        <v>-4.4511115318540052E-2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675</v>
      </c>
      <c r="C91" s="465">
        <f>C21-C89</f>
        <v>6346.2011563394062</v>
      </c>
      <c r="D91" s="465">
        <f>LN_IA7-LN_IC7</f>
        <v>5179.2862353819755</v>
      </c>
      <c r="E91" s="465">
        <f t="shared" si="8"/>
        <v>-1166.9149209574307</v>
      </c>
      <c r="F91" s="449">
        <f t="shared" si="9"/>
        <v>-0.18387613191109853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660</v>
      </c>
      <c r="C92" s="441">
        <f>C91*C88</f>
        <v>181047.59968862875</v>
      </c>
      <c r="D92" s="441">
        <f>LN_IC9*LN_IC6</f>
        <v>87424.694281652424</v>
      </c>
      <c r="E92" s="441">
        <f t="shared" si="8"/>
        <v>-93622.905406976322</v>
      </c>
      <c r="F92" s="449">
        <f t="shared" si="9"/>
        <v>-0.51711762855730692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99</v>
      </c>
      <c r="D93" s="456">
        <v>53</v>
      </c>
      <c r="E93" s="456">
        <f t="shared" si="8"/>
        <v>-46</v>
      </c>
      <c r="F93" s="449">
        <f t="shared" si="9"/>
        <v>-0.46464646464646464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644</v>
      </c>
      <c r="C94" s="499">
        <f>IF(C93=0,0,C84/C93)</f>
        <v>0.20202020202020202</v>
      </c>
      <c r="D94" s="499">
        <f>IF(LN_IC11=0,0,LN_IC2/LN_IC11)</f>
        <v>201.41509433962264</v>
      </c>
      <c r="E94" s="499">
        <f t="shared" si="8"/>
        <v>201.21307413760243</v>
      </c>
      <c r="F94" s="449">
        <f t="shared" si="9"/>
        <v>996.00471698113211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645</v>
      </c>
      <c r="C95" s="466">
        <f>IF(C86=0,0,C93/C86)</f>
        <v>3.8076923076923075</v>
      </c>
      <c r="D95" s="466">
        <f>IF(LN_IC4=0,0,LN_IC11/LN_IC4)</f>
        <v>3.3125</v>
      </c>
      <c r="E95" s="466">
        <f t="shared" si="8"/>
        <v>-0.49519230769230749</v>
      </c>
      <c r="F95" s="449">
        <f t="shared" si="9"/>
        <v>-0.130050505050505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676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647</v>
      </c>
      <c r="C98" s="448">
        <v>3420569</v>
      </c>
      <c r="D98" s="448">
        <v>3062437</v>
      </c>
      <c r="E98" s="448">
        <f t="shared" ref="E98:E106" si="10">D98-C98</f>
        <v>-358132</v>
      </c>
      <c r="F98" s="449">
        <f t="shared" ref="F98:F106" si="11">IF(C98=0,0,E98/C98)</f>
        <v>-0.10469953975493551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648</v>
      </c>
      <c r="C99" s="448">
        <v>247084</v>
      </c>
      <c r="D99" s="448">
        <v>186014</v>
      </c>
      <c r="E99" s="448">
        <f t="shared" si="10"/>
        <v>-61070</v>
      </c>
      <c r="F99" s="449">
        <f t="shared" si="11"/>
        <v>-0.24716290816078743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649</v>
      </c>
      <c r="C100" s="453">
        <f>IF(C98=0,0,C99/C98)</f>
        <v>7.2234765619404256E-2</v>
      </c>
      <c r="D100" s="453">
        <f>IF(LN_IC14=0,0,LN_IC15/LN_IC14)</f>
        <v>6.0740514825284572E-2</v>
      </c>
      <c r="E100" s="454">
        <f t="shared" si="10"/>
        <v>-1.1494250794119684E-2</v>
      </c>
      <c r="F100" s="449">
        <f t="shared" si="11"/>
        <v>-0.1591235286161434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650</v>
      </c>
      <c r="C101" s="453">
        <f>IF(C83=0,0,C98/C83)</f>
        <v>4.2648678235586024</v>
      </c>
      <c r="D101" s="453">
        <f>IF(LN_IC1=0,0,LN_IC14/LN_IC1)</f>
        <v>6.3897948964049496</v>
      </c>
      <c r="E101" s="454">
        <f t="shared" si="10"/>
        <v>2.1249270728463472</v>
      </c>
      <c r="F101" s="449">
        <f t="shared" si="11"/>
        <v>0.49823984253591935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651</v>
      </c>
      <c r="C102" s="463">
        <f>C101*C86</f>
        <v>110.88656341252366</v>
      </c>
      <c r="D102" s="463">
        <f>LN_IC17*LN_IC4</f>
        <v>102.23671834247919</v>
      </c>
      <c r="E102" s="463">
        <f t="shared" si="10"/>
        <v>-8.6498450700444636</v>
      </c>
      <c r="F102" s="449">
        <f t="shared" si="11"/>
        <v>-7.8006250747126499E-2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652</v>
      </c>
      <c r="C103" s="465">
        <f>IF(C102=0,0,C99/C102)</f>
        <v>2228.2591541843567</v>
      </c>
      <c r="D103" s="465">
        <f>IF(LN_IC18=0,0,LN_IC15/LN_IC18)</f>
        <v>1819.4441587696333</v>
      </c>
      <c r="E103" s="465">
        <f t="shared" si="10"/>
        <v>-408.8149954147234</v>
      </c>
      <c r="F103" s="449">
        <f t="shared" si="11"/>
        <v>-0.18346833430349718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677</v>
      </c>
      <c r="C104" s="465">
        <f>C61-C103</f>
        <v>12209.068833984449</v>
      </c>
      <c r="D104" s="465">
        <f>LN_IB18-LN_IC19</f>
        <v>12573.50160267279</v>
      </c>
      <c r="E104" s="465">
        <f t="shared" si="10"/>
        <v>364.43276868834073</v>
      </c>
      <c r="F104" s="449">
        <f t="shared" si="11"/>
        <v>2.9849349990879487E-2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678</v>
      </c>
      <c r="C105" s="465">
        <f>C32-C103</f>
        <v>4366.0962674604125</v>
      </c>
      <c r="D105" s="465">
        <f>LN_IA16-LN_IC19</f>
        <v>4763.0225397831782</v>
      </c>
      <c r="E105" s="465">
        <f t="shared" si="10"/>
        <v>396.92627232276573</v>
      </c>
      <c r="F105" s="449">
        <f t="shared" si="11"/>
        <v>9.0911021655883509E-2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663</v>
      </c>
      <c r="C106" s="448">
        <f>C105*C102</f>
        <v>484141.41062693187</v>
      </c>
      <c r="D106" s="448">
        <f>LN_IC21*LN_IC18</f>
        <v>486955.79385869269</v>
      </c>
      <c r="E106" s="448">
        <f t="shared" si="10"/>
        <v>2814.3832317608176</v>
      </c>
      <c r="F106" s="449">
        <f t="shared" si="11"/>
        <v>5.8131429577907272E-3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679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654</v>
      </c>
      <c r="C109" s="448">
        <f>C83+C98</f>
        <v>4222603</v>
      </c>
      <c r="D109" s="448">
        <f>LN_IC1+LN_IC14</f>
        <v>3541707</v>
      </c>
      <c r="E109" s="448">
        <f>D109-C109</f>
        <v>-680896</v>
      </c>
      <c r="F109" s="449">
        <f>IF(C109=0,0,E109/C109)</f>
        <v>-0.16125029987427186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655</v>
      </c>
      <c r="C110" s="448">
        <f>C84+C99</f>
        <v>247104</v>
      </c>
      <c r="D110" s="448">
        <f>LN_IC2+LN_IC15</f>
        <v>196689</v>
      </c>
      <c r="E110" s="448">
        <f>D110-C110</f>
        <v>-50415</v>
      </c>
      <c r="F110" s="449">
        <f>IF(C110=0,0,E110/C110)</f>
        <v>-0.20402340714840714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656</v>
      </c>
      <c r="C111" s="448">
        <f>C109-C110</f>
        <v>3975499</v>
      </c>
      <c r="D111" s="448">
        <f>LN_IC23-LN_IC24</f>
        <v>3345018</v>
      </c>
      <c r="E111" s="448">
        <f>D111-C111</f>
        <v>-630481</v>
      </c>
      <c r="F111" s="449">
        <f>IF(C111=0,0,E111/C111)</f>
        <v>-0.15859166358738866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665</v>
      </c>
      <c r="C113" s="448">
        <f>C92+C106</f>
        <v>665189.01031556062</v>
      </c>
      <c r="D113" s="448">
        <f>LN_IC10+LN_IC22</f>
        <v>574380.48814034509</v>
      </c>
      <c r="E113" s="448">
        <f>D113-C113</f>
        <v>-90808.522175215534</v>
      </c>
      <c r="F113" s="449">
        <f>IF(C113=0,0,E113/C113)</f>
        <v>-0.13651536746245502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680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681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638</v>
      </c>
      <c r="C118" s="448">
        <v>9643810</v>
      </c>
      <c r="D118" s="448">
        <v>9112209</v>
      </c>
      <c r="E118" s="448">
        <f t="shared" ref="E118:E130" si="12">D118-C118</f>
        <v>-531601</v>
      </c>
      <c r="F118" s="449">
        <f t="shared" ref="F118:F130" si="13">IF(C118=0,0,E118/C118)</f>
        <v>-5.5123545569645195E-2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639</v>
      </c>
      <c r="C119" s="448">
        <v>1676207</v>
      </c>
      <c r="D119" s="448">
        <v>1544776</v>
      </c>
      <c r="E119" s="448">
        <f t="shared" si="12"/>
        <v>-131431</v>
      </c>
      <c r="F119" s="449">
        <f t="shared" si="13"/>
        <v>-7.8409766812810117E-2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640</v>
      </c>
      <c r="C120" s="453">
        <f>IF(C118=0,0,C119/C118)</f>
        <v>0.17381169890323431</v>
      </c>
      <c r="D120" s="453">
        <f>IF(LN_ID1=0,0,LN_1D2/LN_ID1)</f>
        <v>0.16952815722290829</v>
      </c>
      <c r="E120" s="454">
        <f t="shared" si="12"/>
        <v>-4.2835416803260196E-3</v>
      </c>
      <c r="F120" s="449">
        <f t="shared" si="13"/>
        <v>-2.4644725915203117E-2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317</v>
      </c>
      <c r="D121" s="456">
        <v>266</v>
      </c>
      <c r="E121" s="456">
        <f t="shared" si="12"/>
        <v>-51</v>
      </c>
      <c r="F121" s="449">
        <f t="shared" si="13"/>
        <v>-0.16088328075709779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641</v>
      </c>
      <c r="C122" s="459">
        <v>1.3605</v>
      </c>
      <c r="D122" s="459">
        <v>1.5228200000000001</v>
      </c>
      <c r="E122" s="460">
        <f t="shared" si="12"/>
        <v>0.16232000000000002</v>
      </c>
      <c r="F122" s="449">
        <f t="shared" si="13"/>
        <v>0.11930907754502022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642</v>
      </c>
      <c r="C123" s="463">
        <f>C121*C122</f>
        <v>431.27850000000001</v>
      </c>
      <c r="D123" s="463">
        <f>LN_ID4*LN_ID5</f>
        <v>405.07012000000003</v>
      </c>
      <c r="E123" s="463">
        <f t="shared" si="12"/>
        <v>-26.208379999999977</v>
      </c>
      <c r="F123" s="449">
        <f t="shared" si="13"/>
        <v>-6.0769039031623361E-2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643</v>
      </c>
      <c r="C124" s="465">
        <f>IF(C123=0,0,C119/C123)</f>
        <v>3886.5999580317589</v>
      </c>
      <c r="D124" s="465">
        <f>IF(LN_ID6=0,0,LN_1D2/LN_ID6)</f>
        <v>3813.6014574464289</v>
      </c>
      <c r="E124" s="465">
        <f t="shared" si="12"/>
        <v>-72.998500585330021</v>
      </c>
      <c r="F124" s="449">
        <f t="shared" si="13"/>
        <v>-1.8782097816492985E-2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682</v>
      </c>
      <c r="C125" s="465">
        <f>C48-C124</f>
        <v>4728.6607886145957</v>
      </c>
      <c r="D125" s="465">
        <f>LN_IB7-LN_ID7</f>
        <v>5049.9317781616019</v>
      </c>
      <c r="E125" s="465">
        <f t="shared" si="12"/>
        <v>321.27098954700614</v>
      </c>
      <c r="F125" s="449">
        <f t="shared" si="13"/>
        <v>6.794122139624488E-2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683</v>
      </c>
      <c r="C126" s="465">
        <f>C21-C124</f>
        <v>2460.3022516402793</v>
      </c>
      <c r="D126" s="465">
        <f>LN_IA7-LN_ID7</f>
        <v>1998.1019801573893</v>
      </c>
      <c r="E126" s="465">
        <f t="shared" si="12"/>
        <v>-462.20027148289</v>
      </c>
      <c r="F126" s="449">
        <f t="shared" si="13"/>
        <v>-0.18786320712210944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660</v>
      </c>
      <c r="C127" s="479">
        <f>C126*C123</f>
        <v>1061075.4646340422</v>
      </c>
      <c r="D127" s="479">
        <f>LN_ID9*LN_ID6</f>
        <v>809371.40887459135</v>
      </c>
      <c r="E127" s="479">
        <f t="shared" si="12"/>
        <v>-251704.05575945089</v>
      </c>
      <c r="F127" s="449">
        <f t="shared" si="13"/>
        <v>-0.23721597958752341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1373</v>
      </c>
      <c r="D128" s="456">
        <v>1250</v>
      </c>
      <c r="E128" s="456">
        <f t="shared" si="12"/>
        <v>-123</v>
      </c>
      <c r="F128" s="449">
        <f t="shared" si="13"/>
        <v>-8.9584850691915519E-2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644</v>
      </c>
      <c r="C129" s="465">
        <f>IF(C128=0,0,C119/C128)</f>
        <v>1220.835396941005</v>
      </c>
      <c r="D129" s="465">
        <f>IF(LN_ID11=0,0,LN_1D2/LN_ID11)</f>
        <v>1235.8208</v>
      </c>
      <c r="E129" s="465">
        <f t="shared" si="12"/>
        <v>14.985403058994962</v>
      </c>
      <c r="F129" s="449">
        <f t="shared" si="13"/>
        <v>1.2274712132809423E-2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645</v>
      </c>
      <c r="C130" s="466">
        <f>IF(C121=0,0,C128/C121)</f>
        <v>4.3312302839116716</v>
      </c>
      <c r="D130" s="466">
        <f>IF(LN_ID4=0,0,LN_ID11/LN_ID4)</f>
        <v>4.6992481203007515</v>
      </c>
      <c r="E130" s="466">
        <f t="shared" si="12"/>
        <v>0.36801783638907981</v>
      </c>
      <c r="F130" s="449">
        <f t="shared" si="13"/>
        <v>8.4968429814521712E-2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684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647</v>
      </c>
      <c r="C133" s="448">
        <v>31469205</v>
      </c>
      <c r="D133" s="448">
        <v>35637001</v>
      </c>
      <c r="E133" s="448">
        <f t="shared" ref="E133:E141" si="14">D133-C133</f>
        <v>4167796</v>
      </c>
      <c r="F133" s="449">
        <f t="shared" ref="F133:F141" si="15">IF(C133=0,0,E133/C133)</f>
        <v>0.1324404604437894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648</v>
      </c>
      <c r="C134" s="448">
        <v>5770160</v>
      </c>
      <c r="D134" s="448">
        <v>5886266</v>
      </c>
      <c r="E134" s="448">
        <f t="shared" si="14"/>
        <v>116106</v>
      </c>
      <c r="F134" s="449">
        <f t="shared" si="15"/>
        <v>2.0121799048899856E-2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649</v>
      </c>
      <c r="C135" s="453">
        <f>IF(C133=0,0,C134/C133)</f>
        <v>0.18335893772975834</v>
      </c>
      <c r="D135" s="453">
        <f>IF(LN_ID14=0,0,LN_ID15/LN_ID14)</f>
        <v>0.16517287748203055</v>
      </c>
      <c r="E135" s="454">
        <f t="shared" si="14"/>
        <v>-1.8186060247727787E-2</v>
      </c>
      <c r="F135" s="449">
        <f t="shared" si="15"/>
        <v>-9.9182840350717574E-2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650</v>
      </c>
      <c r="C136" s="453">
        <f>IF(C118=0,0,C133/C118)</f>
        <v>3.2631506634825862</v>
      </c>
      <c r="D136" s="453">
        <f>IF(LN_ID1=0,0,LN_ID14/LN_ID1)</f>
        <v>3.9109068942558274</v>
      </c>
      <c r="E136" s="454">
        <f t="shared" si="14"/>
        <v>0.64775623077324118</v>
      </c>
      <c r="F136" s="449">
        <f t="shared" si="15"/>
        <v>0.1985063815845774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651</v>
      </c>
      <c r="C137" s="463">
        <f>C136*C121</f>
        <v>1034.4187603239798</v>
      </c>
      <c r="D137" s="463">
        <f>LN_ID17*LN_ID4</f>
        <v>1040.30123387205</v>
      </c>
      <c r="E137" s="463">
        <f t="shared" si="14"/>
        <v>5.8824735480702657</v>
      </c>
      <c r="F137" s="449">
        <f t="shared" si="15"/>
        <v>5.6867429069324656E-3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652</v>
      </c>
      <c r="C138" s="465">
        <f>IF(C137=0,0,C134/C137)</f>
        <v>5578.1664267117376</v>
      </c>
      <c r="D138" s="465">
        <f>IF(LN_ID18=0,0,LN_ID15/LN_ID18)</f>
        <v>5658.2322584498352</v>
      </c>
      <c r="E138" s="465">
        <f t="shared" si="14"/>
        <v>80.065831738097586</v>
      </c>
      <c r="F138" s="449">
        <f t="shared" si="15"/>
        <v>1.4353431865118345E-2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685</v>
      </c>
      <c r="C139" s="465">
        <f>C61-C138</f>
        <v>8859.1615614570674</v>
      </c>
      <c r="D139" s="465">
        <f>LN_IB18-LN_ID19</f>
        <v>8734.7135029925885</v>
      </c>
      <c r="E139" s="465">
        <f t="shared" si="14"/>
        <v>-124.44805846447889</v>
      </c>
      <c r="F139" s="449">
        <f t="shared" si="15"/>
        <v>-1.4047385590743297E-2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686</v>
      </c>
      <c r="C140" s="465">
        <f>C32-C138</f>
        <v>1016.1889949330316</v>
      </c>
      <c r="D140" s="465">
        <f>LN_IA16-LN_ID19</f>
        <v>924.23444010297681</v>
      </c>
      <c r="E140" s="465">
        <f t="shared" si="14"/>
        <v>-91.954554830054803</v>
      </c>
      <c r="F140" s="449">
        <f t="shared" si="15"/>
        <v>-9.0489618849016115E-2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663</v>
      </c>
      <c r="C141" s="441">
        <f>C140*C137</f>
        <v>1051164.9603934975</v>
      </c>
      <c r="D141" s="441">
        <f>LN_ID21*LN_ID18</f>
        <v>961482.22842617007</v>
      </c>
      <c r="E141" s="441">
        <f t="shared" si="14"/>
        <v>-89682.731967327418</v>
      </c>
      <c r="F141" s="449">
        <f t="shared" si="15"/>
        <v>-8.5317467140224312E-2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687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654</v>
      </c>
      <c r="C144" s="448">
        <f>C118+C133</f>
        <v>41113015</v>
      </c>
      <c r="D144" s="448">
        <f>LN_ID1+LN_ID14</f>
        <v>44749210</v>
      </c>
      <c r="E144" s="448">
        <f>D144-C144</f>
        <v>3636195</v>
      </c>
      <c r="F144" s="449">
        <f>IF(C144=0,0,E144/C144)</f>
        <v>8.8443890578202553E-2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655</v>
      </c>
      <c r="C145" s="448">
        <f>C119+C134</f>
        <v>7446367</v>
      </c>
      <c r="D145" s="448">
        <f>LN_1D2+LN_ID15</f>
        <v>7431042</v>
      </c>
      <c r="E145" s="448">
        <f>D145-C145</f>
        <v>-15325</v>
      </c>
      <c r="F145" s="449">
        <f>IF(C145=0,0,E145/C145)</f>
        <v>-2.0580505903079987E-3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656</v>
      </c>
      <c r="C146" s="448">
        <f>C144-C145</f>
        <v>33666648</v>
      </c>
      <c r="D146" s="448">
        <f>LN_ID23-LN_ID24</f>
        <v>37318168</v>
      </c>
      <c r="E146" s="448">
        <f>D146-C146</f>
        <v>3651520</v>
      </c>
      <c r="F146" s="449">
        <f>IF(C146=0,0,E146/C146)</f>
        <v>0.10846105023582983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665</v>
      </c>
      <c r="C148" s="448">
        <f>C127+C141</f>
        <v>2112240.42502754</v>
      </c>
      <c r="D148" s="448">
        <f>LN_ID10+LN_ID22</f>
        <v>1770853.6373007614</v>
      </c>
      <c r="E148" s="448">
        <f>D148-C148</f>
        <v>-341386.78772677854</v>
      </c>
      <c r="F148" s="503">
        <f>IF(C148=0,0,E148/C148)</f>
        <v>-0.16162307267759418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688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689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638</v>
      </c>
      <c r="C153" s="448">
        <v>0</v>
      </c>
      <c r="D153" s="448">
        <v>0</v>
      </c>
      <c r="E153" s="448">
        <f t="shared" ref="E153:E165" si="16">D153-C153</f>
        <v>0</v>
      </c>
      <c r="F153" s="449">
        <f t="shared" ref="F153:F165" si="17">IF(C153=0,0,E153/C153)</f>
        <v>0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639</v>
      </c>
      <c r="C154" s="448">
        <v>0</v>
      </c>
      <c r="D154" s="448">
        <v>0</v>
      </c>
      <c r="E154" s="448">
        <f t="shared" si="16"/>
        <v>0</v>
      </c>
      <c r="F154" s="449">
        <f t="shared" si="17"/>
        <v>0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640</v>
      </c>
      <c r="C155" s="453">
        <f>IF(C153=0,0,C154/C153)</f>
        <v>0</v>
      </c>
      <c r="D155" s="453">
        <f>IF(LN_IE1=0,0,LN_IE2/LN_IE1)</f>
        <v>0</v>
      </c>
      <c r="E155" s="454">
        <f t="shared" si="16"/>
        <v>0</v>
      </c>
      <c r="F155" s="449">
        <f t="shared" si="17"/>
        <v>0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0</v>
      </c>
      <c r="D156" s="506">
        <v>0</v>
      </c>
      <c r="E156" s="506">
        <f t="shared" si="16"/>
        <v>0</v>
      </c>
      <c r="F156" s="449">
        <f t="shared" si="17"/>
        <v>0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641</v>
      </c>
      <c r="C157" s="459">
        <v>0</v>
      </c>
      <c r="D157" s="459">
        <v>0</v>
      </c>
      <c r="E157" s="460">
        <f t="shared" si="16"/>
        <v>0</v>
      </c>
      <c r="F157" s="449">
        <f t="shared" si="17"/>
        <v>0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642</v>
      </c>
      <c r="C158" s="463">
        <f>C156*C157</f>
        <v>0</v>
      </c>
      <c r="D158" s="463">
        <f>LN_IE4*LN_IE5</f>
        <v>0</v>
      </c>
      <c r="E158" s="463">
        <f t="shared" si="16"/>
        <v>0</v>
      </c>
      <c r="F158" s="449">
        <f t="shared" si="17"/>
        <v>0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643</v>
      </c>
      <c r="C159" s="465">
        <f>IF(C158=0,0,C154/C158)</f>
        <v>0</v>
      </c>
      <c r="D159" s="465">
        <f>IF(LN_IE6=0,0,LN_IE2/LN_IE6)</f>
        <v>0</v>
      </c>
      <c r="E159" s="465">
        <f t="shared" si="16"/>
        <v>0</v>
      </c>
      <c r="F159" s="449">
        <f t="shared" si="17"/>
        <v>0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690</v>
      </c>
      <c r="C160" s="465">
        <f>C48-C159</f>
        <v>8615.2607466463542</v>
      </c>
      <c r="D160" s="465">
        <f>LN_IB7-LN_IE7</f>
        <v>8863.5332356080307</v>
      </c>
      <c r="E160" s="465">
        <f t="shared" si="16"/>
        <v>248.27248896167657</v>
      </c>
      <c r="F160" s="449">
        <f t="shared" si="17"/>
        <v>2.8817756799563044E-2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691</v>
      </c>
      <c r="C161" s="465">
        <f>C21-C159</f>
        <v>6346.9022096720382</v>
      </c>
      <c r="D161" s="465">
        <f>LN_IA7-LN_IE7</f>
        <v>5811.7034376038182</v>
      </c>
      <c r="E161" s="465">
        <f t="shared" si="16"/>
        <v>-535.19877206822002</v>
      </c>
      <c r="F161" s="449">
        <f t="shared" si="17"/>
        <v>-8.4324408095122552E-2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660</v>
      </c>
      <c r="C162" s="479">
        <f>C161*C158</f>
        <v>0</v>
      </c>
      <c r="D162" s="479">
        <f>LN_IE9*LN_IE6</f>
        <v>0</v>
      </c>
      <c r="E162" s="479">
        <f t="shared" si="16"/>
        <v>0</v>
      </c>
      <c r="F162" s="449">
        <f t="shared" si="17"/>
        <v>0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0</v>
      </c>
      <c r="D163" s="456">
        <v>0</v>
      </c>
      <c r="E163" s="506">
        <f t="shared" si="16"/>
        <v>0</v>
      </c>
      <c r="F163" s="449">
        <f t="shared" si="17"/>
        <v>0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644</v>
      </c>
      <c r="C164" s="465">
        <f>IF(C163=0,0,C154/C163)</f>
        <v>0</v>
      </c>
      <c r="D164" s="465">
        <f>IF(LN_IE11=0,0,LN_IE2/LN_IE11)</f>
        <v>0</v>
      </c>
      <c r="E164" s="465">
        <f t="shared" si="16"/>
        <v>0</v>
      </c>
      <c r="F164" s="449">
        <f t="shared" si="17"/>
        <v>0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645</v>
      </c>
      <c r="C165" s="466">
        <f>IF(C156=0,0,C163/C156)</f>
        <v>0</v>
      </c>
      <c r="D165" s="466">
        <f>IF(LN_IE4=0,0,LN_IE11/LN_IE4)</f>
        <v>0</v>
      </c>
      <c r="E165" s="466">
        <f t="shared" si="16"/>
        <v>0</v>
      </c>
      <c r="F165" s="449">
        <f t="shared" si="17"/>
        <v>0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692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647</v>
      </c>
      <c r="C168" s="511">
        <v>0</v>
      </c>
      <c r="D168" s="511">
        <v>0</v>
      </c>
      <c r="E168" s="511">
        <f t="shared" ref="E168:E176" si="18">D168-C168</f>
        <v>0</v>
      </c>
      <c r="F168" s="449">
        <f t="shared" ref="F168:F176" si="19">IF(C168=0,0,E168/C168)</f>
        <v>0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648</v>
      </c>
      <c r="C169" s="511">
        <v>0</v>
      </c>
      <c r="D169" s="511">
        <v>0</v>
      </c>
      <c r="E169" s="511">
        <f t="shared" si="18"/>
        <v>0</v>
      </c>
      <c r="F169" s="449">
        <f t="shared" si="19"/>
        <v>0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649</v>
      </c>
      <c r="C170" s="453">
        <f>IF(C168=0,0,C169/C168)</f>
        <v>0</v>
      </c>
      <c r="D170" s="453">
        <f>IF(LN_IE14=0,0,LN_IE15/LN_IE14)</f>
        <v>0</v>
      </c>
      <c r="E170" s="454">
        <f t="shared" si="18"/>
        <v>0</v>
      </c>
      <c r="F170" s="449">
        <f t="shared" si="19"/>
        <v>0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650</v>
      </c>
      <c r="C171" s="453">
        <f>IF(C153=0,0,C168/C153)</f>
        <v>0</v>
      </c>
      <c r="D171" s="453">
        <f>IF(LN_IE1=0,0,LN_IE14/LN_IE1)</f>
        <v>0</v>
      </c>
      <c r="E171" s="454">
        <f t="shared" si="18"/>
        <v>0</v>
      </c>
      <c r="F171" s="449">
        <f t="shared" si="19"/>
        <v>0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651</v>
      </c>
      <c r="C172" s="463">
        <f>C171*C156</f>
        <v>0</v>
      </c>
      <c r="D172" s="463">
        <f>LN_IE17*LN_IE4</f>
        <v>0</v>
      </c>
      <c r="E172" s="463">
        <f t="shared" si="18"/>
        <v>0</v>
      </c>
      <c r="F172" s="449">
        <f t="shared" si="19"/>
        <v>0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652</v>
      </c>
      <c r="C173" s="465">
        <f>IF(C172=0,0,C169/C172)</f>
        <v>0</v>
      </c>
      <c r="D173" s="465">
        <f>IF(LN_IE18=0,0,LN_IE15/LN_IE18)</f>
        <v>0</v>
      </c>
      <c r="E173" s="465">
        <f t="shared" si="18"/>
        <v>0</v>
      </c>
      <c r="F173" s="449">
        <f t="shared" si="19"/>
        <v>0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693</v>
      </c>
      <c r="C174" s="465">
        <f>C61-C173</f>
        <v>14437.327988168805</v>
      </c>
      <c r="D174" s="465">
        <f>LN_IB18-LN_IE19</f>
        <v>14392.945761442423</v>
      </c>
      <c r="E174" s="465">
        <f t="shared" si="18"/>
        <v>-44.382226726382214</v>
      </c>
      <c r="F174" s="449">
        <f t="shared" si="19"/>
        <v>-3.0741302519935025E-3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694</v>
      </c>
      <c r="C175" s="465">
        <f>C32-C173</f>
        <v>6594.3554216447692</v>
      </c>
      <c r="D175" s="465">
        <f>LN_IA16-LN_IE19</f>
        <v>6582.466698552812</v>
      </c>
      <c r="E175" s="465">
        <f t="shared" si="18"/>
        <v>-11.888723091957218</v>
      </c>
      <c r="F175" s="449">
        <f t="shared" si="19"/>
        <v>-1.802863560088777E-3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663</v>
      </c>
      <c r="C176" s="441">
        <f>C175*C172</f>
        <v>0</v>
      </c>
      <c r="D176" s="441">
        <f>LN_IE21*LN_IE18</f>
        <v>0</v>
      </c>
      <c r="E176" s="441">
        <f t="shared" si="18"/>
        <v>0</v>
      </c>
      <c r="F176" s="449">
        <f t="shared" si="19"/>
        <v>0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695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654</v>
      </c>
      <c r="C179" s="448">
        <f>C153+C168</f>
        <v>0</v>
      </c>
      <c r="D179" s="448">
        <f>LN_IE1+LN_IE14</f>
        <v>0</v>
      </c>
      <c r="E179" s="448">
        <f>D179-C179</f>
        <v>0</v>
      </c>
      <c r="F179" s="449">
        <f>IF(C179=0,0,E179/C179)</f>
        <v>0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655</v>
      </c>
      <c r="C180" s="448">
        <f>C154+C169</f>
        <v>0</v>
      </c>
      <c r="D180" s="448">
        <f>LN_IE15+LN_IE2</f>
        <v>0</v>
      </c>
      <c r="E180" s="448">
        <f>D180-C180</f>
        <v>0</v>
      </c>
      <c r="F180" s="449">
        <f>IF(C180=0,0,E180/C180)</f>
        <v>0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656</v>
      </c>
      <c r="C181" s="448">
        <f>C179-C180</f>
        <v>0</v>
      </c>
      <c r="D181" s="448">
        <f>LN_IE23-LN_IE24</f>
        <v>0</v>
      </c>
      <c r="E181" s="448">
        <f>D181-C181</f>
        <v>0</v>
      </c>
      <c r="F181" s="449">
        <f>IF(C181=0,0,E181/C181)</f>
        <v>0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696</v>
      </c>
      <c r="C183" s="448">
        <f>C162+C176</f>
        <v>0</v>
      </c>
      <c r="D183" s="448">
        <f>LN_IE10+LN_IE22</f>
        <v>0</v>
      </c>
      <c r="E183" s="441">
        <f>D183-C183</f>
        <v>0</v>
      </c>
      <c r="F183" s="449">
        <f>IF(C183=0,0,E183/C183)</f>
        <v>0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697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698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638</v>
      </c>
      <c r="C188" s="448">
        <f>C118+C153</f>
        <v>9643810</v>
      </c>
      <c r="D188" s="448">
        <f>LN_ID1+LN_IE1</f>
        <v>9112209</v>
      </c>
      <c r="E188" s="448">
        <f t="shared" ref="E188:E200" si="20">D188-C188</f>
        <v>-531601</v>
      </c>
      <c r="F188" s="449">
        <f t="shared" ref="F188:F200" si="21">IF(C188=0,0,E188/C188)</f>
        <v>-5.5123545569645195E-2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639</v>
      </c>
      <c r="C189" s="448">
        <f>C119+C154</f>
        <v>1676207</v>
      </c>
      <c r="D189" s="448">
        <f>LN_1D2+LN_IE2</f>
        <v>1544776</v>
      </c>
      <c r="E189" s="448">
        <f t="shared" si="20"/>
        <v>-131431</v>
      </c>
      <c r="F189" s="449">
        <f t="shared" si="21"/>
        <v>-7.8409766812810117E-2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640</v>
      </c>
      <c r="C190" s="453">
        <f>IF(C188=0,0,C189/C188)</f>
        <v>0.17381169890323431</v>
      </c>
      <c r="D190" s="453">
        <f>IF(LN_IF1=0,0,LN_IF2/LN_IF1)</f>
        <v>0.16952815722290829</v>
      </c>
      <c r="E190" s="454">
        <f t="shared" si="20"/>
        <v>-4.2835416803260196E-3</v>
      </c>
      <c r="F190" s="449">
        <f t="shared" si="21"/>
        <v>-2.4644725915203117E-2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317</v>
      </c>
      <c r="D191" s="456">
        <f>LN_ID4+LN_IE4</f>
        <v>266</v>
      </c>
      <c r="E191" s="456">
        <f t="shared" si="20"/>
        <v>-51</v>
      </c>
      <c r="F191" s="449">
        <f t="shared" si="21"/>
        <v>-0.16088328075709779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641</v>
      </c>
      <c r="C192" s="459">
        <f>IF((C121+C156)=0,0,(C123+C158)/(C121+C156))</f>
        <v>1.3605</v>
      </c>
      <c r="D192" s="459">
        <f>IF((LN_ID4+LN_IE4)=0,0,(LN_ID6+LN_IE6)/(LN_ID4+LN_IE4))</f>
        <v>1.5228200000000001</v>
      </c>
      <c r="E192" s="460">
        <f t="shared" si="20"/>
        <v>0.16232000000000002</v>
      </c>
      <c r="F192" s="449">
        <f t="shared" si="21"/>
        <v>0.11930907754502022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642</v>
      </c>
      <c r="C193" s="463">
        <f>C123+C158</f>
        <v>431.27850000000001</v>
      </c>
      <c r="D193" s="463">
        <f>LN_IF4*LN_IF5</f>
        <v>405.07012000000003</v>
      </c>
      <c r="E193" s="463">
        <f t="shared" si="20"/>
        <v>-26.208379999999977</v>
      </c>
      <c r="F193" s="449">
        <f t="shared" si="21"/>
        <v>-6.0769039031623361E-2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643</v>
      </c>
      <c r="C194" s="465">
        <f>IF(C193=0,0,C189/C193)</f>
        <v>3886.5999580317589</v>
      </c>
      <c r="D194" s="465">
        <f>IF(LN_IF6=0,0,LN_IF2/LN_IF6)</f>
        <v>3813.6014574464289</v>
      </c>
      <c r="E194" s="465">
        <f t="shared" si="20"/>
        <v>-72.998500585330021</v>
      </c>
      <c r="F194" s="449">
        <f t="shared" si="21"/>
        <v>-1.8782097816492985E-2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699</v>
      </c>
      <c r="C195" s="465">
        <f>C48-C194</f>
        <v>4728.6607886145957</v>
      </c>
      <c r="D195" s="465">
        <f>LN_IB7-LN_IF7</f>
        <v>5049.9317781616019</v>
      </c>
      <c r="E195" s="465">
        <f t="shared" si="20"/>
        <v>321.27098954700614</v>
      </c>
      <c r="F195" s="449">
        <f t="shared" si="21"/>
        <v>6.794122139624488E-2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700</v>
      </c>
      <c r="C196" s="465">
        <f>C21-C194</f>
        <v>2460.3022516402793</v>
      </c>
      <c r="D196" s="465">
        <f>LN_IA7-LN_IF7</f>
        <v>1998.1019801573893</v>
      </c>
      <c r="E196" s="465">
        <f t="shared" si="20"/>
        <v>-462.20027148289</v>
      </c>
      <c r="F196" s="449">
        <f t="shared" si="21"/>
        <v>-0.18786320712210944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660</v>
      </c>
      <c r="C197" s="479">
        <f>C127+C162</f>
        <v>1061075.4646340422</v>
      </c>
      <c r="D197" s="479">
        <f>LN_IF9*LN_IF6</f>
        <v>809371.40887459135</v>
      </c>
      <c r="E197" s="479">
        <f t="shared" si="20"/>
        <v>-251704.05575945089</v>
      </c>
      <c r="F197" s="449">
        <f t="shared" si="21"/>
        <v>-0.23721597958752341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1373</v>
      </c>
      <c r="D198" s="456">
        <f>LN_ID11+LN_IE11</f>
        <v>1250</v>
      </c>
      <c r="E198" s="456">
        <f t="shared" si="20"/>
        <v>-123</v>
      </c>
      <c r="F198" s="449">
        <f t="shared" si="21"/>
        <v>-8.9584850691915519E-2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644</v>
      </c>
      <c r="C199" s="519">
        <f>IF(C198=0,0,C189/C198)</f>
        <v>1220.835396941005</v>
      </c>
      <c r="D199" s="519">
        <f>IF(LN_IF11=0,0,LN_IF2/LN_IF11)</f>
        <v>1235.8208</v>
      </c>
      <c r="E199" s="519">
        <f t="shared" si="20"/>
        <v>14.985403058994962</v>
      </c>
      <c r="F199" s="449">
        <f t="shared" si="21"/>
        <v>1.2274712132809423E-2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645</v>
      </c>
      <c r="C200" s="466">
        <f>IF(C191=0,0,C198/C191)</f>
        <v>4.3312302839116716</v>
      </c>
      <c r="D200" s="466">
        <f>IF(LN_IF4=0,0,LN_IF11/LN_IF4)</f>
        <v>4.6992481203007515</v>
      </c>
      <c r="E200" s="466">
        <f t="shared" si="20"/>
        <v>0.36801783638907981</v>
      </c>
      <c r="F200" s="449">
        <f t="shared" si="21"/>
        <v>8.4968429814521712E-2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701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647</v>
      </c>
      <c r="C203" s="448">
        <f>C133+C168</f>
        <v>31469205</v>
      </c>
      <c r="D203" s="448">
        <f>LN_ID14+LN_IE14</f>
        <v>35637001</v>
      </c>
      <c r="E203" s="448">
        <f t="shared" ref="E203:E211" si="22">D203-C203</f>
        <v>4167796</v>
      </c>
      <c r="F203" s="449">
        <f t="shared" ref="F203:F211" si="23">IF(C203=0,0,E203/C203)</f>
        <v>0.1324404604437894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648</v>
      </c>
      <c r="C204" s="448">
        <f>C134+C169</f>
        <v>5770160</v>
      </c>
      <c r="D204" s="448">
        <f>LN_ID15+LN_IE15</f>
        <v>5886266</v>
      </c>
      <c r="E204" s="448">
        <f t="shared" si="22"/>
        <v>116106</v>
      </c>
      <c r="F204" s="449">
        <f t="shared" si="23"/>
        <v>2.0121799048899856E-2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649</v>
      </c>
      <c r="C205" s="453">
        <f>IF(C203=0,0,C204/C203)</f>
        <v>0.18335893772975834</v>
      </c>
      <c r="D205" s="453">
        <f>IF(LN_IF14=0,0,LN_IF15/LN_IF14)</f>
        <v>0.16517287748203055</v>
      </c>
      <c r="E205" s="454">
        <f t="shared" si="22"/>
        <v>-1.8186060247727787E-2</v>
      </c>
      <c r="F205" s="449">
        <f t="shared" si="23"/>
        <v>-9.9182840350717574E-2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650</v>
      </c>
      <c r="C206" s="453">
        <f>IF(C188=0,0,C203/C188)</f>
        <v>3.2631506634825862</v>
      </c>
      <c r="D206" s="453">
        <f>IF(LN_IF1=0,0,LN_IF14/LN_IF1)</f>
        <v>3.9109068942558274</v>
      </c>
      <c r="E206" s="454">
        <f t="shared" si="22"/>
        <v>0.64775623077324118</v>
      </c>
      <c r="F206" s="449">
        <f t="shared" si="23"/>
        <v>0.1985063815845774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651</v>
      </c>
      <c r="C207" s="463">
        <f>C137+C172</f>
        <v>1034.4187603239798</v>
      </c>
      <c r="D207" s="463">
        <f>LN_ID18+LN_IE18</f>
        <v>1040.30123387205</v>
      </c>
      <c r="E207" s="463">
        <f t="shared" si="22"/>
        <v>5.8824735480702657</v>
      </c>
      <c r="F207" s="449">
        <f t="shared" si="23"/>
        <v>5.6867429069324656E-3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652</v>
      </c>
      <c r="C208" s="465">
        <f>IF(C207=0,0,C204/C207)</f>
        <v>5578.1664267117376</v>
      </c>
      <c r="D208" s="465">
        <f>IF(LN_IF18=0,0,LN_IF15/LN_IF18)</f>
        <v>5658.2322584498352</v>
      </c>
      <c r="E208" s="465">
        <f t="shared" si="22"/>
        <v>80.065831738097586</v>
      </c>
      <c r="F208" s="449">
        <f t="shared" si="23"/>
        <v>1.4353431865118345E-2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702</v>
      </c>
      <c r="C209" s="465">
        <f>C61-C208</f>
        <v>8859.1615614570674</v>
      </c>
      <c r="D209" s="465">
        <f>LN_IB18-LN_IF19</f>
        <v>8734.7135029925885</v>
      </c>
      <c r="E209" s="465">
        <f t="shared" si="22"/>
        <v>-124.44805846447889</v>
      </c>
      <c r="F209" s="449">
        <f t="shared" si="23"/>
        <v>-1.4047385590743297E-2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703</v>
      </c>
      <c r="C210" s="465">
        <f>C32-C208</f>
        <v>1016.1889949330316</v>
      </c>
      <c r="D210" s="465">
        <f>LN_IA16-LN_IF19</f>
        <v>924.23444010297681</v>
      </c>
      <c r="E210" s="465">
        <f t="shared" si="22"/>
        <v>-91.954554830054803</v>
      </c>
      <c r="F210" s="449">
        <f t="shared" si="23"/>
        <v>-9.0489618849016115E-2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663</v>
      </c>
      <c r="C211" s="479">
        <f>C141+C176</f>
        <v>1051164.9603934975</v>
      </c>
      <c r="D211" s="441">
        <f>LN_IF21*LN_IF18</f>
        <v>961482.22842617007</v>
      </c>
      <c r="E211" s="441">
        <f t="shared" si="22"/>
        <v>-89682.731967327418</v>
      </c>
      <c r="F211" s="449">
        <f t="shared" si="23"/>
        <v>-8.5317467140224312E-2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704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654</v>
      </c>
      <c r="C214" s="448">
        <f>C188+C203</f>
        <v>41113015</v>
      </c>
      <c r="D214" s="448">
        <f>LN_IF1+LN_IF14</f>
        <v>44749210</v>
      </c>
      <c r="E214" s="448">
        <f>D214-C214</f>
        <v>3636195</v>
      </c>
      <c r="F214" s="449">
        <f>IF(C214=0,0,E214/C214)</f>
        <v>8.8443890578202553E-2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655</v>
      </c>
      <c r="C215" s="448">
        <f>C189+C204</f>
        <v>7446367</v>
      </c>
      <c r="D215" s="448">
        <f>LN_IF2+LN_IF15</f>
        <v>7431042</v>
      </c>
      <c r="E215" s="448">
        <f>D215-C215</f>
        <v>-15325</v>
      </c>
      <c r="F215" s="449">
        <f>IF(C215=0,0,E215/C215)</f>
        <v>-2.0580505903079987E-3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656</v>
      </c>
      <c r="C216" s="448">
        <f>C214-C215</f>
        <v>33666648</v>
      </c>
      <c r="D216" s="448">
        <f>LN_IF23-LN_IF24</f>
        <v>37318168</v>
      </c>
      <c r="E216" s="448">
        <f>D216-C216</f>
        <v>3651520</v>
      </c>
      <c r="F216" s="449">
        <f>IF(C216=0,0,E216/C216)</f>
        <v>0.10846105023582983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705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706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638</v>
      </c>
      <c r="C221" s="448">
        <v>366000</v>
      </c>
      <c r="D221" s="448">
        <v>339163</v>
      </c>
      <c r="E221" s="448">
        <f t="shared" ref="E221:E230" si="24">D221-C221</f>
        <v>-26837</v>
      </c>
      <c r="F221" s="449">
        <f t="shared" ref="F221:F230" si="25">IF(C221=0,0,E221/C221)</f>
        <v>-7.3325136612021863E-2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639</v>
      </c>
      <c r="C222" s="448">
        <v>89721</v>
      </c>
      <c r="D222" s="448">
        <v>40842</v>
      </c>
      <c r="E222" s="448">
        <f t="shared" si="24"/>
        <v>-48879</v>
      </c>
      <c r="F222" s="449">
        <f t="shared" si="25"/>
        <v>-0.54478884542080452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640</v>
      </c>
      <c r="C223" s="453">
        <f>IF(C221=0,0,C222/C221)</f>
        <v>0.24513934426229508</v>
      </c>
      <c r="D223" s="453">
        <f>IF(LN_IG1=0,0,LN_IG2/LN_IG1)</f>
        <v>0.1204199750562414</v>
      </c>
      <c r="E223" s="454">
        <f t="shared" si="24"/>
        <v>-0.12471936920605368</v>
      </c>
      <c r="F223" s="449">
        <f t="shared" si="25"/>
        <v>-0.50876928622524997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11</v>
      </c>
      <c r="D224" s="456">
        <v>9</v>
      </c>
      <c r="E224" s="456">
        <f t="shared" si="24"/>
        <v>-2</v>
      </c>
      <c r="F224" s="449">
        <f t="shared" si="25"/>
        <v>-0.18181818181818182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641</v>
      </c>
      <c r="C225" s="459">
        <v>1.3385899999999999</v>
      </c>
      <c r="D225" s="459">
        <v>1.0293000000000001</v>
      </c>
      <c r="E225" s="460">
        <f t="shared" si="24"/>
        <v>-0.30928999999999984</v>
      </c>
      <c r="F225" s="449">
        <f t="shared" si="25"/>
        <v>-0.23105655951411549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642</v>
      </c>
      <c r="C226" s="463">
        <f>C224*C225</f>
        <v>14.724489999999999</v>
      </c>
      <c r="D226" s="463">
        <f>LN_IG3*LN_IG4</f>
        <v>9.2637</v>
      </c>
      <c r="E226" s="463">
        <f t="shared" si="24"/>
        <v>-5.4607899999999994</v>
      </c>
      <c r="F226" s="449">
        <f t="shared" si="25"/>
        <v>-0.37086445778427635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643</v>
      </c>
      <c r="C227" s="465">
        <f>IF(C226=0,0,C222/C226)</f>
        <v>6093.3180028646157</v>
      </c>
      <c r="D227" s="465">
        <f>IF(LN_IG5=0,0,LN_IG2/LN_IG5)</f>
        <v>4408.821529194598</v>
      </c>
      <c r="E227" s="465">
        <f t="shared" si="24"/>
        <v>-1684.4964736700176</v>
      </c>
      <c r="F227" s="449">
        <f t="shared" si="25"/>
        <v>-0.27644978858449454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43</v>
      </c>
      <c r="D228" s="456">
        <v>62</v>
      </c>
      <c r="E228" s="456">
        <f t="shared" si="24"/>
        <v>19</v>
      </c>
      <c r="F228" s="449">
        <f t="shared" si="25"/>
        <v>0.44186046511627908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644</v>
      </c>
      <c r="C229" s="465">
        <f>IF(C228=0,0,C222/C228)</f>
        <v>2086.5348837209303</v>
      </c>
      <c r="D229" s="465">
        <f>IF(LN_IG6=0,0,LN_IG2/LN_IG6)</f>
        <v>658.74193548387098</v>
      </c>
      <c r="E229" s="465">
        <f t="shared" si="24"/>
        <v>-1427.7929482370594</v>
      </c>
      <c r="F229" s="449">
        <f t="shared" si="25"/>
        <v>-0.68428903795313867</v>
      </c>
      <c r="Q229" s="421"/>
      <c r="U229" s="462"/>
    </row>
    <row r="230" spans="1:21" ht="15.75" customHeight="1" x14ac:dyDescent="0.2">
      <c r="A230" s="451">
        <v>10</v>
      </c>
      <c r="B230" s="447" t="s">
        <v>645</v>
      </c>
      <c r="C230" s="466">
        <f>IF(C224=0,0,C228/C224)</f>
        <v>3.9090909090909092</v>
      </c>
      <c r="D230" s="466">
        <f>IF(LN_IG3=0,0,LN_IG6/LN_IG3)</f>
        <v>6.8888888888888893</v>
      </c>
      <c r="E230" s="466">
        <f t="shared" si="24"/>
        <v>2.9797979797979801</v>
      </c>
      <c r="F230" s="449">
        <f t="shared" si="25"/>
        <v>0.76227390180878563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707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647</v>
      </c>
      <c r="C233" s="448">
        <v>1023970</v>
      </c>
      <c r="D233" s="448">
        <v>1100397</v>
      </c>
      <c r="E233" s="448">
        <f>D233-C233</f>
        <v>76427</v>
      </c>
      <c r="F233" s="449">
        <f>IF(C233=0,0,E233/C233)</f>
        <v>7.4637928845571647E-2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648</v>
      </c>
      <c r="C234" s="448">
        <v>203932</v>
      </c>
      <c r="D234" s="448">
        <v>184187</v>
      </c>
      <c r="E234" s="448">
        <f>D234-C234</f>
        <v>-19745</v>
      </c>
      <c r="F234" s="449">
        <f>IF(C234=0,0,E234/C234)</f>
        <v>-9.6821489516113218E-2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708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654</v>
      </c>
      <c r="C237" s="448">
        <f>C221+C233</f>
        <v>1389970</v>
      </c>
      <c r="D237" s="448">
        <f>LN_IG1+LN_IG9</f>
        <v>1439560</v>
      </c>
      <c r="E237" s="448">
        <f>D237-C237</f>
        <v>49590</v>
      </c>
      <c r="F237" s="449">
        <f>IF(C237=0,0,E237/C237)</f>
        <v>3.5677029000625915E-2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655</v>
      </c>
      <c r="C238" s="448">
        <f>C222+C234</f>
        <v>293653</v>
      </c>
      <c r="D238" s="448">
        <f>LN_IG2+LN_IG10</f>
        <v>225029</v>
      </c>
      <c r="E238" s="448">
        <f>D238-C238</f>
        <v>-68624</v>
      </c>
      <c r="F238" s="449">
        <f>IF(C238=0,0,E238/C238)</f>
        <v>-0.23369078470167171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656</v>
      </c>
      <c r="C239" s="448">
        <f>C237-C238</f>
        <v>1096317</v>
      </c>
      <c r="D239" s="448">
        <f>LN_IG13-LN_IG14</f>
        <v>1214531</v>
      </c>
      <c r="E239" s="448">
        <f>D239-C239</f>
        <v>118214</v>
      </c>
      <c r="F239" s="449">
        <f>IF(C239=0,0,E239/C239)</f>
        <v>0.10782830148579289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709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710</v>
      </c>
      <c r="C243" s="448">
        <v>6391666</v>
      </c>
      <c r="D243" s="448">
        <v>2225773</v>
      </c>
      <c r="E243" s="441">
        <f>D243-C243</f>
        <v>-4165893</v>
      </c>
      <c r="F243" s="503">
        <f>IF(C243=0,0,E243/C243)</f>
        <v>-0.65176950735535932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711</v>
      </c>
      <c r="C244" s="448">
        <v>72159655</v>
      </c>
      <c r="D244" s="448">
        <v>68867915</v>
      </c>
      <c r="E244" s="441">
        <f>D244-C244</f>
        <v>-3291740</v>
      </c>
      <c r="F244" s="503">
        <f>IF(C244=0,0,E244/C244)</f>
        <v>-4.5617457566835648E-2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712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713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714</v>
      </c>
      <c r="C248" s="441">
        <v>1188543</v>
      </c>
      <c r="D248" s="441">
        <v>797362</v>
      </c>
      <c r="E248" s="441">
        <f>D248-C248</f>
        <v>-391181</v>
      </c>
      <c r="F248" s="449">
        <f>IF(C248=0,0,E248/C248)</f>
        <v>-0.3291265019439768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715</v>
      </c>
      <c r="C249" s="441">
        <v>2801283</v>
      </c>
      <c r="D249" s="441">
        <v>3610628</v>
      </c>
      <c r="E249" s="441">
        <f>D249-C249</f>
        <v>809345</v>
      </c>
      <c r="F249" s="449">
        <f>IF(C249=0,0,E249/C249)</f>
        <v>0.28891939871837297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716</v>
      </c>
      <c r="C250" s="441">
        <f>C248+C249</f>
        <v>3989826</v>
      </c>
      <c r="D250" s="441">
        <f>LN_IH4+LN_IH5</f>
        <v>4407990</v>
      </c>
      <c r="E250" s="441">
        <f>D250-C250</f>
        <v>418164</v>
      </c>
      <c r="F250" s="449">
        <f>IF(C250=0,0,E250/C250)</f>
        <v>0.10480757807483333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717</v>
      </c>
      <c r="C251" s="441">
        <f>C250*C313</f>
        <v>1154337.6548981031</v>
      </c>
      <c r="D251" s="441">
        <f>LN_IH6*LN_III10</f>
        <v>1178018.8560358444</v>
      </c>
      <c r="E251" s="441">
        <f>D251-C251</f>
        <v>23681.201137741329</v>
      </c>
      <c r="F251" s="449">
        <f>IF(C251=0,0,E251/C251)</f>
        <v>2.0514968941069276E-2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718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654</v>
      </c>
      <c r="C254" s="441">
        <f>C188+C203</f>
        <v>41113015</v>
      </c>
      <c r="D254" s="441">
        <f>LN_IF23</f>
        <v>44749210</v>
      </c>
      <c r="E254" s="441">
        <f>D254-C254</f>
        <v>3636195</v>
      </c>
      <c r="F254" s="449">
        <f>IF(C254=0,0,E254/C254)</f>
        <v>8.8443890578202553E-2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655</v>
      </c>
      <c r="C255" s="441">
        <f>C189+C204</f>
        <v>7446367</v>
      </c>
      <c r="D255" s="441">
        <f>LN_IF24</f>
        <v>7431042</v>
      </c>
      <c r="E255" s="441">
        <f>D255-C255</f>
        <v>-15325</v>
      </c>
      <c r="F255" s="449">
        <f>IF(C255=0,0,E255/C255)</f>
        <v>-2.0580505903079987E-3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719</v>
      </c>
      <c r="C256" s="441">
        <f>C254*C313</f>
        <v>11894829.829894971</v>
      </c>
      <c r="D256" s="441">
        <f>LN_IH8*LN_III10</f>
        <v>11959059.156828344</v>
      </c>
      <c r="E256" s="441">
        <f>D256-C256</f>
        <v>64229.326933372766</v>
      </c>
      <c r="F256" s="449">
        <f>IF(C256=0,0,E256/C256)</f>
        <v>5.3997684583891098E-3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720</v>
      </c>
      <c r="C257" s="441">
        <f>C256-C255</f>
        <v>4448462.8298949711</v>
      </c>
      <c r="D257" s="441">
        <f>LN_IH10-LN_IH9</f>
        <v>4528017.1568283439</v>
      </c>
      <c r="E257" s="441">
        <f>D257-C257</f>
        <v>79554.326933372766</v>
      </c>
      <c r="F257" s="449">
        <f>IF(C257=0,0,E257/C257)</f>
        <v>1.7883554381694373E-2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721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722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76888784</v>
      </c>
      <c r="D261" s="448">
        <f>LN_IA1+LN_IB1+LN_IF1+LN_IG1</f>
        <v>74614647</v>
      </c>
      <c r="E261" s="448">
        <f t="shared" ref="E261:E274" si="26">D261-C261</f>
        <v>-2274137</v>
      </c>
      <c r="F261" s="503">
        <f t="shared" ref="F261:F274" si="27">IF(C261=0,0,E261/C261)</f>
        <v>-2.9576966648347566E-2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23785742</v>
      </c>
      <c r="D262" s="448">
        <f>+LN_IA2+LN_IB2+LN_IF2+LN_IG2</f>
        <v>22242709</v>
      </c>
      <c r="E262" s="448">
        <f t="shared" si="26"/>
        <v>-1543033</v>
      </c>
      <c r="F262" s="503">
        <f t="shared" si="27"/>
        <v>-6.4872182671450826E-2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723</v>
      </c>
      <c r="C263" s="453">
        <f>IF(C261=0,0,C262/C261)</f>
        <v>0.30935255784510779</v>
      </c>
      <c r="D263" s="453">
        <f>IF(LN_IIA1=0,0,LN_IIA2/LN_IIA1)</f>
        <v>0.29810110875415652</v>
      </c>
      <c r="E263" s="454">
        <f t="shared" si="26"/>
        <v>-1.1251449090951271E-2</v>
      </c>
      <c r="F263" s="458">
        <f t="shared" si="27"/>
        <v>-3.6370958654186561E-2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2341</v>
      </c>
      <c r="D264" s="456">
        <f>LN_IA4+LN_IB4+LN_IF4+LN_IG3</f>
        <v>2112</v>
      </c>
      <c r="E264" s="456">
        <f t="shared" si="26"/>
        <v>-229</v>
      </c>
      <c r="F264" s="503">
        <f t="shared" si="27"/>
        <v>-9.7821443827424179E-2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724</v>
      </c>
      <c r="C265" s="525">
        <f>IF(C264=0,0,C266/C264)</f>
        <v>1.5519986544211875</v>
      </c>
      <c r="D265" s="525">
        <f>IF(LN_IIA4=0,0,LN_IIA6/LN_IIA4)</f>
        <v>1.6986523674242422</v>
      </c>
      <c r="E265" s="525">
        <f t="shared" si="26"/>
        <v>0.14665371300305474</v>
      </c>
      <c r="F265" s="503">
        <f t="shared" si="27"/>
        <v>9.4493453705827304E-2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725</v>
      </c>
      <c r="C266" s="463">
        <f>C20+C47+C193+C226</f>
        <v>3633.22885</v>
      </c>
      <c r="D266" s="463">
        <f>LN_IA6+LN_IB6+LN_IF6+LN_IG5</f>
        <v>3587.5537999999997</v>
      </c>
      <c r="E266" s="463">
        <f t="shared" si="26"/>
        <v>-45.675050000000283</v>
      </c>
      <c r="F266" s="503">
        <f t="shared" si="27"/>
        <v>-1.2571476195340759E-2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150411288</v>
      </c>
      <c r="D267" s="448">
        <f>LN_IA11+LN_IB13+LN_IF14+LN_IG9</f>
        <v>152882315</v>
      </c>
      <c r="E267" s="448">
        <f t="shared" si="26"/>
        <v>2471027</v>
      </c>
      <c r="F267" s="503">
        <f t="shared" si="27"/>
        <v>1.6428467788933501E-2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650</v>
      </c>
      <c r="C268" s="453">
        <f>IF(C261=0,0,C267/C261)</f>
        <v>1.9562188420095186</v>
      </c>
      <c r="D268" s="453">
        <f>IF(LN_IIA1=0,0,LN_IIA7/LN_IIA1)</f>
        <v>2.0489584973845685</v>
      </c>
      <c r="E268" s="454">
        <f t="shared" si="26"/>
        <v>9.2739655375049912E-2</v>
      </c>
      <c r="F268" s="458">
        <f t="shared" si="27"/>
        <v>4.7407607668160198E-2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45966609</v>
      </c>
      <c r="D269" s="448">
        <f>LN_IA12+LN_IB14+LN_IF15+LN_IG10</f>
        <v>42962994</v>
      </c>
      <c r="E269" s="448">
        <f t="shared" si="26"/>
        <v>-3003615</v>
      </c>
      <c r="F269" s="503">
        <f t="shared" si="27"/>
        <v>-6.5343410474329316E-2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649</v>
      </c>
      <c r="C270" s="453">
        <f>IF(C267=0,0,C269/C267)</f>
        <v>0.30560611248804675</v>
      </c>
      <c r="D270" s="453">
        <f>IF(LN_IIA7=0,0,LN_IIA9/LN_IIA7)</f>
        <v>0.28102003819081361</v>
      </c>
      <c r="E270" s="454">
        <f t="shared" si="26"/>
        <v>-2.458607429723314E-2</v>
      </c>
      <c r="F270" s="458">
        <f t="shared" si="27"/>
        <v>-8.0450204667273401E-2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726</v>
      </c>
      <c r="C271" s="441">
        <f>C261+C267</f>
        <v>227300072</v>
      </c>
      <c r="D271" s="441">
        <f>LN_IIA1+LN_IIA7</f>
        <v>227496962</v>
      </c>
      <c r="E271" s="441">
        <f t="shared" si="26"/>
        <v>196890</v>
      </c>
      <c r="F271" s="503">
        <f t="shared" si="27"/>
        <v>8.6621178017048754E-4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727</v>
      </c>
      <c r="C272" s="441">
        <f>C262+C269</f>
        <v>69752351</v>
      </c>
      <c r="D272" s="441">
        <f>LN_IIA2+LN_IIA9</f>
        <v>65205703</v>
      </c>
      <c r="E272" s="441">
        <f t="shared" si="26"/>
        <v>-4546648</v>
      </c>
      <c r="F272" s="503">
        <f t="shared" si="27"/>
        <v>-6.5182720507872202E-2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728</v>
      </c>
      <c r="C273" s="453">
        <f>IF(C271=0,0,C272/C271)</f>
        <v>0.3068734223718152</v>
      </c>
      <c r="D273" s="453">
        <f>IF(LN_IIA11=0,0,LN_IIA12/LN_IIA11)</f>
        <v>0.28662230223540303</v>
      </c>
      <c r="E273" s="454">
        <f t="shared" si="26"/>
        <v>-2.0251120136412171E-2</v>
      </c>
      <c r="F273" s="458">
        <f t="shared" si="27"/>
        <v>-6.5991769439959602E-2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11155</v>
      </c>
      <c r="D274" s="508">
        <f>LN_IA8+LN_IB10+LN_IF11+LN_IG6</f>
        <v>9873</v>
      </c>
      <c r="E274" s="528">
        <f t="shared" si="26"/>
        <v>-1282</v>
      </c>
      <c r="F274" s="458">
        <f t="shared" si="27"/>
        <v>-0.1149260421335724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729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730</v>
      </c>
      <c r="C277" s="448">
        <f>C15+C188+C221</f>
        <v>60851747</v>
      </c>
      <c r="D277" s="448">
        <f>LN_IA1+LN_IF1+LN_IG1</f>
        <v>60780009</v>
      </c>
      <c r="E277" s="448">
        <f t="shared" ref="E277:E291" si="28">D277-C277</f>
        <v>-71738</v>
      </c>
      <c r="F277" s="503">
        <f t="shared" ref="F277:F291" si="29">IF(C277=0,0,E277/C277)</f>
        <v>-1.1788979534145504E-3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731</v>
      </c>
      <c r="C278" s="448">
        <f>C16+C189+C222</f>
        <v>16984244</v>
      </c>
      <c r="D278" s="448">
        <f>LN_IA2+LN_IF2+LN_IG2</f>
        <v>15808803</v>
      </c>
      <c r="E278" s="448">
        <f t="shared" si="28"/>
        <v>-1175441</v>
      </c>
      <c r="F278" s="503">
        <f t="shared" si="29"/>
        <v>-6.9207731589348342E-2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732</v>
      </c>
      <c r="C279" s="453">
        <f>IF(C277=0,0,C278/C277)</f>
        <v>0.27910856856747268</v>
      </c>
      <c r="D279" s="453">
        <f>IF(D277=0,0,LN_IIB2/D277)</f>
        <v>0.26009872752733548</v>
      </c>
      <c r="E279" s="454">
        <f t="shared" si="28"/>
        <v>-1.9009841040137199E-2</v>
      </c>
      <c r="F279" s="458">
        <f t="shared" si="29"/>
        <v>-6.8109127346771853E-2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733</v>
      </c>
      <c r="C280" s="456">
        <f>C18+C191+C224</f>
        <v>1852</v>
      </c>
      <c r="D280" s="456">
        <f>LN_IA4+LN_IF4+LN_IG3</f>
        <v>1703</v>
      </c>
      <c r="E280" s="456">
        <f t="shared" si="28"/>
        <v>-149</v>
      </c>
      <c r="F280" s="503">
        <f t="shared" si="29"/>
        <v>-8.0453563714902809E-2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734</v>
      </c>
      <c r="C281" s="525">
        <f>IF(C280=0,0,C282/C280)</f>
        <v>1.5355064308855291</v>
      </c>
      <c r="D281" s="525">
        <f>IF(LN_IIB4=0,0,LN_IIB6/LN_IIB4)</f>
        <v>1.6803692190252493</v>
      </c>
      <c r="E281" s="525">
        <f t="shared" si="28"/>
        <v>0.1448627881397202</v>
      </c>
      <c r="F281" s="503">
        <f t="shared" si="29"/>
        <v>9.4342026334710685E-2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735</v>
      </c>
      <c r="C282" s="463">
        <f>C20+C193+C226</f>
        <v>2843.7579099999998</v>
      </c>
      <c r="D282" s="463">
        <f>LN_IA6+LN_IF6+LN_IG5</f>
        <v>2861.6687799999995</v>
      </c>
      <c r="E282" s="463">
        <f t="shared" si="28"/>
        <v>17.910869999999704</v>
      </c>
      <c r="F282" s="503">
        <f t="shared" si="29"/>
        <v>6.2983103930952071E-3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736</v>
      </c>
      <c r="C283" s="448">
        <f>C27+C203+C233</f>
        <v>81626942</v>
      </c>
      <c r="D283" s="448">
        <f>LN_IA11+LN_IF14+LN_IG9</f>
        <v>88424594</v>
      </c>
      <c r="E283" s="448">
        <f t="shared" si="28"/>
        <v>6797652</v>
      </c>
      <c r="F283" s="503">
        <f t="shared" si="29"/>
        <v>8.3277063104973362E-2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737</v>
      </c>
      <c r="C284" s="453">
        <f>IF(C277=0,0,C283/C277)</f>
        <v>1.3414067142558783</v>
      </c>
      <c r="D284" s="453">
        <f>IF(D277=0,0,LN_IIB7/D277)</f>
        <v>1.4548302222199407</v>
      </c>
      <c r="E284" s="454">
        <f t="shared" si="28"/>
        <v>0.11342350796406242</v>
      </c>
      <c r="F284" s="458">
        <f t="shared" si="29"/>
        <v>8.4555643533499161E-2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738</v>
      </c>
      <c r="C285" s="448">
        <f>C28+C204+C234</f>
        <v>15686240</v>
      </c>
      <c r="D285" s="448">
        <f>LN_IA12+LN_IF15+LN_IG10</f>
        <v>15535878</v>
      </c>
      <c r="E285" s="448">
        <f t="shared" si="28"/>
        <v>-150362</v>
      </c>
      <c r="F285" s="503">
        <f t="shared" si="29"/>
        <v>-9.5855985883168942E-3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739</v>
      </c>
      <c r="C286" s="453">
        <f>IF(C283=0,0,C285/C283)</f>
        <v>0.19216988430119064</v>
      </c>
      <c r="D286" s="453">
        <f>IF(LN_IIB7=0,0,LN_IIB9/LN_IIB7)</f>
        <v>0.17569634529506575</v>
      </c>
      <c r="E286" s="454">
        <f t="shared" si="28"/>
        <v>-1.6473539006124888E-2</v>
      </c>
      <c r="F286" s="458">
        <f t="shared" si="29"/>
        <v>-8.5723832670397362E-2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740</v>
      </c>
      <c r="C287" s="441">
        <f>C277+C283</f>
        <v>142478689</v>
      </c>
      <c r="D287" s="441">
        <f>D277+LN_IIB7</f>
        <v>149204603</v>
      </c>
      <c r="E287" s="441">
        <f t="shared" si="28"/>
        <v>6725914</v>
      </c>
      <c r="F287" s="503">
        <f t="shared" si="29"/>
        <v>4.7206456258170652E-2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741</v>
      </c>
      <c r="C288" s="441">
        <f>C278+C285</f>
        <v>32670484</v>
      </c>
      <c r="D288" s="441">
        <f>LN_IIB2+LN_IIB9</f>
        <v>31344681</v>
      </c>
      <c r="E288" s="441">
        <f t="shared" si="28"/>
        <v>-1325803</v>
      </c>
      <c r="F288" s="503">
        <f t="shared" si="29"/>
        <v>-4.0581063935263402E-2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742</v>
      </c>
      <c r="C289" s="453">
        <f>IF(C287=0,0,C288/C287)</f>
        <v>0.22930084652870436</v>
      </c>
      <c r="D289" s="453">
        <f>IF(LN_IIB11=0,0,LN_IIB12/LN_IIB11)</f>
        <v>0.21007851212204223</v>
      </c>
      <c r="E289" s="454">
        <f t="shared" si="28"/>
        <v>-1.9222334406662128E-2</v>
      </c>
      <c r="F289" s="458">
        <f t="shared" si="29"/>
        <v>-8.3830193815947543E-2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9150</v>
      </c>
      <c r="D290" s="508">
        <f>LN_IA8+LN_IF11+LN_IG6</f>
        <v>8336</v>
      </c>
      <c r="E290" s="528">
        <f t="shared" si="28"/>
        <v>-814</v>
      </c>
      <c r="F290" s="458">
        <f t="shared" si="29"/>
        <v>-8.8961748633879775E-2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743</v>
      </c>
      <c r="C291" s="448">
        <f>C287-C288</f>
        <v>109808205</v>
      </c>
      <c r="D291" s="516">
        <f>LN_IIB11-LN_IIB12</f>
        <v>117859922</v>
      </c>
      <c r="E291" s="441">
        <f t="shared" si="28"/>
        <v>8051717</v>
      </c>
      <c r="F291" s="503">
        <f t="shared" si="29"/>
        <v>7.3325276558340979E-2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645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636</v>
      </c>
      <c r="C294" s="466">
        <f>IF(C18=0,0,C22/C18)</f>
        <v>5.0748031496062991</v>
      </c>
      <c r="D294" s="466">
        <f>IF(LN_IA4=0,0,LN_IA8/LN_IA4)</f>
        <v>4.9187675070028014</v>
      </c>
      <c r="E294" s="466">
        <f t="shared" ref="E294:E300" si="30">D294-C294</f>
        <v>-0.15603564260349767</v>
      </c>
      <c r="F294" s="503">
        <f t="shared" ref="F294:F300" si="31">IF(C294=0,0,E294/C294)</f>
        <v>-3.0747132056856797E-2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657</v>
      </c>
      <c r="C295" s="466">
        <f>IF(C45=0,0,C51/C45)</f>
        <v>4.1002044989775053</v>
      </c>
      <c r="D295" s="466">
        <f>IF(LN_IB4=0,0,(LN_IB10)/(LN_IB4))</f>
        <v>3.7579462102689485</v>
      </c>
      <c r="E295" s="466">
        <f t="shared" si="30"/>
        <v>-0.34225828870855679</v>
      </c>
      <c r="F295" s="503">
        <f t="shared" si="31"/>
        <v>-8.3473467919443517E-2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672</v>
      </c>
      <c r="C296" s="466">
        <f>IF(C86=0,0,C93/C86)</f>
        <v>3.8076923076923075</v>
      </c>
      <c r="D296" s="466">
        <f>IF(LN_IC4=0,0,LN_IC11/LN_IC4)</f>
        <v>3.3125</v>
      </c>
      <c r="E296" s="466">
        <f t="shared" si="30"/>
        <v>-0.49519230769230749</v>
      </c>
      <c r="F296" s="503">
        <f t="shared" si="31"/>
        <v>-0.130050505050505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4.3312302839116716</v>
      </c>
      <c r="D297" s="466">
        <f>IF(LN_ID4=0,0,LN_ID11/LN_ID4)</f>
        <v>4.6992481203007515</v>
      </c>
      <c r="E297" s="466">
        <f t="shared" si="30"/>
        <v>0.36801783638907981</v>
      </c>
      <c r="F297" s="503">
        <f t="shared" si="31"/>
        <v>8.4968429814521712E-2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744</v>
      </c>
      <c r="C298" s="466">
        <f>IF(C156=0,0,C163/C156)</f>
        <v>0</v>
      </c>
      <c r="D298" s="466">
        <f>IF(LN_IE4=0,0,LN_IE11/LN_IE4)</f>
        <v>0</v>
      </c>
      <c r="E298" s="466">
        <f t="shared" si="30"/>
        <v>0</v>
      </c>
      <c r="F298" s="503">
        <f t="shared" si="31"/>
        <v>0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3.9090909090909092</v>
      </c>
      <c r="D299" s="466">
        <f>IF(LN_IG3=0,0,LN_IG6/LN_IG3)</f>
        <v>6.8888888888888893</v>
      </c>
      <c r="E299" s="466">
        <f t="shared" si="30"/>
        <v>2.9797979797979801</v>
      </c>
      <c r="F299" s="503">
        <f t="shared" si="31"/>
        <v>0.76227390180878563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745</v>
      </c>
      <c r="C300" s="466">
        <f>IF(C264=0,0,C274/C264)</f>
        <v>4.7650576676633918</v>
      </c>
      <c r="D300" s="466">
        <f>IF(LN_IIA4=0,0,LN_IIA14/LN_IIA4)</f>
        <v>4.6747159090909092</v>
      </c>
      <c r="E300" s="466">
        <f t="shared" si="30"/>
        <v>-9.0341758572482611E-2</v>
      </c>
      <c r="F300" s="503">
        <f t="shared" si="31"/>
        <v>-1.8959216209608408E-2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746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740</v>
      </c>
      <c r="C304" s="441">
        <f>C35+C66+C214+C221+C233</f>
        <v>227300072</v>
      </c>
      <c r="D304" s="441">
        <f>LN_IIA11</f>
        <v>227496962</v>
      </c>
      <c r="E304" s="441">
        <f t="shared" ref="E304:E316" si="32">D304-C304</f>
        <v>196890</v>
      </c>
      <c r="F304" s="449">
        <f>IF(C304=0,0,E304/C304)</f>
        <v>8.6621178017048754E-4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743</v>
      </c>
      <c r="C305" s="441">
        <f>C291</f>
        <v>109808205</v>
      </c>
      <c r="D305" s="441">
        <f>LN_IIB14</f>
        <v>117859922</v>
      </c>
      <c r="E305" s="441">
        <f t="shared" si="32"/>
        <v>8051717</v>
      </c>
      <c r="F305" s="449">
        <f>IF(C305=0,0,E305/C305)</f>
        <v>7.3325276558340979E-2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747</v>
      </c>
      <c r="C306" s="441">
        <f>C250</f>
        <v>3989826</v>
      </c>
      <c r="D306" s="441">
        <f>LN_IH6</f>
        <v>4407990</v>
      </c>
      <c r="E306" s="441">
        <f t="shared" si="32"/>
        <v>418164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748</v>
      </c>
      <c r="C307" s="441">
        <f>C73-C74</f>
        <v>47739516</v>
      </c>
      <c r="D307" s="441">
        <f>LN_IB32-LN_IB33</f>
        <v>44431337</v>
      </c>
      <c r="E307" s="441">
        <f t="shared" si="32"/>
        <v>-3308179</v>
      </c>
      <c r="F307" s="449">
        <f t="shared" ref="F307:F316" si="33">IF(C307=0,0,E307/C307)</f>
        <v>-6.9296450345244384E-2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749</v>
      </c>
      <c r="C308" s="441">
        <v>0</v>
      </c>
      <c r="D308" s="441">
        <v>0</v>
      </c>
      <c r="E308" s="441">
        <f t="shared" si="32"/>
        <v>0</v>
      </c>
      <c r="F308" s="449">
        <f t="shared" si="33"/>
        <v>0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750</v>
      </c>
      <c r="C309" s="441">
        <f>C305+C307+C308+C306</f>
        <v>161537547</v>
      </c>
      <c r="D309" s="441">
        <f>LN_III2+LN_III3+LN_III4+LN_III5</f>
        <v>166699249</v>
      </c>
      <c r="E309" s="441">
        <f t="shared" si="32"/>
        <v>5161702</v>
      </c>
      <c r="F309" s="449">
        <f t="shared" si="33"/>
        <v>3.1953574236211472E-2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751</v>
      </c>
      <c r="C310" s="441">
        <f>C304-C309</f>
        <v>65762525</v>
      </c>
      <c r="D310" s="441">
        <f>LN_III1-LN_III6</f>
        <v>60797713</v>
      </c>
      <c r="E310" s="441">
        <f t="shared" si="32"/>
        <v>-4964812</v>
      </c>
      <c r="F310" s="449">
        <f t="shared" si="33"/>
        <v>-7.5496067099005096E-2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752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753</v>
      </c>
      <c r="C312" s="441">
        <f>C310+C311</f>
        <v>65762525</v>
      </c>
      <c r="D312" s="441">
        <f>LN_III7+LN_III8</f>
        <v>60797713</v>
      </c>
      <c r="E312" s="441">
        <f t="shared" si="32"/>
        <v>-4964812</v>
      </c>
      <c r="F312" s="449">
        <f t="shared" si="33"/>
        <v>-7.5496067099005096E-2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754</v>
      </c>
      <c r="C313" s="532">
        <f>IF(C304=0,0,C312/C304)</f>
        <v>0.28932029990734009</v>
      </c>
      <c r="D313" s="532">
        <f>IF(LN_III1=0,0,LN_III9/LN_III1)</f>
        <v>0.26724626327097939</v>
      </c>
      <c r="E313" s="532">
        <f t="shared" si="32"/>
        <v>-2.2074036636360705E-2</v>
      </c>
      <c r="F313" s="449">
        <f t="shared" si="33"/>
        <v>-7.6296190220424567E-2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717</v>
      </c>
      <c r="C314" s="441">
        <f>C306*C313</f>
        <v>1154337.6548981031</v>
      </c>
      <c r="D314" s="441">
        <f>D313*LN_III5</f>
        <v>1178018.8560358444</v>
      </c>
      <c r="E314" s="441">
        <f t="shared" si="32"/>
        <v>23681.201137741329</v>
      </c>
      <c r="F314" s="449">
        <f t="shared" si="33"/>
        <v>2.0514968941069276E-2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720</v>
      </c>
      <c r="C315" s="441">
        <f>(C214*C313)-C215</f>
        <v>4448462.8298949711</v>
      </c>
      <c r="D315" s="441">
        <f>D313*LN_IH8-LN_IH9</f>
        <v>4528017.1568283439</v>
      </c>
      <c r="E315" s="441">
        <f t="shared" si="32"/>
        <v>79554.326933372766</v>
      </c>
      <c r="F315" s="449">
        <f t="shared" si="33"/>
        <v>1.7883554381694373E-2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755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756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757</v>
      </c>
      <c r="C318" s="441">
        <f>C314+C315+C316</f>
        <v>5602800.4847930744</v>
      </c>
      <c r="D318" s="441">
        <f>D314+D315+D316</f>
        <v>5706036.0128641883</v>
      </c>
      <c r="E318" s="441">
        <f>D318-C318</f>
        <v>103235.52807111386</v>
      </c>
      <c r="F318" s="449">
        <f>IF(C318=0,0,E318/C318)</f>
        <v>1.8425701281227509E-2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758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1051164.9603934975</v>
      </c>
      <c r="D322" s="441">
        <f>LN_ID22</f>
        <v>961482.22842617007</v>
      </c>
      <c r="E322" s="441">
        <f>LN_IV2-C322</f>
        <v>-89682.731967327418</v>
      </c>
      <c r="F322" s="449">
        <f>IF(C322=0,0,E322/C322)</f>
        <v>-8.5317467140224312E-2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744</v>
      </c>
      <c r="C323" s="441">
        <f>C162+C176</f>
        <v>0</v>
      </c>
      <c r="D323" s="441">
        <f>LN_IE10+LN_IE22</f>
        <v>0</v>
      </c>
      <c r="E323" s="441">
        <f>LN_IV3-C323</f>
        <v>0</v>
      </c>
      <c r="F323" s="449">
        <f>IF(C323=0,0,E323/C323)</f>
        <v>0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759</v>
      </c>
      <c r="C324" s="441">
        <f>C92+C106</f>
        <v>665189.01031556062</v>
      </c>
      <c r="D324" s="441">
        <f>LN_IC10+LN_IC22</f>
        <v>574380.48814034509</v>
      </c>
      <c r="E324" s="441">
        <f>LN_IV1-C324</f>
        <v>-90808.522175215534</v>
      </c>
      <c r="F324" s="449">
        <f>IF(C324=0,0,E324/C324)</f>
        <v>-0.13651536746245502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760</v>
      </c>
      <c r="C325" s="516">
        <f>C324+C322+C323</f>
        <v>1716353.970709058</v>
      </c>
      <c r="D325" s="516">
        <f>LN_IV1+LN_IV2+LN_IV3</f>
        <v>1535862.7165665152</v>
      </c>
      <c r="E325" s="441">
        <f>LN_IV4-C325</f>
        <v>-180491.25414254284</v>
      </c>
      <c r="F325" s="449">
        <f>IF(C325=0,0,E325/C325)</f>
        <v>-0.1051596915454325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761</v>
      </c>
      <c r="B327" s="530" t="s">
        <v>762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763</v>
      </c>
      <c r="C329" s="518">
        <v>0</v>
      </c>
      <c r="D329" s="518">
        <v>0</v>
      </c>
      <c r="E329" s="518">
        <f t="shared" ref="E329:E335" si="34">D329-C329</f>
        <v>0</v>
      </c>
      <c r="F329" s="542">
        <f t="shared" ref="F329:F335" si="35">IF(C329=0,0,E329/C329)</f>
        <v>0</v>
      </c>
    </row>
    <row r="330" spans="1:22" s="420" customFormat="1" ht="15.75" customHeight="1" x14ac:dyDescent="0.2">
      <c r="A330" s="451">
        <v>2</v>
      </c>
      <c r="B330" s="447" t="s">
        <v>764</v>
      </c>
      <c r="C330" s="516">
        <v>-1223668</v>
      </c>
      <c r="D330" s="516">
        <v>-2203222</v>
      </c>
      <c r="E330" s="518">
        <f t="shared" si="34"/>
        <v>-979554</v>
      </c>
      <c r="F330" s="543">
        <f t="shared" si="35"/>
        <v>0.80050634649267616</v>
      </c>
    </row>
    <row r="331" spans="1:22" s="420" customFormat="1" ht="15.75" customHeight="1" x14ac:dyDescent="0.2">
      <c r="A331" s="427">
        <v>3</v>
      </c>
      <c r="B331" s="447" t="s">
        <v>765</v>
      </c>
      <c r="C331" s="516">
        <v>68528682</v>
      </c>
      <c r="D331" s="516">
        <v>63002481</v>
      </c>
      <c r="E331" s="518">
        <f t="shared" si="34"/>
        <v>-5526201</v>
      </c>
      <c r="F331" s="542">
        <f t="shared" si="35"/>
        <v>-8.0640701655403213E-2</v>
      </c>
    </row>
    <row r="332" spans="1:22" s="420" customFormat="1" ht="27" customHeight="1" x14ac:dyDescent="0.2">
      <c r="A332" s="451">
        <v>4</v>
      </c>
      <c r="B332" s="447" t="s">
        <v>766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767</v>
      </c>
      <c r="C333" s="516">
        <v>227300072</v>
      </c>
      <c r="D333" s="516">
        <v>227496962</v>
      </c>
      <c r="E333" s="518">
        <f t="shared" si="34"/>
        <v>196890</v>
      </c>
      <c r="F333" s="542">
        <f t="shared" si="35"/>
        <v>8.6621178017048754E-4</v>
      </c>
    </row>
    <row r="334" spans="1:22" s="420" customFormat="1" ht="15.75" customHeight="1" x14ac:dyDescent="0.2">
      <c r="A334" s="427">
        <v>6</v>
      </c>
      <c r="B334" s="447" t="s">
        <v>768</v>
      </c>
      <c r="C334" s="516">
        <v>0</v>
      </c>
      <c r="D334" s="516">
        <v>0</v>
      </c>
      <c r="E334" s="516">
        <f t="shared" si="34"/>
        <v>0</v>
      </c>
      <c r="F334" s="543">
        <f t="shared" si="35"/>
        <v>0</v>
      </c>
    </row>
    <row r="335" spans="1:22" s="420" customFormat="1" ht="15.75" customHeight="1" x14ac:dyDescent="0.2">
      <c r="A335" s="451">
        <v>7</v>
      </c>
      <c r="B335" s="447" t="s">
        <v>769</v>
      </c>
      <c r="C335" s="516">
        <v>3989826</v>
      </c>
      <c r="D335" s="516">
        <v>4407990</v>
      </c>
      <c r="E335" s="516">
        <f t="shared" si="34"/>
        <v>418164</v>
      </c>
      <c r="F335" s="542">
        <f t="shared" si="35"/>
        <v>0.10480757807483333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scale="81" fitToHeight="0" orientation="portrait" horizontalDpi="1200" verticalDpi="1200" r:id="rId1"/>
  <headerFooter>
    <oddHeader>&amp;LOFFICE OF HEALTH CARE ACCESS&amp;CTWELVE MONTHS ACTUAL FILING&amp;RROCKVILLE GENERAL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E8" sqref="E1:E6553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9.5703125" style="660" bestFit="1" customWidth="1"/>
    <col min="4" max="4" width="19.5703125" style="569" bestFit="1" customWidth="1"/>
    <col min="5" max="5" width="16.42578125" style="420" bestFit="1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630</v>
      </c>
      <c r="B3" s="820"/>
      <c r="C3" s="820"/>
      <c r="D3" s="820"/>
      <c r="E3" s="820"/>
    </row>
    <row r="4" spans="1:5" s="428" customFormat="1" ht="15.75" customHeight="1" x14ac:dyDescent="0.25">
      <c r="A4" s="820" t="s">
        <v>770</v>
      </c>
      <c r="B4" s="820"/>
      <c r="C4" s="820"/>
      <c r="D4" s="820"/>
      <c r="E4" s="820"/>
    </row>
    <row r="5" spans="1:5" s="428" customFormat="1" ht="15.75" customHeight="1" x14ac:dyDescent="0.25">
      <c r="A5" s="820" t="s">
        <v>771</v>
      </c>
      <c r="B5" s="820"/>
      <c r="C5" s="820"/>
      <c r="D5" s="820"/>
      <c r="E5" s="820"/>
    </row>
    <row r="6" spans="1:5" s="428" customFormat="1" ht="15.75" customHeight="1" x14ac:dyDescent="0.25">
      <c r="A6" s="820" t="s">
        <v>772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773</v>
      </c>
      <c r="D9" s="573" t="s">
        <v>774</v>
      </c>
      <c r="E9" s="573" t="s">
        <v>775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776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777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657</v>
      </c>
      <c r="C14" s="589">
        <v>16037037</v>
      </c>
      <c r="D14" s="589">
        <v>13834638</v>
      </c>
      <c r="E14" s="590">
        <f t="shared" ref="E14:E22" si="0">D14-C14</f>
        <v>-2202399</v>
      </c>
    </row>
    <row r="15" spans="1:5" s="421" customFormat="1" x14ac:dyDescent="0.2">
      <c r="A15" s="588">
        <v>2</v>
      </c>
      <c r="B15" s="587" t="s">
        <v>636</v>
      </c>
      <c r="C15" s="589">
        <v>50841937</v>
      </c>
      <c r="D15" s="591">
        <v>51328637</v>
      </c>
      <c r="E15" s="590">
        <f t="shared" si="0"/>
        <v>486700</v>
      </c>
    </row>
    <row r="16" spans="1:5" s="421" customFormat="1" x14ac:dyDescent="0.2">
      <c r="A16" s="588">
        <v>3</v>
      </c>
      <c r="B16" s="587" t="s">
        <v>778</v>
      </c>
      <c r="C16" s="589">
        <v>9643810</v>
      </c>
      <c r="D16" s="591">
        <v>9112209</v>
      </c>
      <c r="E16" s="590">
        <f t="shared" si="0"/>
        <v>-531601</v>
      </c>
    </row>
    <row r="17" spans="1:5" s="421" customFormat="1" x14ac:dyDescent="0.2">
      <c r="A17" s="588">
        <v>4</v>
      </c>
      <c r="B17" s="587" t="s">
        <v>115</v>
      </c>
      <c r="C17" s="589">
        <v>9643810</v>
      </c>
      <c r="D17" s="591">
        <v>9112209</v>
      </c>
      <c r="E17" s="590">
        <f t="shared" si="0"/>
        <v>-531601</v>
      </c>
    </row>
    <row r="18" spans="1:5" s="421" customFormat="1" x14ac:dyDescent="0.2">
      <c r="A18" s="588">
        <v>5</v>
      </c>
      <c r="B18" s="587" t="s">
        <v>744</v>
      </c>
      <c r="C18" s="589">
        <v>0</v>
      </c>
      <c r="D18" s="591">
        <v>0</v>
      </c>
      <c r="E18" s="590">
        <f t="shared" si="0"/>
        <v>0</v>
      </c>
    </row>
    <row r="19" spans="1:5" s="421" customFormat="1" x14ac:dyDescent="0.2">
      <c r="A19" s="588">
        <v>6</v>
      </c>
      <c r="B19" s="587" t="s">
        <v>424</v>
      </c>
      <c r="C19" s="589">
        <v>366000</v>
      </c>
      <c r="D19" s="591">
        <v>339163</v>
      </c>
      <c r="E19" s="590">
        <f t="shared" si="0"/>
        <v>-26837</v>
      </c>
    </row>
    <row r="20" spans="1:5" s="421" customFormat="1" x14ac:dyDescent="0.2">
      <c r="A20" s="588">
        <v>7</v>
      </c>
      <c r="B20" s="587" t="s">
        <v>759</v>
      </c>
      <c r="C20" s="589">
        <v>802034</v>
      </c>
      <c r="D20" s="591">
        <v>479270</v>
      </c>
      <c r="E20" s="590">
        <f t="shared" si="0"/>
        <v>-322764</v>
      </c>
    </row>
    <row r="21" spans="1:5" s="421" customFormat="1" x14ac:dyDescent="0.2">
      <c r="A21" s="588"/>
      <c r="B21" s="592" t="s">
        <v>779</v>
      </c>
      <c r="C21" s="593">
        <f>SUM(C15+C16+C19)</f>
        <v>60851747</v>
      </c>
      <c r="D21" s="593">
        <f>SUM(D15+D16+D19)</f>
        <v>60780009</v>
      </c>
      <c r="E21" s="593">
        <f t="shared" si="0"/>
        <v>-71738</v>
      </c>
    </row>
    <row r="22" spans="1:5" s="421" customFormat="1" x14ac:dyDescent="0.2">
      <c r="A22" s="588"/>
      <c r="B22" s="592" t="s">
        <v>465</v>
      </c>
      <c r="C22" s="593">
        <f>SUM(C14+C21)</f>
        <v>76888784</v>
      </c>
      <c r="D22" s="593">
        <f>SUM(D14+D21)</f>
        <v>74614647</v>
      </c>
      <c r="E22" s="593">
        <f t="shared" si="0"/>
        <v>-2274137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780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657</v>
      </c>
      <c r="C25" s="589">
        <v>68784346</v>
      </c>
      <c r="D25" s="589">
        <v>64457721</v>
      </c>
      <c r="E25" s="590">
        <f t="shared" ref="E25:E33" si="1">D25-C25</f>
        <v>-4326625</v>
      </c>
    </row>
    <row r="26" spans="1:5" s="421" customFormat="1" x14ac:dyDescent="0.2">
      <c r="A26" s="588">
        <v>2</v>
      </c>
      <c r="B26" s="587" t="s">
        <v>636</v>
      </c>
      <c r="C26" s="589">
        <v>49133767</v>
      </c>
      <c r="D26" s="591">
        <v>51687196</v>
      </c>
      <c r="E26" s="590">
        <f t="shared" si="1"/>
        <v>2553429</v>
      </c>
    </row>
    <row r="27" spans="1:5" s="421" customFormat="1" x14ac:dyDescent="0.2">
      <c r="A27" s="588">
        <v>3</v>
      </c>
      <c r="B27" s="587" t="s">
        <v>778</v>
      </c>
      <c r="C27" s="589">
        <v>31469205</v>
      </c>
      <c r="D27" s="591">
        <v>35637001</v>
      </c>
      <c r="E27" s="590">
        <f t="shared" si="1"/>
        <v>4167796</v>
      </c>
    </row>
    <row r="28" spans="1:5" s="421" customFormat="1" x14ac:dyDescent="0.2">
      <c r="A28" s="588">
        <v>4</v>
      </c>
      <c r="B28" s="587" t="s">
        <v>115</v>
      </c>
      <c r="C28" s="589">
        <v>31469205</v>
      </c>
      <c r="D28" s="591">
        <v>35637001</v>
      </c>
      <c r="E28" s="590">
        <f t="shared" si="1"/>
        <v>4167796</v>
      </c>
    </row>
    <row r="29" spans="1:5" s="421" customFormat="1" x14ac:dyDescent="0.2">
      <c r="A29" s="588">
        <v>5</v>
      </c>
      <c r="B29" s="587" t="s">
        <v>744</v>
      </c>
      <c r="C29" s="589">
        <v>0</v>
      </c>
      <c r="D29" s="591">
        <v>0</v>
      </c>
      <c r="E29" s="590">
        <f t="shared" si="1"/>
        <v>0</v>
      </c>
    </row>
    <row r="30" spans="1:5" s="421" customFormat="1" x14ac:dyDescent="0.2">
      <c r="A30" s="588">
        <v>6</v>
      </c>
      <c r="B30" s="587" t="s">
        <v>424</v>
      </c>
      <c r="C30" s="589">
        <v>1023970</v>
      </c>
      <c r="D30" s="591">
        <v>1100397</v>
      </c>
      <c r="E30" s="590">
        <f t="shared" si="1"/>
        <v>76427</v>
      </c>
    </row>
    <row r="31" spans="1:5" s="421" customFormat="1" x14ac:dyDescent="0.2">
      <c r="A31" s="588">
        <v>7</v>
      </c>
      <c r="B31" s="587" t="s">
        <v>759</v>
      </c>
      <c r="C31" s="590">
        <v>3420569</v>
      </c>
      <c r="D31" s="594">
        <v>3062437</v>
      </c>
      <c r="E31" s="590">
        <f t="shared" si="1"/>
        <v>-358132</v>
      </c>
    </row>
    <row r="32" spans="1:5" s="421" customFormat="1" x14ac:dyDescent="0.2">
      <c r="A32" s="588"/>
      <c r="B32" s="592" t="s">
        <v>781</v>
      </c>
      <c r="C32" s="593">
        <f>SUM(C26+C27+C30)</f>
        <v>81626942</v>
      </c>
      <c r="D32" s="593">
        <f>SUM(D26+D27+D30)</f>
        <v>88424594</v>
      </c>
      <c r="E32" s="593">
        <f t="shared" si="1"/>
        <v>6797652</v>
      </c>
    </row>
    <row r="33" spans="1:5" s="421" customFormat="1" x14ac:dyDescent="0.2">
      <c r="A33" s="588"/>
      <c r="B33" s="592" t="s">
        <v>467</v>
      </c>
      <c r="C33" s="593">
        <f>SUM(C25+C32)</f>
        <v>150411288</v>
      </c>
      <c r="D33" s="593">
        <f>SUM(D25+D32)</f>
        <v>152882315</v>
      </c>
      <c r="E33" s="593">
        <f t="shared" si="1"/>
        <v>2471027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654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782</v>
      </c>
      <c r="C36" s="590">
        <f t="shared" ref="C36:D42" si="2">C14+C25</f>
        <v>84821383</v>
      </c>
      <c r="D36" s="590">
        <f t="shared" si="2"/>
        <v>78292359</v>
      </c>
      <c r="E36" s="590">
        <f t="shared" ref="E36:E44" si="3">D36-C36</f>
        <v>-6529024</v>
      </c>
    </row>
    <row r="37" spans="1:5" s="421" customFormat="1" x14ac:dyDescent="0.2">
      <c r="A37" s="588">
        <v>2</v>
      </c>
      <c r="B37" s="587" t="s">
        <v>783</v>
      </c>
      <c r="C37" s="590">
        <f t="shared" si="2"/>
        <v>99975704</v>
      </c>
      <c r="D37" s="590">
        <f t="shared" si="2"/>
        <v>103015833</v>
      </c>
      <c r="E37" s="590">
        <f t="shared" si="3"/>
        <v>3040129</v>
      </c>
    </row>
    <row r="38" spans="1:5" s="421" customFormat="1" x14ac:dyDescent="0.2">
      <c r="A38" s="588">
        <v>3</v>
      </c>
      <c r="B38" s="587" t="s">
        <v>784</v>
      </c>
      <c r="C38" s="590">
        <f t="shared" si="2"/>
        <v>41113015</v>
      </c>
      <c r="D38" s="590">
        <f t="shared" si="2"/>
        <v>44749210</v>
      </c>
      <c r="E38" s="590">
        <f t="shared" si="3"/>
        <v>3636195</v>
      </c>
    </row>
    <row r="39" spans="1:5" s="421" customFormat="1" x14ac:dyDescent="0.2">
      <c r="A39" s="588">
        <v>4</v>
      </c>
      <c r="B39" s="587" t="s">
        <v>785</v>
      </c>
      <c r="C39" s="590">
        <f t="shared" si="2"/>
        <v>41113015</v>
      </c>
      <c r="D39" s="590">
        <f t="shared" si="2"/>
        <v>44749210</v>
      </c>
      <c r="E39" s="590">
        <f t="shared" si="3"/>
        <v>3636195</v>
      </c>
    </row>
    <row r="40" spans="1:5" s="421" customFormat="1" x14ac:dyDescent="0.2">
      <c r="A40" s="588">
        <v>5</v>
      </c>
      <c r="B40" s="587" t="s">
        <v>786</v>
      </c>
      <c r="C40" s="590">
        <f t="shared" si="2"/>
        <v>0</v>
      </c>
      <c r="D40" s="590">
        <f t="shared" si="2"/>
        <v>0</v>
      </c>
      <c r="E40" s="590">
        <f t="shared" si="3"/>
        <v>0</v>
      </c>
    </row>
    <row r="41" spans="1:5" s="421" customFormat="1" x14ac:dyDescent="0.2">
      <c r="A41" s="588">
        <v>6</v>
      </c>
      <c r="B41" s="587" t="s">
        <v>787</v>
      </c>
      <c r="C41" s="590">
        <f t="shared" si="2"/>
        <v>1389970</v>
      </c>
      <c r="D41" s="590">
        <f t="shared" si="2"/>
        <v>1439560</v>
      </c>
      <c r="E41" s="590">
        <f t="shared" si="3"/>
        <v>49590</v>
      </c>
    </row>
    <row r="42" spans="1:5" s="421" customFormat="1" x14ac:dyDescent="0.2">
      <c r="A42" s="588">
        <v>7</v>
      </c>
      <c r="B42" s="587" t="s">
        <v>788</v>
      </c>
      <c r="C42" s="590">
        <f t="shared" si="2"/>
        <v>4222603</v>
      </c>
      <c r="D42" s="590">
        <f t="shared" si="2"/>
        <v>3541707</v>
      </c>
      <c r="E42" s="590">
        <f t="shared" si="3"/>
        <v>-680896</v>
      </c>
    </row>
    <row r="43" spans="1:5" s="421" customFormat="1" x14ac:dyDescent="0.2">
      <c r="A43" s="588"/>
      <c r="B43" s="592" t="s">
        <v>789</v>
      </c>
      <c r="C43" s="593">
        <f>SUM(C37+C38+C41)</f>
        <v>142478689</v>
      </c>
      <c r="D43" s="593">
        <f>SUM(D37+D38+D41)</f>
        <v>149204603</v>
      </c>
      <c r="E43" s="593">
        <f t="shared" si="3"/>
        <v>6725914</v>
      </c>
    </row>
    <row r="44" spans="1:5" s="421" customFormat="1" x14ac:dyDescent="0.2">
      <c r="A44" s="588"/>
      <c r="B44" s="592" t="s">
        <v>726</v>
      </c>
      <c r="C44" s="593">
        <f>SUM(C36+C43)</f>
        <v>227300072</v>
      </c>
      <c r="D44" s="593">
        <f>SUM(D36+D43)</f>
        <v>227496962</v>
      </c>
      <c r="E44" s="593">
        <f t="shared" si="3"/>
        <v>196890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790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657</v>
      </c>
      <c r="C47" s="589">
        <v>6801498</v>
      </c>
      <c r="D47" s="589">
        <v>6433906</v>
      </c>
      <c r="E47" s="590">
        <f t="shared" ref="E47:E55" si="4">D47-C47</f>
        <v>-367592</v>
      </c>
    </row>
    <row r="48" spans="1:5" s="421" customFormat="1" x14ac:dyDescent="0.2">
      <c r="A48" s="588">
        <v>2</v>
      </c>
      <c r="B48" s="587" t="s">
        <v>636</v>
      </c>
      <c r="C48" s="589">
        <v>15218316</v>
      </c>
      <c r="D48" s="591">
        <v>14223185</v>
      </c>
      <c r="E48" s="590">
        <f t="shared" si="4"/>
        <v>-995131</v>
      </c>
    </row>
    <row r="49" spans="1:5" s="421" customFormat="1" x14ac:dyDescent="0.2">
      <c r="A49" s="588">
        <v>3</v>
      </c>
      <c r="B49" s="587" t="s">
        <v>778</v>
      </c>
      <c r="C49" s="589">
        <v>1676207</v>
      </c>
      <c r="D49" s="591">
        <v>1544776</v>
      </c>
      <c r="E49" s="590">
        <f t="shared" si="4"/>
        <v>-131431</v>
      </c>
    </row>
    <row r="50" spans="1:5" s="421" customFormat="1" x14ac:dyDescent="0.2">
      <c r="A50" s="588">
        <v>4</v>
      </c>
      <c r="B50" s="587" t="s">
        <v>115</v>
      </c>
      <c r="C50" s="589">
        <v>1676207</v>
      </c>
      <c r="D50" s="591">
        <v>1544776</v>
      </c>
      <c r="E50" s="590">
        <f t="shared" si="4"/>
        <v>-131431</v>
      </c>
    </row>
    <row r="51" spans="1:5" s="421" customFormat="1" x14ac:dyDescent="0.2">
      <c r="A51" s="588">
        <v>5</v>
      </c>
      <c r="B51" s="587" t="s">
        <v>744</v>
      </c>
      <c r="C51" s="589">
        <v>0</v>
      </c>
      <c r="D51" s="591">
        <v>0</v>
      </c>
      <c r="E51" s="590">
        <f t="shared" si="4"/>
        <v>0</v>
      </c>
    </row>
    <row r="52" spans="1:5" s="421" customFormat="1" x14ac:dyDescent="0.2">
      <c r="A52" s="588">
        <v>6</v>
      </c>
      <c r="B52" s="587" t="s">
        <v>424</v>
      </c>
      <c r="C52" s="589">
        <v>89721</v>
      </c>
      <c r="D52" s="591">
        <v>40842</v>
      </c>
      <c r="E52" s="590">
        <f t="shared" si="4"/>
        <v>-48879</v>
      </c>
    </row>
    <row r="53" spans="1:5" s="421" customFormat="1" x14ac:dyDescent="0.2">
      <c r="A53" s="588">
        <v>7</v>
      </c>
      <c r="B53" s="587" t="s">
        <v>759</v>
      </c>
      <c r="C53" s="589">
        <v>20</v>
      </c>
      <c r="D53" s="591">
        <v>10675</v>
      </c>
      <c r="E53" s="590">
        <f t="shared" si="4"/>
        <v>10655</v>
      </c>
    </row>
    <row r="54" spans="1:5" s="421" customFormat="1" x14ac:dyDescent="0.2">
      <c r="A54" s="588"/>
      <c r="B54" s="592" t="s">
        <v>791</v>
      </c>
      <c r="C54" s="593">
        <f>SUM(C48+C49+C52)</f>
        <v>16984244</v>
      </c>
      <c r="D54" s="593">
        <f>SUM(D48+D49+D52)</f>
        <v>15808803</v>
      </c>
      <c r="E54" s="593">
        <f t="shared" si="4"/>
        <v>-1175441</v>
      </c>
    </row>
    <row r="55" spans="1:5" s="421" customFormat="1" x14ac:dyDescent="0.2">
      <c r="A55" s="588"/>
      <c r="B55" s="592" t="s">
        <v>466</v>
      </c>
      <c r="C55" s="593">
        <f>SUM(C47+C54)</f>
        <v>23785742</v>
      </c>
      <c r="D55" s="593">
        <f>SUM(D47+D54)</f>
        <v>22242709</v>
      </c>
      <c r="E55" s="593">
        <f t="shared" si="4"/>
        <v>-1543033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792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657</v>
      </c>
      <c r="C58" s="589">
        <v>30280369</v>
      </c>
      <c r="D58" s="589">
        <v>27427116</v>
      </c>
      <c r="E58" s="590">
        <f t="shared" ref="E58:E66" si="5">D58-C58</f>
        <v>-2853253</v>
      </c>
    </row>
    <row r="59" spans="1:5" s="421" customFormat="1" x14ac:dyDescent="0.2">
      <c r="A59" s="588">
        <v>2</v>
      </c>
      <c r="B59" s="587" t="s">
        <v>636</v>
      </c>
      <c r="C59" s="589">
        <v>9712148</v>
      </c>
      <c r="D59" s="591">
        <v>9465425</v>
      </c>
      <c r="E59" s="590">
        <f t="shared" si="5"/>
        <v>-246723</v>
      </c>
    </row>
    <row r="60" spans="1:5" s="421" customFormat="1" x14ac:dyDescent="0.2">
      <c r="A60" s="588">
        <v>3</v>
      </c>
      <c r="B60" s="587" t="s">
        <v>778</v>
      </c>
      <c r="C60" s="589">
        <f>C61+C62</f>
        <v>5770160</v>
      </c>
      <c r="D60" s="591">
        <f>D61+D62</f>
        <v>5886266</v>
      </c>
      <c r="E60" s="590">
        <f t="shared" si="5"/>
        <v>116106</v>
      </c>
    </row>
    <row r="61" spans="1:5" s="421" customFormat="1" x14ac:dyDescent="0.2">
      <c r="A61" s="588">
        <v>4</v>
      </c>
      <c r="B61" s="587" t="s">
        <v>115</v>
      </c>
      <c r="C61" s="589">
        <v>5770160</v>
      </c>
      <c r="D61" s="591">
        <v>5886266</v>
      </c>
      <c r="E61" s="590">
        <f t="shared" si="5"/>
        <v>116106</v>
      </c>
    </row>
    <row r="62" spans="1:5" s="421" customFormat="1" x14ac:dyDescent="0.2">
      <c r="A62" s="588">
        <v>5</v>
      </c>
      <c r="B62" s="587" t="s">
        <v>744</v>
      </c>
      <c r="C62" s="589">
        <v>0</v>
      </c>
      <c r="D62" s="591">
        <v>0</v>
      </c>
      <c r="E62" s="590">
        <f t="shared" si="5"/>
        <v>0</v>
      </c>
    </row>
    <row r="63" spans="1:5" s="421" customFormat="1" x14ac:dyDescent="0.2">
      <c r="A63" s="588">
        <v>6</v>
      </c>
      <c r="B63" s="587" t="s">
        <v>424</v>
      </c>
      <c r="C63" s="589">
        <v>203932</v>
      </c>
      <c r="D63" s="591">
        <v>184187</v>
      </c>
      <c r="E63" s="590">
        <f t="shared" si="5"/>
        <v>-19745</v>
      </c>
    </row>
    <row r="64" spans="1:5" s="421" customFormat="1" x14ac:dyDescent="0.2">
      <c r="A64" s="588">
        <v>7</v>
      </c>
      <c r="B64" s="587" t="s">
        <v>759</v>
      </c>
      <c r="C64" s="589">
        <v>247084</v>
      </c>
      <c r="D64" s="591">
        <v>186014</v>
      </c>
      <c r="E64" s="590">
        <f t="shared" si="5"/>
        <v>-61070</v>
      </c>
    </row>
    <row r="65" spans="1:5" s="421" customFormat="1" x14ac:dyDescent="0.2">
      <c r="A65" s="588"/>
      <c r="B65" s="592" t="s">
        <v>793</v>
      </c>
      <c r="C65" s="593">
        <f>SUM(C59+C60+C63)</f>
        <v>15686240</v>
      </c>
      <c r="D65" s="593">
        <f>SUM(D59+D60+D63)</f>
        <v>15535878</v>
      </c>
      <c r="E65" s="593">
        <f t="shared" si="5"/>
        <v>-150362</v>
      </c>
    </row>
    <row r="66" spans="1:5" s="421" customFormat="1" x14ac:dyDescent="0.2">
      <c r="A66" s="588"/>
      <c r="B66" s="592" t="s">
        <v>468</v>
      </c>
      <c r="C66" s="593">
        <f>SUM(C58+C65)</f>
        <v>45966609</v>
      </c>
      <c r="D66" s="593">
        <f>SUM(D58+D65)</f>
        <v>42962994</v>
      </c>
      <c r="E66" s="593">
        <f t="shared" si="5"/>
        <v>-3003615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655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782</v>
      </c>
      <c r="C69" s="590">
        <f t="shared" ref="C69:D75" si="6">C47+C58</f>
        <v>37081867</v>
      </c>
      <c r="D69" s="590">
        <f t="shared" si="6"/>
        <v>33861022</v>
      </c>
      <c r="E69" s="590">
        <f t="shared" ref="E69:E77" si="7">D69-C69</f>
        <v>-3220845</v>
      </c>
    </row>
    <row r="70" spans="1:5" s="421" customFormat="1" x14ac:dyDescent="0.2">
      <c r="A70" s="588">
        <v>2</v>
      </c>
      <c r="B70" s="587" t="s">
        <v>783</v>
      </c>
      <c r="C70" s="590">
        <f t="shared" si="6"/>
        <v>24930464</v>
      </c>
      <c r="D70" s="590">
        <f t="shared" si="6"/>
        <v>23688610</v>
      </c>
      <c r="E70" s="590">
        <f t="shared" si="7"/>
        <v>-1241854</v>
      </c>
    </row>
    <row r="71" spans="1:5" s="421" customFormat="1" x14ac:dyDescent="0.2">
      <c r="A71" s="588">
        <v>3</v>
      </c>
      <c r="B71" s="587" t="s">
        <v>784</v>
      </c>
      <c r="C71" s="590">
        <f t="shared" si="6"/>
        <v>7446367</v>
      </c>
      <c r="D71" s="590">
        <f t="shared" si="6"/>
        <v>7431042</v>
      </c>
      <c r="E71" s="590">
        <f t="shared" si="7"/>
        <v>-15325</v>
      </c>
    </row>
    <row r="72" spans="1:5" s="421" customFormat="1" x14ac:dyDescent="0.2">
      <c r="A72" s="588">
        <v>4</v>
      </c>
      <c r="B72" s="587" t="s">
        <v>785</v>
      </c>
      <c r="C72" s="590">
        <f t="shared" si="6"/>
        <v>7446367</v>
      </c>
      <c r="D72" s="590">
        <f t="shared" si="6"/>
        <v>7431042</v>
      </c>
      <c r="E72" s="590">
        <f t="shared" si="7"/>
        <v>-15325</v>
      </c>
    </row>
    <row r="73" spans="1:5" s="421" customFormat="1" x14ac:dyDescent="0.2">
      <c r="A73" s="588">
        <v>5</v>
      </c>
      <c r="B73" s="587" t="s">
        <v>786</v>
      </c>
      <c r="C73" s="590">
        <f t="shared" si="6"/>
        <v>0</v>
      </c>
      <c r="D73" s="590">
        <f t="shared" si="6"/>
        <v>0</v>
      </c>
      <c r="E73" s="590">
        <f t="shared" si="7"/>
        <v>0</v>
      </c>
    </row>
    <row r="74" spans="1:5" s="421" customFormat="1" x14ac:dyDescent="0.2">
      <c r="A74" s="588">
        <v>6</v>
      </c>
      <c r="B74" s="587" t="s">
        <v>787</v>
      </c>
      <c r="C74" s="590">
        <f t="shared" si="6"/>
        <v>293653</v>
      </c>
      <c r="D74" s="590">
        <f t="shared" si="6"/>
        <v>225029</v>
      </c>
      <c r="E74" s="590">
        <f t="shared" si="7"/>
        <v>-68624</v>
      </c>
    </row>
    <row r="75" spans="1:5" s="421" customFormat="1" x14ac:dyDescent="0.2">
      <c r="A75" s="588">
        <v>7</v>
      </c>
      <c r="B75" s="587" t="s">
        <v>788</v>
      </c>
      <c r="C75" s="590">
        <f t="shared" si="6"/>
        <v>247104</v>
      </c>
      <c r="D75" s="590">
        <f t="shared" si="6"/>
        <v>196689</v>
      </c>
      <c r="E75" s="590">
        <f t="shared" si="7"/>
        <v>-50415</v>
      </c>
    </row>
    <row r="76" spans="1:5" s="421" customFormat="1" x14ac:dyDescent="0.2">
      <c r="A76" s="588"/>
      <c r="B76" s="592" t="s">
        <v>794</v>
      </c>
      <c r="C76" s="593">
        <f>SUM(C70+C71+C74)</f>
        <v>32670484</v>
      </c>
      <c r="D76" s="593">
        <f>SUM(D70+D71+D74)</f>
        <v>31344681</v>
      </c>
      <c r="E76" s="593">
        <f t="shared" si="7"/>
        <v>-1325803</v>
      </c>
    </row>
    <row r="77" spans="1:5" s="421" customFormat="1" x14ac:dyDescent="0.2">
      <c r="A77" s="588"/>
      <c r="B77" s="592" t="s">
        <v>727</v>
      </c>
      <c r="C77" s="593">
        <f>SUM(C69+C76)</f>
        <v>69752351</v>
      </c>
      <c r="D77" s="593">
        <f>SUM(D69+D76)</f>
        <v>65205703</v>
      </c>
      <c r="E77" s="593">
        <f t="shared" si="7"/>
        <v>-4546648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795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796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657</v>
      </c>
      <c r="C83" s="599">
        <f t="shared" ref="C83:D89" si="8">IF(C$44=0,0,C14/C$44)</f>
        <v>7.0554473911473292E-2</v>
      </c>
      <c r="D83" s="599">
        <f t="shared" si="8"/>
        <v>6.0812407683932063E-2</v>
      </c>
      <c r="E83" s="599">
        <f t="shared" ref="E83:E91" si="9">D83-C83</f>
        <v>-9.7420662275412295E-3</v>
      </c>
    </row>
    <row r="84" spans="1:5" s="421" customFormat="1" x14ac:dyDescent="0.2">
      <c r="A84" s="588">
        <v>2</v>
      </c>
      <c r="B84" s="587" t="s">
        <v>636</v>
      </c>
      <c r="C84" s="599">
        <f t="shared" si="8"/>
        <v>0.22367761062565789</v>
      </c>
      <c r="D84" s="599">
        <f t="shared" si="8"/>
        <v>0.22562339535769274</v>
      </c>
      <c r="E84" s="599">
        <f t="shared" si="9"/>
        <v>1.9457847320348554E-3</v>
      </c>
    </row>
    <row r="85" spans="1:5" s="421" customFormat="1" x14ac:dyDescent="0.2">
      <c r="A85" s="588">
        <v>3</v>
      </c>
      <c r="B85" s="587" t="s">
        <v>778</v>
      </c>
      <c r="C85" s="599">
        <f t="shared" si="8"/>
        <v>4.2427659239808777E-2</v>
      </c>
      <c r="D85" s="599">
        <f t="shared" si="8"/>
        <v>4.0054200811701392E-2</v>
      </c>
      <c r="E85" s="599">
        <f t="shared" si="9"/>
        <v>-2.3734584281073848E-3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4.2427659239808777E-2</v>
      </c>
      <c r="D86" s="599">
        <f t="shared" si="8"/>
        <v>4.0054200811701392E-2</v>
      </c>
      <c r="E86" s="599">
        <f t="shared" si="9"/>
        <v>-2.3734584281073848E-3</v>
      </c>
    </row>
    <row r="87" spans="1:5" s="421" customFormat="1" x14ac:dyDescent="0.2">
      <c r="A87" s="588">
        <v>5</v>
      </c>
      <c r="B87" s="587" t="s">
        <v>744</v>
      </c>
      <c r="C87" s="599">
        <f t="shared" si="8"/>
        <v>0</v>
      </c>
      <c r="D87" s="599">
        <f t="shared" si="8"/>
        <v>0</v>
      </c>
      <c r="E87" s="599">
        <f t="shared" si="9"/>
        <v>0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1.6102062651348391E-3</v>
      </c>
      <c r="D88" s="599">
        <f t="shared" si="8"/>
        <v>1.4908462821582645E-3</v>
      </c>
      <c r="E88" s="599">
        <f t="shared" si="9"/>
        <v>-1.1935998297657457E-4</v>
      </c>
    </row>
    <row r="89" spans="1:5" s="421" customFormat="1" x14ac:dyDescent="0.2">
      <c r="A89" s="588">
        <v>7</v>
      </c>
      <c r="B89" s="587" t="s">
        <v>759</v>
      </c>
      <c r="C89" s="599">
        <f t="shared" si="8"/>
        <v>3.5285250591561624E-3</v>
      </c>
      <c r="D89" s="599">
        <f t="shared" si="8"/>
        <v>2.1067094513552227E-3</v>
      </c>
      <c r="E89" s="599">
        <f t="shared" si="9"/>
        <v>-1.4218156078009397E-3</v>
      </c>
    </row>
    <row r="90" spans="1:5" s="421" customFormat="1" x14ac:dyDescent="0.2">
      <c r="A90" s="588"/>
      <c r="B90" s="592" t="s">
        <v>797</v>
      </c>
      <c r="C90" s="600">
        <f>SUM(C84+C85+C88)</f>
        <v>0.26771547613060154</v>
      </c>
      <c r="D90" s="600">
        <f>SUM(D84+D85+D88)</f>
        <v>0.26716844245155241</v>
      </c>
      <c r="E90" s="601">
        <f t="shared" si="9"/>
        <v>-5.4703367904912481E-4</v>
      </c>
    </row>
    <row r="91" spans="1:5" s="421" customFormat="1" x14ac:dyDescent="0.2">
      <c r="A91" s="588"/>
      <c r="B91" s="592" t="s">
        <v>798</v>
      </c>
      <c r="C91" s="600">
        <f>SUM(C83+C90)</f>
        <v>0.33826995004207483</v>
      </c>
      <c r="D91" s="600">
        <f>SUM(D83+D90)</f>
        <v>0.3279808501354845</v>
      </c>
      <c r="E91" s="601">
        <f t="shared" si="9"/>
        <v>-1.0289099906590327E-2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799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657</v>
      </c>
      <c r="C95" s="599">
        <f t="shared" ref="C95:D101" si="10">IF(C$44=0,0,C25/C$44)</f>
        <v>0.30261471276612706</v>
      </c>
      <c r="D95" s="599">
        <f t="shared" si="10"/>
        <v>0.28333442536256814</v>
      </c>
      <c r="E95" s="599">
        <f t="shared" ref="E95:E103" si="11">D95-C95</f>
        <v>-1.9280287403558916E-2</v>
      </c>
    </row>
    <row r="96" spans="1:5" s="421" customFormat="1" x14ac:dyDescent="0.2">
      <c r="A96" s="588">
        <v>2</v>
      </c>
      <c r="B96" s="587" t="s">
        <v>636</v>
      </c>
      <c r="C96" s="599">
        <f t="shared" si="10"/>
        <v>0.21616256681168144</v>
      </c>
      <c r="D96" s="599">
        <f t="shared" si="10"/>
        <v>0.22719949992123412</v>
      </c>
      <c r="E96" s="599">
        <f t="shared" si="11"/>
        <v>1.1036933109552671E-2</v>
      </c>
    </row>
    <row r="97" spans="1:5" s="421" customFormat="1" x14ac:dyDescent="0.2">
      <c r="A97" s="588">
        <v>3</v>
      </c>
      <c r="B97" s="587" t="s">
        <v>778</v>
      </c>
      <c r="C97" s="599">
        <f t="shared" si="10"/>
        <v>0.13844784439839508</v>
      </c>
      <c r="D97" s="599">
        <f t="shared" si="10"/>
        <v>0.15664825009839031</v>
      </c>
      <c r="E97" s="599">
        <f t="shared" si="11"/>
        <v>1.8200405699995231E-2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0.13844784439839508</v>
      </c>
      <c r="D98" s="599">
        <f t="shared" si="10"/>
        <v>0.15664825009839031</v>
      </c>
      <c r="E98" s="599">
        <f t="shared" si="11"/>
        <v>1.8200405699995231E-2</v>
      </c>
    </row>
    <row r="99" spans="1:5" s="421" customFormat="1" x14ac:dyDescent="0.2">
      <c r="A99" s="588">
        <v>5</v>
      </c>
      <c r="B99" s="587" t="s">
        <v>744</v>
      </c>
      <c r="C99" s="599">
        <f t="shared" si="10"/>
        <v>0</v>
      </c>
      <c r="D99" s="599">
        <f t="shared" si="10"/>
        <v>0</v>
      </c>
      <c r="E99" s="599">
        <f t="shared" si="11"/>
        <v>0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4.5049259817216422E-3</v>
      </c>
      <c r="D100" s="599">
        <f t="shared" si="10"/>
        <v>4.8369744823229775E-3</v>
      </c>
      <c r="E100" s="599">
        <f t="shared" si="11"/>
        <v>3.3204850060133528E-4</v>
      </c>
    </row>
    <row r="101" spans="1:5" s="421" customFormat="1" x14ac:dyDescent="0.2">
      <c r="A101" s="588">
        <v>7</v>
      </c>
      <c r="B101" s="587" t="s">
        <v>759</v>
      </c>
      <c r="C101" s="599">
        <f t="shared" si="10"/>
        <v>1.5048692989415332E-2</v>
      </c>
      <c r="D101" s="599">
        <f t="shared" si="10"/>
        <v>1.3461441300477673E-2</v>
      </c>
      <c r="E101" s="599">
        <f t="shared" si="11"/>
        <v>-1.5872516889376583E-3</v>
      </c>
    </row>
    <row r="102" spans="1:5" s="421" customFormat="1" x14ac:dyDescent="0.2">
      <c r="A102" s="588"/>
      <c r="B102" s="592" t="s">
        <v>800</v>
      </c>
      <c r="C102" s="600">
        <f>SUM(C96+C97+C100)</f>
        <v>0.35911533719179817</v>
      </c>
      <c r="D102" s="600">
        <f>SUM(D96+D97+D100)</f>
        <v>0.38868472450194741</v>
      </c>
      <c r="E102" s="601">
        <f t="shared" si="11"/>
        <v>2.9569387310149242E-2</v>
      </c>
    </row>
    <row r="103" spans="1:5" s="421" customFormat="1" x14ac:dyDescent="0.2">
      <c r="A103" s="588"/>
      <c r="B103" s="592" t="s">
        <v>801</v>
      </c>
      <c r="C103" s="600">
        <f>SUM(C95+C102)</f>
        <v>0.66173004995792528</v>
      </c>
      <c r="D103" s="600">
        <f>SUM(D95+D102)</f>
        <v>0.67201914986451561</v>
      </c>
      <c r="E103" s="601">
        <f t="shared" si="11"/>
        <v>1.0289099906590327E-2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802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803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657</v>
      </c>
      <c r="C109" s="599">
        <f t="shared" ref="C109:D115" si="12">IF(C$77=0,0,C47/C$77)</f>
        <v>9.7509229473856734E-2</v>
      </c>
      <c r="D109" s="599">
        <f t="shared" si="12"/>
        <v>9.8670909199460671E-2</v>
      </c>
      <c r="E109" s="599">
        <f t="shared" ref="E109:E117" si="13">D109-C109</f>
        <v>1.1616797256039368E-3</v>
      </c>
    </row>
    <row r="110" spans="1:5" s="421" customFormat="1" x14ac:dyDescent="0.2">
      <c r="A110" s="588">
        <v>2</v>
      </c>
      <c r="B110" s="587" t="s">
        <v>636</v>
      </c>
      <c r="C110" s="599">
        <f t="shared" si="12"/>
        <v>0.21817638806181602</v>
      </c>
      <c r="D110" s="599">
        <f t="shared" si="12"/>
        <v>0.21812792969964606</v>
      </c>
      <c r="E110" s="599">
        <f t="shared" si="13"/>
        <v>-4.845836216996191E-5</v>
      </c>
    </row>
    <row r="111" spans="1:5" s="421" customFormat="1" x14ac:dyDescent="0.2">
      <c r="A111" s="588">
        <v>3</v>
      </c>
      <c r="B111" s="587" t="s">
        <v>778</v>
      </c>
      <c r="C111" s="599">
        <f t="shared" si="12"/>
        <v>2.4030831591611873E-2</v>
      </c>
      <c r="D111" s="599">
        <f t="shared" si="12"/>
        <v>2.3690811216313397E-2</v>
      </c>
      <c r="E111" s="599">
        <f t="shared" si="13"/>
        <v>-3.4002037529847623E-4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2.4030831591611873E-2</v>
      </c>
      <c r="D112" s="599">
        <f t="shared" si="12"/>
        <v>2.3690811216313397E-2</v>
      </c>
      <c r="E112" s="599">
        <f t="shared" si="13"/>
        <v>-3.4002037529847623E-4</v>
      </c>
    </row>
    <row r="113" spans="1:5" s="421" customFormat="1" x14ac:dyDescent="0.2">
      <c r="A113" s="588">
        <v>5</v>
      </c>
      <c r="B113" s="587" t="s">
        <v>744</v>
      </c>
      <c r="C113" s="599">
        <f t="shared" si="12"/>
        <v>0</v>
      </c>
      <c r="D113" s="599">
        <f t="shared" si="12"/>
        <v>0</v>
      </c>
      <c r="E113" s="599">
        <f t="shared" si="13"/>
        <v>0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1.2862792251977285E-3</v>
      </c>
      <c r="D114" s="599">
        <f t="shared" si="12"/>
        <v>6.2635625598576861E-4</v>
      </c>
      <c r="E114" s="599">
        <f t="shared" si="13"/>
        <v>-6.5992296921195989E-4</v>
      </c>
    </row>
    <row r="115" spans="1:5" s="421" customFormat="1" x14ac:dyDescent="0.2">
      <c r="A115" s="588">
        <v>7</v>
      </c>
      <c r="B115" s="587" t="s">
        <v>759</v>
      </c>
      <c r="C115" s="599">
        <f t="shared" si="12"/>
        <v>2.8672868675064443E-7</v>
      </c>
      <c r="D115" s="599">
        <f t="shared" si="12"/>
        <v>1.637126740279144E-4</v>
      </c>
      <c r="E115" s="599">
        <f t="shared" si="13"/>
        <v>1.6342594534116375E-4</v>
      </c>
    </row>
    <row r="116" spans="1:5" s="421" customFormat="1" x14ac:dyDescent="0.2">
      <c r="A116" s="588"/>
      <c r="B116" s="592" t="s">
        <v>797</v>
      </c>
      <c r="C116" s="600">
        <f>SUM(C110+C111+C114)</f>
        <v>0.24349349887862562</v>
      </c>
      <c r="D116" s="600">
        <f>SUM(D110+D111+D114)</f>
        <v>0.24244509717194521</v>
      </c>
      <c r="E116" s="601">
        <f t="shared" si="13"/>
        <v>-1.048401706680413E-3</v>
      </c>
    </row>
    <row r="117" spans="1:5" s="421" customFormat="1" x14ac:dyDescent="0.2">
      <c r="A117" s="588"/>
      <c r="B117" s="592" t="s">
        <v>798</v>
      </c>
      <c r="C117" s="600">
        <f>SUM(C109+C116)</f>
        <v>0.34100272835248235</v>
      </c>
      <c r="D117" s="600">
        <f>SUM(D109+D116)</f>
        <v>0.34111600637140588</v>
      </c>
      <c r="E117" s="601">
        <f t="shared" si="13"/>
        <v>1.1327801892352385E-4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804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657</v>
      </c>
      <c r="C121" s="599">
        <f t="shared" ref="C121:D127" si="14">IF(C$77=0,0,C58/C$77)</f>
        <v>0.43411252188474619</v>
      </c>
      <c r="D121" s="599">
        <f t="shared" si="14"/>
        <v>0.42062449660269746</v>
      </c>
      <c r="E121" s="599">
        <f t="shared" ref="E121:E129" si="15">D121-C121</f>
        <v>-1.3488025282048732E-2</v>
      </c>
    </row>
    <row r="122" spans="1:5" s="421" customFormat="1" x14ac:dyDescent="0.2">
      <c r="A122" s="588">
        <v>2</v>
      </c>
      <c r="B122" s="587" t="s">
        <v>636</v>
      </c>
      <c r="C122" s="599">
        <f t="shared" si="14"/>
        <v>0.13923757207839488</v>
      </c>
      <c r="D122" s="599">
        <f t="shared" si="14"/>
        <v>0.14516253279256877</v>
      </c>
      <c r="E122" s="599">
        <f t="shared" si="15"/>
        <v>5.9249607141738936E-3</v>
      </c>
    </row>
    <row r="123" spans="1:5" s="421" customFormat="1" x14ac:dyDescent="0.2">
      <c r="A123" s="588">
        <v>3</v>
      </c>
      <c r="B123" s="587" t="s">
        <v>778</v>
      </c>
      <c r="C123" s="599">
        <f t="shared" si="14"/>
        <v>8.2723519957054931E-2</v>
      </c>
      <c r="D123" s="599">
        <f t="shared" si="14"/>
        <v>9.027225732080521E-2</v>
      </c>
      <c r="E123" s="599">
        <f t="shared" si="15"/>
        <v>7.5487373637502797E-3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8.2723519957054931E-2</v>
      </c>
      <c r="D124" s="599">
        <f t="shared" si="14"/>
        <v>9.027225732080521E-2</v>
      </c>
      <c r="E124" s="599">
        <f t="shared" si="15"/>
        <v>7.5487373637502797E-3</v>
      </c>
    </row>
    <row r="125" spans="1:5" s="421" customFormat="1" x14ac:dyDescent="0.2">
      <c r="A125" s="588">
        <v>5</v>
      </c>
      <c r="B125" s="587" t="s">
        <v>744</v>
      </c>
      <c r="C125" s="599">
        <f t="shared" si="14"/>
        <v>0</v>
      </c>
      <c r="D125" s="599">
        <f t="shared" si="14"/>
        <v>0</v>
      </c>
      <c r="E125" s="599">
        <f t="shared" si="15"/>
        <v>0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2.923657727321621E-3</v>
      </c>
      <c r="D126" s="599">
        <f t="shared" si="14"/>
        <v>2.824706912522667E-3</v>
      </c>
      <c r="E126" s="599">
        <f t="shared" si="15"/>
        <v>-9.8950814798953995E-5</v>
      </c>
    </row>
    <row r="127" spans="1:5" s="421" customFormat="1" x14ac:dyDescent="0.2">
      <c r="A127" s="588">
        <v>7</v>
      </c>
      <c r="B127" s="587" t="s">
        <v>759</v>
      </c>
      <c r="C127" s="599">
        <f t="shared" si="14"/>
        <v>3.5423035418548116E-3</v>
      </c>
      <c r="D127" s="599">
        <f t="shared" si="14"/>
        <v>2.8527259341103953E-3</v>
      </c>
      <c r="E127" s="599">
        <f t="shared" si="15"/>
        <v>-6.8957760774441624E-4</v>
      </c>
    </row>
    <row r="128" spans="1:5" s="421" customFormat="1" x14ac:dyDescent="0.2">
      <c r="A128" s="588"/>
      <c r="B128" s="592" t="s">
        <v>800</v>
      </c>
      <c r="C128" s="600">
        <f>SUM(C122+C123+C126)</f>
        <v>0.22488474976277142</v>
      </c>
      <c r="D128" s="600">
        <f>SUM(D122+D123+D126)</f>
        <v>0.23825949702589666</v>
      </c>
      <c r="E128" s="601">
        <f t="shared" si="15"/>
        <v>1.3374747263125236E-2</v>
      </c>
    </row>
    <row r="129" spans="1:5" s="421" customFormat="1" x14ac:dyDescent="0.2">
      <c r="A129" s="588"/>
      <c r="B129" s="592" t="s">
        <v>801</v>
      </c>
      <c r="C129" s="600">
        <f>SUM(C121+C128)</f>
        <v>0.65899727164751765</v>
      </c>
      <c r="D129" s="600">
        <f>SUM(D121+D128)</f>
        <v>0.65888399362859418</v>
      </c>
      <c r="E129" s="601">
        <f t="shared" si="15"/>
        <v>-1.1327801892346834E-4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805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806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807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657</v>
      </c>
      <c r="C137" s="606">
        <v>489</v>
      </c>
      <c r="D137" s="606">
        <v>409</v>
      </c>
      <c r="E137" s="607">
        <f t="shared" ref="E137:E145" si="16">D137-C137</f>
        <v>-80</v>
      </c>
    </row>
    <row r="138" spans="1:5" s="421" customFormat="1" x14ac:dyDescent="0.2">
      <c r="A138" s="588">
        <v>2</v>
      </c>
      <c r="B138" s="587" t="s">
        <v>636</v>
      </c>
      <c r="C138" s="606">
        <v>1524</v>
      </c>
      <c r="D138" s="606">
        <v>1428</v>
      </c>
      <c r="E138" s="607">
        <f t="shared" si="16"/>
        <v>-96</v>
      </c>
    </row>
    <row r="139" spans="1:5" s="421" customFormat="1" x14ac:dyDescent="0.2">
      <c r="A139" s="588">
        <v>3</v>
      </c>
      <c r="B139" s="587" t="s">
        <v>778</v>
      </c>
      <c r="C139" s="606">
        <f>C140+C141</f>
        <v>317</v>
      </c>
      <c r="D139" s="606">
        <f>D140+D141</f>
        <v>266</v>
      </c>
      <c r="E139" s="607">
        <f t="shared" si="16"/>
        <v>-51</v>
      </c>
    </row>
    <row r="140" spans="1:5" s="421" customFormat="1" x14ac:dyDescent="0.2">
      <c r="A140" s="588">
        <v>4</v>
      </c>
      <c r="B140" s="587" t="s">
        <v>115</v>
      </c>
      <c r="C140" s="606">
        <v>317</v>
      </c>
      <c r="D140" s="606">
        <v>266</v>
      </c>
      <c r="E140" s="607">
        <f t="shared" si="16"/>
        <v>-51</v>
      </c>
    </row>
    <row r="141" spans="1:5" s="421" customFormat="1" x14ac:dyDescent="0.2">
      <c r="A141" s="588">
        <v>5</v>
      </c>
      <c r="B141" s="587" t="s">
        <v>744</v>
      </c>
      <c r="C141" s="606">
        <v>0</v>
      </c>
      <c r="D141" s="606">
        <v>0</v>
      </c>
      <c r="E141" s="607">
        <f t="shared" si="16"/>
        <v>0</v>
      </c>
    </row>
    <row r="142" spans="1:5" s="421" customFormat="1" x14ac:dyDescent="0.2">
      <c r="A142" s="588">
        <v>6</v>
      </c>
      <c r="B142" s="587" t="s">
        <v>424</v>
      </c>
      <c r="C142" s="606">
        <v>11</v>
      </c>
      <c r="D142" s="606">
        <v>9</v>
      </c>
      <c r="E142" s="607">
        <f t="shared" si="16"/>
        <v>-2</v>
      </c>
    </row>
    <row r="143" spans="1:5" s="421" customFormat="1" x14ac:dyDescent="0.2">
      <c r="A143" s="588">
        <v>7</v>
      </c>
      <c r="B143" s="587" t="s">
        <v>759</v>
      </c>
      <c r="C143" s="606">
        <v>26</v>
      </c>
      <c r="D143" s="606">
        <v>16</v>
      </c>
      <c r="E143" s="607">
        <f t="shared" si="16"/>
        <v>-10</v>
      </c>
    </row>
    <row r="144" spans="1:5" s="421" customFormat="1" x14ac:dyDescent="0.2">
      <c r="A144" s="588"/>
      <c r="B144" s="592" t="s">
        <v>808</v>
      </c>
      <c r="C144" s="608">
        <f>SUM(C138+C139+C142)</f>
        <v>1852</v>
      </c>
      <c r="D144" s="608">
        <f>SUM(D138+D139+D142)</f>
        <v>1703</v>
      </c>
      <c r="E144" s="609">
        <f t="shared" si="16"/>
        <v>-149</v>
      </c>
    </row>
    <row r="145" spans="1:5" s="421" customFormat="1" x14ac:dyDescent="0.2">
      <c r="A145" s="588"/>
      <c r="B145" s="592" t="s">
        <v>138</v>
      </c>
      <c r="C145" s="608">
        <f>SUM(C137+C144)</f>
        <v>2341</v>
      </c>
      <c r="D145" s="608">
        <f>SUM(D137+D144)</f>
        <v>2112</v>
      </c>
      <c r="E145" s="609">
        <f t="shared" si="16"/>
        <v>-229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657</v>
      </c>
      <c r="C149" s="610">
        <v>2005</v>
      </c>
      <c r="D149" s="610">
        <v>1537</v>
      </c>
      <c r="E149" s="607">
        <f t="shared" ref="E149:E157" si="17">D149-C149</f>
        <v>-468</v>
      </c>
    </row>
    <row r="150" spans="1:5" s="421" customFormat="1" x14ac:dyDescent="0.2">
      <c r="A150" s="588">
        <v>2</v>
      </c>
      <c r="B150" s="587" t="s">
        <v>636</v>
      </c>
      <c r="C150" s="610">
        <v>7734</v>
      </c>
      <c r="D150" s="610">
        <v>7024</v>
      </c>
      <c r="E150" s="607">
        <f t="shared" si="17"/>
        <v>-710</v>
      </c>
    </row>
    <row r="151" spans="1:5" s="421" customFormat="1" x14ac:dyDescent="0.2">
      <c r="A151" s="588">
        <v>3</v>
      </c>
      <c r="B151" s="587" t="s">
        <v>778</v>
      </c>
      <c r="C151" s="610">
        <f>C152+C153</f>
        <v>1373</v>
      </c>
      <c r="D151" s="610">
        <f>D152+D153</f>
        <v>1250</v>
      </c>
      <c r="E151" s="607">
        <f t="shared" si="17"/>
        <v>-123</v>
      </c>
    </row>
    <row r="152" spans="1:5" s="421" customFormat="1" x14ac:dyDescent="0.2">
      <c r="A152" s="588">
        <v>4</v>
      </c>
      <c r="B152" s="587" t="s">
        <v>115</v>
      </c>
      <c r="C152" s="610">
        <v>1373</v>
      </c>
      <c r="D152" s="610">
        <v>1250</v>
      </c>
      <c r="E152" s="607">
        <f t="shared" si="17"/>
        <v>-123</v>
      </c>
    </row>
    <row r="153" spans="1:5" s="421" customFormat="1" x14ac:dyDescent="0.2">
      <c r="A153" s="588">
        <v>5</v>
      </c>
      <c r="B153" s="587" t="s">
        <v>744</v>
      </c>
      <c r="C153" s="611">
        <v>0</v>
      </c>
      <c r="D153" s="610">
        <v>0</v>
      </c>
      <c r="E153" s="607">
        <f t="shared" si="17"/>
        <v>0</v>
      </c>
    </row>
    <row r="154" spans="1:5" s="421" customFormat="1" x14ac:dyDescent="0.2">
      <c r="A154" s="588">
        <v>6</v>
      </c>
      <c r="B154" s="587" t="s">
        <v>424</v>
      </c>
      <c r="C154" s="610">
        <v>43</v>
      </c>
      <c r="D154" s="610">
        <v>62</v>
      </c>
      <c r="E154" s="607">
        <f t="shared" si="17"/>
        <v>19</v>
      </c>
    </row>
    <row r="155" spans="1:5" s="421" customFormat="1" x14ac:dyDescent="0.2">
      <c r="A155" s="588">
        <v>7</v>
      </c>
      <c r="B155" s="587" t="s">
        <v>759</v>
      </c>
      <c r="C155" s="610">
        <v>99</v>
      </c>
      <c r="D155" s="610">
        <v>53</v>
      </c>
      <c r="E155" s="607">
        <f t="shared" si="17"/>
        <v>-46</v>
      </c>
    </row>
    <row r="156" spans="1:5" s="421" customFormat="1" x14ac:dyDescent="0.2">
      <c r="A156" s="588"/>
      <c r="B156" s="592" t="s">
        <v>809</v>
      </c>
      <c r="C156" s="608">
        <f>SUM(C150+C151+C154)</f>
        <v>9150</v>
      </c>
      <c r="D156" s="608">
        <f>SUM(D150+D151+D154)</f>
        <v>8336</v>
      </c>
      <c r="E156" s="609">
        <f t="shared" si="17"/>
        <v>-814</v>
      </c>
    </row>
    <row r="157" spans="1:5" s="421" customFormat="1" x14ac:dyDescent="0.2">
      <c r="A157" s="588"/>
      <c r="B157" s="592" t="s">
        <v>140</v>
      </c>
      <c r="C157" s="608">
        <f>SUM(C149+C156)</f>
        <v>11155</v>
      </c>
      <c r="D157" s="608">
        <f>SUM(D149+D156)</f>
        <v>9873</v>
      </c>
      <c r="E157" s="609">
        <f t="shared" si="17"/>
        <v>-1282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810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657</v>
      </c>
      <c r="C161" s="612">
        <f t="shared" ref="C161:D169" si="18">IF(C137=0,0,C149/C137)</f>
        <v>4.1002044989775053</v>
      </c>
      <c r="D161" s="612">
        <f t="shared" si="18"/>
        <v>3.7579462102689485</v>
      </c>
      <c r="E161" s="613">
        <f t="shared" ref="E161:E169" si="19">D161-C161</f>
        <v>-0.34225828870855679</v>
      </c>
    </row>
    <row r="162" spans="1:5" s="421" customFormat="1" x14ac:dyDescent="0.2">
      <c r="A162" s="588">
        <v>2</v>
      </c>
      <c r="B162" s="587" t="s">
        <v>636</v>
      </c>
      <c r="C162" s="612">
        <f t="shared" si="18"/>
        <v>5.0748031496062991</v>
      </c>
      <c r="D162" s="612">
        <f t="shared" si="18"/>
        <v>4.9187675070028014</v>
      </c>
      <c r="E162" s="613">
        <f t="shared" si="19"/>
        <v>-0.15603564260349767</v>
      </c>
    </row>
    <row r="163" spans="1:5" s="421" customFormat="1" x14ac:dyDescent="0.2">
      <c r="A163" s="588">
        <v>3</v>
      </c>
      <c r="B163" s="587" t="s">
        <v>778</v>
      </c>
      <c r="C163" s="612">
        <f t="shared" si="18"/>
        <v>4.3312302839116716</v>
      </c>
      <c r="D163" s="612">
        <f t="shared" si="18"/>
        <v>4.6992481203007515</v>
      </c>
      <c r="E163" s="613">
        <f t="shared" si="19"/>
        <v>0.36801783638907981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4.3312302839116716</v>
      </c>
      <c r="D164" s="612">
        <f t="shared" si="18"/>
        <v>4.6992481203007515</v>
      </c>
      <c r="E164" s="613">
        <f t="shared" si="19"/>
        <v>0.36801783638907981</v>
      </c>
    </row>
    <row r="165" spans="1:5" s="421" customFormat="1" x14ac:dyDescent="0.2">
      <c r="A165" s="588">
        <v>5</v>
      </c>
      <c r="B165" s="587" t="s">
        <v>744</v>
      </c>
      <c r="C165" s="612">
        <f t="shared" si="18"/>
        <v>0</v>
      </c>
      <c r="D165" s="612">
        <f t="shared" si="18"/>
        <v>0</v>
      </c>
      <c r="E165" s="613">
        <f t="shared" si="19"/>
        <v>0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3.9090909090909092</v>
      </c>
      <c r="D166" s="612">
        <f t="shared" si="18"/>
        <v>6.8888888888888893</v>
      </c>
      <c r="E166" s="613">
        <f t="shared" si="19"/>
        <v>2.9797979797979801</v>
      </c>
    </row>
    <row r="167" spans="1:5" s="421" customFormat="1" x14ac:dyDescent="0.2">
      <c r="A167" s="588">
        <v>7</v>
      </c>
      <c r="B167" s="587" t="s">
        <v>759</v>
      </c>
      <c r="C167" s="612">
        <f t="shared" si="18"/>
        <v>3.8076923076923075</v>
      </c>
      <c r="D167" s="612">
        <f t="shared" si="18"/>
        <v>3.3125</v>
      </c>
      <c r="E167" s="613">
        <f t="shared" si="19"/>
        <v>-0.49519230769230749</v>
      </c>
    </row>
    <row r="168" spans="1:5" s="421" customFormat="1" x14ac:dyDescent="0.2">
      <c r="A168" s="588"/>
      <c r="B168" s="592" t="s">
        <v>811</v>
      </c>
      <c r="C168" s="614">
        <f t="shared" si="18"/>
        <v>4.9406047516198708</v>
      </c>
      <c r="D168" s="614">
        <f t="shared" si="18"/>
        <v>4.8948913681738109</v>
      </c>
      <c r="E168" s="615">
        <f t="shared" si="19"/>
        <v>-4.5713383446059908E-2</v>
      </c>
    </row>
    <row r="169" spans="1:5" s="421" customFormat="1" x14ac:dyDescent="0.2">
      <c r="A169" s="588"/>
      <c r="B169" s="592" t="s">
        <v>745</v>
      </c>
      <c r="C169" s="614">
        <f t="shared" si="18"/>
        <v>4.7650576676633918</v>
      </c>
      <c r="D169" s="614">
        <f t="shared" si="18"/>
        <v>4.6747159090909092</v>
      </c>
      <c r="E169" s="615">
        <f t="shared" si="19"/>
        <v>-9.0341758572482611E-2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812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657</v>
      </c>
      <c r="C173" s="617">
        <f t="shared" ref="C173:D181" si="20">IF(C137=0,0,C203/C137)</f>
        <v>1.61446</v>
      </c>
      <c r="D173" s="617">
        <f t="shared" si="20"/>
        <v>1.77478</v>
      </c>
      <c r="E173" s="618">
        <f t="shared" ref="E173:E181" si="21">D173-C173</f>
        <v>0.16032000000000002</v>
      </c>
    </row>
    <row r="174" spans="1:5" s="421" customFormat="1" x14ac:dyDescent="0.2">
      <c r="A174" s="588">
        <v>2</v>
      </c>
      <c r="B174" s="587" t="s">
        <v>636</v>
      </c>
      <c r="C174" s="617">
        <f t="shared" si="20"/>
        <v>1.5733299999999999</v>
      </c>
      <c r="D174" s="617">
        <f t="shared" si="20"/>
        <v>1.7138199999999997</v>
      </c>
      <c r="E174" s="618">
        <f t="shared" si="21"/>
        <v>0.14048999999999978</v>
      </c>
    </row>
    <row r="175" spans="1:5" s="421" customFormat="1" x14ac:dyDescent="0.2">
      <c r="A175" s="588">
        <v>3</v>
      </c>
      <c r="B175" s="587" t="s">
        <v>778</v>
      </c>
      <c r="C175" s="617">
        <f t="shared" si="20"/>
        <v>1.3605</v>
      </c>
      <c r="D175" s="617">
        <f t="shared" si="20"/>
        <v>1.5228200000000001</v>
      </c>
      <c r="E175" s="618">
        <f t="shared" si="21"/>
        <v>0.16232000000000002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1.3605</v>
      </c>
      <c r="D176" s="617">
        <f t="shared" si="20"/>
        <v>1.5228200000000001</v>
      </c>
      <c r="E176" s="618">
        <f t="shared" si="21"/>
        <v>0.16232000000000002</v>
      </c>
    </row>
    <row r="177" spans="1:5" s="421" customFormat="1" x14ac:dyDescent="0.2">
      <c r="A177" s="588">
        <v>5</v>
      </c>
      <c r="B177" s="587" t="s">
        <v>744</v>
      </c>
      <c r="C177" s="617">
        <f t="shared" si="20"/>
        <v>0</v>
      </c>
      <c r="D177" s="617">
        <f t="shared" si="20"/>
        <v>0</v>
      </c>
      <c r="E177" s="618">
        <f t="shared" si="21"/>
        <v>0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1.3385899999999999</v>
      </c>
      <c r="D178" s="617">
        <f t="shared" si="20"/>
        <v>1.0293000000000001</v>
      </c>
      <c r="E178" s="618">
        <f t="shared" si="21"/>
        <v>-0.30928999999999984</v>
      </c>
    </row>
    <row r="179" spans="1:5" s="421" customFormat="1" x14ac:dyDescent="0.2">
      <c r="A179" s="588">
        <v>7</v>
      </c>
      <c r="B179" s="587" t="s">
        <v>759</v>
      </c>
      <c r="C179" s="617">
        <f t="shared" si="20"/>
        <v>1.0972500000000001</v>
      </c>
      <c r="D179" s="617">
        <f t="shared" si="20"/>
        <v>1.05498</v>
      </c>
      <c r="E179" s="618">
        <f t="shared" si="21"/>
        <v>-4.227000000000003E-2</v>
      </c>
    </row>
    <row r="180" spans="1:5" s="421" customFormat="1" x14ac:dyDescent="0.2">
      <c r="A180" s="588"/>
      <c r="B180" s="592" t="s">
        <v>813</v>
      </c>
      <c r="C180" s="619">
        <f t="shared" si="20"/>
        <v>1.5355064308855291</v>
      </c>
      <c r="D180" s="619">
        <f t="shared" si="20"/>
        <v>1.6803692190252493</v>
      </c>
      <c r="E180" s="620">
        <f t="shared" si="21"/>
        <v>0.1448627881397202</v>
      </c>
    </row>
    <row r="181" spans="1:5" s="421" customFormat="1" x14ac:dyDescent="0.2">
      <c r="A181" s="588"/>
      <c r="B181" s="592" t="s">
        <v>724</v>
      </c>
      <c r="C181" s="619">
        <f t="shared" si="20"/>
        <v>1.5519986544211875</v>
      </c>
      <c r="D181" s="619">
        <f t="shared" si="20"/>
        <v>1.6986523674242422</v>
      </c>
      <c r="E181" s="620">
        <f t="shared" si="21"/>
        <v>0.14665371300305474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814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815</v>
      </c>
      <c r="C185" s="589">
        <v>84821383</v>
      </c>
      <c r="D185" s="589">
        <v>78292359</v>
      </c>
      <c r="E185" s="590">
        <f>D185-C185</f>
        <v>-6529024</v>
      </c>
    </row>
    <row r="186" spans="1:5" s="421" customFormat="1" ht="25.5" x14ac:dyDescent="0.2">
      <c r="A186" s="588">
        <v>2</v>
      </c>
      <c r="B186" s="587" t="s">
        <v>816</v>
      </c>
      <c r="C186" s="589">
        <v>37081867</v>
      </c>
      <c r="D186" s="589">
        <v>33861022</v>
      </c>
      <c r="E186" s="590">
        <f>D186-C186</f>
        <v>-3220845</v>
      </c>
    </row>
    <row r="187" spans="1:5" s="421" customFormat="1" x14ac:dyDescent="0.2">
      <c r="A187" s="588"/>
      <c r="B187" s="587" t="s">
        <v>669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748</v>
      </c>
      <c r="C188" s="622">
        <f>+C185-C186</f>
        <v>47739516</v>
      </c>
      <c r="D188" s="622">
        <f>+D185-D186</f>
        <v>44431337</v>
      </c>
      <c r="E188" s="590">
        <f t="shared" ref="E188:E197" si="22">D188-C188</f>
        <v>-3308179</v>
      </c>
    </row>
    <row r="189" spans="1:5" s="421" customFormat="1" x14ac:dyDescent="0.2">
      <c r="A189" s="588">
        <v>4</v>
      </c>
      <c r="B189" s="587" t="s">
        <v>671</v>
      </c>
      <c r="C189" s="623">
        <f>IF(C185=0,0,+C188/C185)</f>
        <v>0.56282406996358458</v>
      </c>
      <c r="D189" s="623">
        <f>IF(D185=0,0,+D188/D185)</f>
        <v>0.56750540624277268</v>
      </c>
      <c r="E189" s="599">
        <f t="shared" si="22"/>
        <v>4.6813362791880975E-3</v>
      </c>
    </row>
    <row r="190" spans="1:5" s="421" customFormat="1" x14ac:dyDescent="0.2">
      <c r="A190" s="588">
        <v>5</v>
      </c>
      <c r="B190" s="587" t="s">
        <v>763</v>
      </c>
      <c r="C190" s="589">
        <v>0</v>
      </c>
      <c r="D190" s="589">
        <v>0</v>
      </c>
      <c r="E190" s="622">
        <f t="shared" si="22"/>
        <v>0</v>
      </c>
    </row>
    <row r="191" spans="1:5" s="421" customFormat="1" x14ac:dyDescent="0.2">
      <c r="A191" s="588">
        <v>6</v>
      </c>
      <c r="B191" s="587" t="s">
        <v>749</v>
      </c>
      <c r="C191" s="589">
        <v>0</v>
      </c>
      <c r="D191" s="589">
        <v>0</v>
      </c>
      <c r="E191" s="622">
        <f t="shared" si="22"/>
        <v>0</v>
      </c>
    </row>
    <row r="192" spans="1:5" ht="29.25" x14ac:dyDescent="0.2">
      <c r="A192" s="588">
        <v>7</v>
      </c>
      <c r="B192" s="624" t="s">
        <v>817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818</v>
      </c>
      <c r="C193" s="589">
        <v>1188543</v>
      </c>
      <c r="D193" s="589">
        <v>797362</v>
      </c>
      <c r="E193" s="622">
        <f t="shared" si="22"/>
        <v>-391181</v>
      </c>
    </row>
    <row r="194" spans="1:5" s="421" customFormat="1" x14ac:dyDescent="0.2">
      <c r="A194" s="588">
        <v>9</v>
      </c>
      <c r="B194" s="587" t="s">
        <v>819</v>
      </c>
      <c r="C194" s="589">
        <v>2801283</v>
      </c>
      <c r="D194" s="589">
        <v>3610628</v>
      </c>
      <c r="E194" s="622">
        <f t="shared" si="22"/>
        <v>809345</v>
      </c>
    </row>
    <row r="195" spans="1:5" s="421" customFormat="1" x14ac:dyDescent="0.2">
      <c r="A195" s="588">
        <v>10</v>
      </c>
      <c r="B195" s="587" t="s">
        <v>820</v>
      </c>
      <c r="C195" s="589">
        <f>+C193+C194</f>
        <v>3989826</v>
      </c>
      <c r="D195" s="589">
        <f>+D193+D194</f>
        <v>4407990</v>
      </c>
      <c r="E195" s="625">
        <f t="shared" si="22"/>
        <v>418164</v>
      </c>
    </row>
    <row r="196" spans="1:5" s="421" customFormat="1" x14ac:dyDescent="0.2">
      <c r="A196" s="588">
        <v>11</v>
      </c>
      <c r="B196" s="587" t="s">
        <v>821</v>
      </c>
      <c r="C196" s="589">
        <v>6391666</v>
      </c>
      <c r="D196" s="589">
        <v>2225773</v>
      </c>
      <c r="E196" s="622">
        <f t="shared" si="22"/>
        <v>-4165893</v>
      </c>
    </row>
    <row r="197" spans="1:5" s="421" customFormat="1" x14ac:dyDescent="0.2">
      <c r="A197" s="588">
        <v>12</v>
      </c>
      <c r="B197" s="587" t="s">
        <v>711</v>
      </c>
      <c r="C197" s="589">
        <v>72159655</v>
      </c>
      <c r="D197" s="589">
        <v>68867915</v>
      </c>
      <c r="E197" s="622">
        <f t="shared" si="22"/>
        <v>-3291740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822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823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657</v>
      </c>
      <c r="C203" s="629">
        <v>789.47094000000004</v>
      </c>
      <c r="D203" s="629">
        <v>725.88502000000005</v>
      </c>
      <c r="E203" s="630">
        <f t="shared" ref="E203:E211" si="23">D203-C203</f>
        <v>-63.585919999999987</v>
      </c>
    </row>
    <row r="204" spans="1:5" s="421" customFormat="1" x14ac:dyDescent="0.2">
      <c r="A204" s="588">
        <v>2</v>
      </c>
      <c r="B204" s="587" t="s">
        <v>636</v>
      </c>
      <c r="C204" s="629">
        <v>2397.7549199999999</v>
      </c>
      <c r="D204" s="629">
        <v>2447.3349599999997</v>
      </c>
      <c r="E204" s="630">
        <f t="shared" si="23"/>
        <v>49.580039999999826</v>
      </c>
    </row>
    <row r="205" spans="1:5" s="421" customFormat="1" x14ac:dyDescent="0.2">
      <c r="A205" s="588">
        <v>3</v>
      </c>
      <c r="B205" s="587" t="s">
        <v>778</v>
      </c>
      <c r="C205" s="629">
        <f>C206+C207</f>
        <v>431.27850000000001</v>
      </c>
      <c r="D205" s="629">
        <f>D206+D207</f>
        <v>405.07012000000003</v>
      </c>
      <c r="E205" s="630">
        <f t="shared" si="23"/>
        <v>-26.208379999999977</v>
      </c>
    </row>
    <row r="206" spans="1:5" s="421" customFormat="1" x14ac:dyDescent="0.2">
      <c r="A206" s="588">
        <v>4</v>
      </c>
      <c r="B206" s="587" t="s">
        <v>115</v>
      </c>
      <c r="C206" s="629">
        <v>431.27850000000001</v>
      </c>
      <c r="D206" s="629">
        <v>405.07012000000003</v>
      </c>
      <c r="E206" s="630">
        <f t="shared" si="23"/>
        <v>-26.208379999999977</v>
      </c>
    </row>
    <row r="207" spans="1:5" s="421" customFormat="1" x14ac:dyDescent="0.2">
      <c r="A207" s="588">
        <v>5</v>
      </c>
      <c r="B207" s="587" t="s">
        <v>744</v>
      </c>
      <c r="C207" s="629">
        <v>0</v>
      </c>
      <c r="D207" s="629">
        <v>0</v>
      </c>
      <c r="E207" s="630">
        <f t="shared" si="23"/>
        <v>0</v>
      </c>
    </row>
    <row r="208" spans="1:5" s="421" customFormat="1" x14ac:dyDescent="0.2">
      <c r="A208" s="588">
        <v>6</v>
      </c>
      <c r="B208" s="587" t="s">
        <v>424</v>
      </c>
      <c r="C208" s="629">
        <v>14.724489999999999</v>
      </c>
      <c r="D208" s="629">
        <v>9.2637</v>
      </c>
      <c r="E208" s="630">
        <f t="shared" si="23"/>
        <v>-5.4607899999999994</v>
      </c>
    </row>
    <row r="209" spans="1:5" s="421" customFormat="1" x14ac:dyDescent="0.2">
      <c r="A209" s="588">
        <v>7</v>
      </c>
      <c r="B209" s="587" t="s">
        <v>759</v>
      </c>
      <c r="C209" s="629">
        <v>28.528500000000001</v>
      </c>
      <c r="D209" s="629">
        <v>16.87968</v>
      </c>
      <c r="E209" s="630">
        <f t="shared" si="23"/>
        <v>-11.648820000000001</v>
      </c>
    </row>
    <row r="210" spans="1:5" s="421" customFormat="1" x14ac:dyDescent="0.2">
      <c r="A210" s="588"/>
      <c r="B210" s="592" t="s">
        <v>824</v>
      </c>
      <c r="C210" s="631">
        <f>C204+C205+C208</f>
        <v>2843.7579099999998</v>
      </c>
      <c r="D210" s="631">
        <f>D204+D205+D208</f>
        <v>2861.6687799999995</v>
      </c>
      <c r="E210" s="632">
        <f t="shared" si="23"/>
        <v>17.910869999999704</v>
      </c>
    </row>
    <row r="211" spans="1:5" s="421" customFormat="1" x14ac:dyDescent="0.2">
      <c r="A211" s="588"/>
      <c r="B211" s="592" t="s">
        <v>725</v>
      </c>
      <c r="C211" s="631">
        <f>C210+C203</f>
        <v>3633.22885</v>
      </c>
      <c r="D211" s="631">
        <f>D210+D203</f>
        <v>3587.5537999999997</v>
      </c>
      <c r="E211" s="632">
        <f t="shared" si="23"/>
        <v>-45.675050000000283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825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657</v>
      </c>
      <c r="C215" s="633">
        <f>IF(C14*C137=0,0,C25/C14*C137)</f>
        <v>2097.3665642849114</v>
      </c>
      <c r="D215" s="633">
        <f>IF(D14*D137=0,0,D25/D14*D137)</f>
        <v>1905.5943414637954</v>
      </c>
      <c r="E215" s="633">
        <f t="shared" ref="E215:E223" si="24">D215-C215</f>
        <v>-191.77222282111597</v>
      </c>
    </row>
    <row r="216" spans="1:5" s="421" customFormat="1" x14ac:dyDescent="0.2">
      <c r="A216" s="588">
        <v>2</v>
      </c>
      <c r="B216" s="587" t="s">
        <v>636</v>
      </c>
      <c r="C216" s="633">
        <f>IF(C15*C138=0,0,C26/C15*C138)</f>
        <v>1472.7971695492247</v>
      </c>
      <c r="D216" s="633">
        <f>IF(D15*D138=0,0,D26/D15*D138)</f>
        <v>1437.9753720715398</v>
      </c>
      <c r="E216" s="633">
        <f t="shared" si="24"/>
        <v>-34.821797477684868</v>
      </c>
    </row>
    <row r="217" spans="1:5" s="421" customFormat="1" x14ac:dyDescent="0.2">
      <c r="A217" s="588">
        <v>3</v>
      </c>
      <c r="B217" s="587" t="s">
        <v>778</v>
      </c>
      <c r="C217" s="633">
        <f>C218+C219</f>
        <v>1034.4187603239798</v>
      </c>
      <c r="D217" s="633">
        <f>D218+D219</f>
        <v>1040.30123387205</v>
      </c>
      <c r="E217" s="633">
        <f t="shared" si="24"/>
        <v>5.8824735480702657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1034.4187603239798</v>
      </c>
      <c r="D218" s="633">
        <f t="shared" si="25"/>
        <v>1040.30123387205</v>
      </c>
      <c r="E218" s="633">
        <f t="shared" si="24"/>
        <v>5.8824735480702657</v>
      </c>
    </row>
    <row r="219" spans="1:5" s="421" customFormat="1" x14ac:dyDescent="0.2">
      <c r="A219" s="588">
        <v>5</v>
      </c>
      <c r="B219" s="587" t="s">
        <v>744</v>
      </c>
      <c r="C219" s="633">
        <f t="shared" si="25"/>
        <v>0</v>
      </c>
      <c r="D219" s="633">
        <f t="shared" si="25"/>
        <v>0</v>
      </c>
      <c r="E219" s="633">
        <f t="shared" si="24"/>
        <v>0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30.775054644808744</v>
      </c>
      <c r="D220" s="633">
        <f t="shared" si="25"/>
        <v>29.200039509026634</v>
      </c>
      <c r="E220" s="633">
        <f t="shared" si="24"/>
        <v>-1.5750151357821096</v>
      </c>
    </row>
    <row r="221" spans="1:5" s="421" customFormat="1" x14ac:dyDescent="0.2">
      <c r="A221" s="588">
        <v>7</v>
      </c>
      <c r="B221" s="587" t="s">
        <v>759</v>
      </c>
      <c r="C221" s="633">
        <f t="shared" si="25"/>
        <v>110.88656341252366</v>
      </c>
      <c r="D221" s="633">
        <f t="shared" si="25"/>
        <v>102.23671834247919</v>
      </c>
      <c r="E221" s="633">
        <f t="shared" si="24"/>
        <v>-8.6498450700444636</v>
      </c>
    </row>
    <row r="222" spans="1:5" s="421" customFormat="1" x14ac:dyDescent="0.2">
      <c r="A222" s="588"/>
      <c r="B222" s="592" t="s">
        <v>826</v>
      </c>
      <c r="C222" s="634">
        <f>C216+C218+C219+C220</f>
        <v>2537.9909845180132</v>
      </c>
      <c r="D222" s="634">
        <f>D216+D218+D219+D220</f>
        <v>2507.4766454526166</v>
      </c>
      <c r="E222" s="634">
        <f t="shared" si="24"/>
        <v>-30.514339065396598</v>
      </c>
    </row>
    <row r="223" spans="1:5" s="421" customFormat="1" x14ac:dyDescent="0.2">
      <c r="A223" s="588"/>
      <c r="B223" s="592" t="s">
        <v>827</v>
      </c>
      <c r="C223" s="634">
        <f>C215+C222</f>
        <v>4635.3575488029246</v>
      </c>
      <c r="D223" s="634">
        <f>D215+D222</f>
        <v>4413.070986916412</v>
      </c>
      <c r="E223" s="634">
        <f t="shared" si="24"/>
        <v>-222.28656188651257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828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657</v>
      </c>
      <c r="C227" s="636">
        <f t="shared" ref="C227:D235" si="26">IF(C203=0,0,C47/C203)</f>
        <v>8615.2607466463542</v>
      </c>
      <c r="D227" s="636">
        <f t="shared" si="26"/>
        <v>8863.5332356080307</v>
      </c>
      <c r="E227" s="636">
        <f t="shared" ref="E227:E235" si="27">D227-C227</f>
        <v>248.27248896167657</v>
      </c>
    </row>
    <row r="228" spans="1:5" s="421" customFormat="1" x14ac:dyDescent="0.2">
      <c r="A228" s="588">
        <v>2</v>
      </c>
      <c r="B228" s="587" t="s">
        <v>636</v>
      </c>
      <c r="C228" s="636">
        <f t="shared" si="26"/>
        <v>6346.9022096720382</v>
      </c>
      <c r="D228" s="636">
        <f t="shared" si="26"/>
        <v>5811.7034376038182</v>
      </c>
      <c r="E228" s="636">
        <f t="shared" si="27"/>
        <v>-535.19877206822002</v>
      </c>
    </row>
    <row r="229" spans="1:5" s="421" customFormat="1" x14ac:dyDescent="0.2">
      <c r="A229" s="588">
        <v>3</v>
      </c>
      <c r="B229" s="587" t="s">
        <v>778</v>
      </c>
      <c r="C229" s="636">
        <f t="shared" si="26"/>
        <v>3886.5999580317589</v>
      </c>
      <c r="D229" s="636">
        <f t="shared" si="26"/>
        <v>3813.6014574464289</v>
      </c>
      <c r="E229" s="636">
        <f t="shared" si="27"/>
        <v>-72.998500585330021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3886.5999580317589</v>
      </c>
      <c r="D230" s="636">
        <f t="shared" si="26"/>
        <v>3813.6014574464289</v>
      </c>
      <c r="E230" s="636">
        <f t="shared" si="27"/>
        <v>-72.998500585330021</v>
      </c>
    </row>
    <row r="231" spans="1:5" s="421" customFormat="1" x14ac:dyDescent="0.2">
      <c r="A231" s="588">
        <v>5</v>
      </c>
      <c r="B231" s="587" t="s">
        <v>744</v>
      </c>
      <c r="C231" s="636">
        <f t="shared" si="26"/>
        <v>0</v>
      </c>
      <c r="D231" s="636">
        <f t="shared" si="26"/>
        <v>0</v>
      </c>
      <c r="E231" s="636">
        <f t="shared" si="27"/>
        <v>0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6093.3180028646157</v>
      </c>
      <c r="D232" s="636">
        <f t="shared" si="26"/>
        <v>4408.821529194598</v>
      </c>
      <c r="E232" s="636">
        <f t="shared" si="27"/>
        <v>-1684.4964736700176</v>
      </c>
    </row>
    <row r="233" spans="1:5" s="421" customFormat="1" x14ac:dyDescent="0.2">
      <c r="A233" s="588">
        <v>7</v>
      </c>
      <c r="B233" s="587" t="s">
        <v>759</v>
      </c>
      <c r="C233" s="636">
        <f t="shared" si="26"/>
        <v>0.70105333263227998</v>
      </c>
      <c r="D233" s="636">
        <f t="shared" si="26"/>
        <v>632.41720222184301</v>
      </c>
      <c r="E233" s="636">
        <f t="shared" si="27"/>
        <v>631.71614888921079</v>
      </c>
    </row>
    <row r="234" spans="1:5" x14ac:dyDescent="0.2">
      <c r="A234" s="588"/>
      <c r="B234" s="592" t="s">
        <v>829</v>
      </c>
      <c r="C234" s="637">
        <f t="shared" si="26"/>
        <v>5972.4647939528722</v>
      </c>
      <c r="D234" s="637">
        <f t="shared" si="26"/>
        <v>5524.3301078330951</v>
      </c>
      <c r="E234" s="637">
        <f t="shared" si="27"/>
        <v>-448.13468611977714</v>
      </c>
    </row>
    <row r="235" spans="1:5" s="421" customFormat="1" x14ac:dyDescent="0.2">
      <c r="A235" s="588"/>
      <c r="B235" s="592" t="s">
        <v>830</v>
      </c>
      <c r="C235" s="637">
        <f t="shared" si="26"/>
        <v>6546.722758738415</v>
      </c>
      <c r="D235" s="637">
        <f t="shared" si="26"/>
        <v>6199.9652799631886</v>
      </c>
      <c r="E235" s="637">
        <f t="shared" si="27"/>
        <v>-346.75747877522645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831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657</v>
      </c>
      <c r="C239" s="636">
        <f t="shared" ref="C239:D247" si="28">IF(C215=0,0,C58/C215)</f>
        <v>14437.327988168805</v>
      </c>
      <c r="D239" s="636">
        <f t="shared" si="28"/>
        <v>14392.945761442423</v>
      </c>
      <c r="E239" s="638">
        <f t="shared" ref="E239:E247" si="29">D239-C239</f>
        <v>-44.382226726382214</v>
      </c>
    </row>
    <row r="240" spans="1:5" s="421" customFormat="1" x14ac:dyDescent="0.2">
      <c r="A240" s="588">
        <v>2</v>
      </c>
      <c r="B240" s="587" t="s">
        <v>636</v>
      </c>
      <c r="C240" s="636">
        <f t="shared" si="28"/>
        <v>6594.3554216447692</v>
      </c>
      <c r="D240" s="636">
        <f t="shared" si="28"/>
        <v>6582.466698552812</v>
      </c>
      <c r="E240" s="638">
        <f t="shared" si="29"/>
        <v>-11.888723091957218</v>
      </c>
    </row>
    <row r="241" spans="1:5" x14ac:dyDescent="0.2">
      <c r="A241" s="588">
        <v>3</v>
      </c>
      <c r="B241" s="587" t="s">
        <v>778</v>
      </c>
      <c r="C241" s="636">
        <f t="shared" si="28"/>
        <v>5578.1664267117376</v>
      </c>
      <c r="D241" s="636">
        <f t="shared" si="28"/>
        <v>5658.2322584498352</v>
      </c>
      <c r="E241" s="638">
        <f t="shared" si="29"/>
        <v>80.065831738097586</v>
      </c>
    </row>
    <row r="242" spans="1:5" x14ac:dyDescent="0.2">
      <c r="A242" s="588">
        <v>4</v>
      </c>
      <c r="B242" s="587" t="s">
        <v>115</v>
      </c>
      <c r="C242" s="636">
        <f t="shared" si="28"/>
        <v>5578.1664267117376</v>
      </c>
      <c r="D242" s="636">
        <f t="shared" si="28"/>
        <v>5658.2322584498352</v>
      </c>
      <c r="E242" s="638">
        <f t="shared" si="29"/>
        <v>80.065831738097586</v>
      </c>
    </row>
    <row r="243" spans="1:5" x14ac:dyDescent="0.2">
      <c r="A243" s="588">
        <v>5</v>
      </c>
      <c r="B243" s="587" t="s">
        <v>744</v>
      </c>
      <c r="C243" s="636">
        <f t="shared" si="28"/>
        <v>0</v>
      </c>
      <c r="D243" s="636">
        <f t="shared" si="28"/>
        <v>0</v>
      </c>
      <c r="E243" s="638">
        <f t="shared" si="29"/>
        <v>0</v>
      </c>
    </row>
    <row r="244" spans="1:5" x14ac:dyDescent="0.2">
      <c r="A244" s="588">
        <v>6</v>
      </c>
      <c r="B244" s="587" t="s">
        <v>424</v>
      </c>
      <c r="C244" s="636">
        <f t="shared" si="28"/>
        <v>6626.5357561079118</v>
      </c>
      <c r="D244" s="636">
        <f t="shared" si="28"/>
        <v>6307.7654378879215</v>
      </c>
      <c r="E244" s="638">
        <f t="shared" si="29"/>
        <v>-318.77031821999026</v>
      </c>
    </row>
    <row r="245" spans="1:5" x14ac:dyDescent="0.2">
      <c r="A245" s="588">
        <v>7</v>
      </c>
      <c r="B245" s="587" t="s">
        <v>759</v>
      </c>
      <c r="C245" s="636">
        <f t="shared" si="28"/>
        <v>2228.2591541843567</v>
      </c>
      <c r="D245" s="636">
        <f t="shared" si="28"/>
        <v>1819.4441587696333</v>
      </c>
      <c r="E245" s="638">
        <f t="shared" si="29"/>
        <v>-408.8149954147234</v>
      </c>
    </row>
    <row r="246" spans="1:5" ht="25.5" x14ac:dyDescent="0.2">
      <c r="A246" s="588"/>
      <c r="B246" s="592" t="s">
        <v>832</v>
      </c>
      <c r="C246" s="637">
        <f t="shared" si="28"/>
        <v>6180.57357007474</v>
      </c>
      <c r="D246" s="637">
        <f t="shared" si="28"/>
        <v>6195.8216153976055</v>
      </c>
      <c r="E246" s="639">
        <f t="shared" si="29"/>
        <v>15.248045322865437</v>
      </c>
    </row>
    <row r="247" spans="1:5" x14ac:dyDescent="0.2">
      <c r="A247" s="588"/>
      <c r="B247" s="592" t="s">
        <v>833</v>
      </c>
      <c r="C247" s="637">
        <f t="shared" si="28"/>
        <v>9916.5185244169188</v>
      </c>
      <c r="D247" s="637">
        <f t="shared" si="28"/>
        <v>9735.396082993886</v>
      </c>
      <c r="E247" s="639">
        <f t="shared" si="29"/>
        <v>-181.1224414230328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761</v>
      </c>
      <c r="B249" s="626" t="s">
        <v>758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1051164.9603934975</v>
      </c>
      <c r="D251" s="622">
        <f>((IF((IF(D15=0,0,D26/D15)*D138)=0,0,D59/(IF(D15=0,0,D26/D15)*D138)))-(IF((IF(D17=0,0,D28/D17)*D140)=0,0,D61/(IF(D17=0,0,D28/D17)*D140))))*(IF(D17=0,0,D28/D17)*D140)</f>
        <v>961482.22842617007</v>
      </c>
      <c r="E251" s="622">
        <f>D251-C251</f>
        <v>-89682.731967327418</v>
      </c>
    </row>
    <row r="252" spans="1:5" x14ac:dyDescent="0.2">
      <c r="A252" s="588">
        <v>2</v>
      </c>
      <c r="B252" s="587" t="s">
        <v>744</v>
      </c>
      <c r="C252" s="622">
        <f>IF(C231=0,0,(C228-C231)*C207)+IF(C243=0,0,(C240-C243)*C219)</f>
        <v>0</v>
      </c>
      <c r="D252" s="622">
        <f>IF(D231=0,0,(D228-D231)*D207)+IF(D243=0,0,(D240-D243)*D219)</f>
        <v>0</v>
      </c>
      <c r="E252" s="622">
        <f>D252-C252</f>
        <v>0</v>
      </c>
    </row>
    <row r="253" spans="1:5" x14ac:dyDescent="0.2">
      <c r="A253" s="588">
        <v>3</v>
      </c>
      <c r="B253" s="587" t="s">
        <v>759</v>
      </c>
      <c r="C253" s="622">
        <f>IF(C233=0,0,(C228-C233)*C209+IF(C221=0,0,(C240-C245)*C221))</f>
        <v>665189.01031556062</v>
      </c>
      <c r="D253" s="622">
        <f>IF(D233=0,0,(D228-D233)*D209+IF(D221=0,0,(D240-D245)*D221))</f>
        <v>574380.48814034509</v>
      </c>
      <c r="E253" s="622">
        <f>D253-C253</f>
        <v>-90808.522175215534</v>
      </c>
    </row>
    <row r="254" spans="1:5" ht="15" customHeight="1" x14ac:dyDescent="0.2">
      <c r="A254" s="588"/>
      <c r="B254" s="592" t="s">
        <v>760</v>
      </c>
      <c r="C254" s="640">
        <f>+C251+C252+C253</f>
        <v>1716353.970709058</v>
      </c>
      <c r="D254" s="640">
        <f>+D251+D252+D253</f>
        <v>1535862.7165665152</v>
      </c>
      <c r="E254" s="640">
        <f>D254-C254</f>
        <v>-180491.25414254284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834</v>
      </c>
      <c r="B256" s="626" t="s">
        <v>835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726</v>
      </c>
      <c r="C258" s="622">
        <f>+C44</f>
        <v>227300072</v>
      </c>
      <c r="D258" s="625">
        <f>+D44</f>
        <v>227496962</v>
      </c>
      <c r="E258" s="622">
        <f t="shared" ref="E258:E271" si="30">D258-C258</f>
        <v>196890</v>
      </c>
    </row>
    <row r="259" spans="1:5" x14ac:dyDescent="0.2">
      <c r="A259" s="588">
        <v>2</v>
      </c>
      <c r="B259" s="587" t="s">
        <v>743</v>
      </c>
      <c r="C259" s="622">
        <f>+(C43-C76)</f>
        <v>109808205</v>
      </c>
      <c r="D259" s="625">
        <f>+(D43-D76)</f>
        <v>117859922</v>
      </c>
      <c r="E259" s="622">
        <f t="shared" si="30"/>
        <v>8051717</v>
      </c>
    </row>
    <row r="260" spans="1:5" x14ac:dyDescent="0.2">
      <c r="A260" s="588">
        <v>3</v>
      </c>
      <c r="B260" s="587" t="s">
        <v>747</v>
      </c>
      <c r="C260" s="622">
        <f>C195</f>
        <v>3989826</v>
      </c>
      <c r="D260" s="622">
        <f>D195</f>
        <v>4407990</v>
      </c>
      <c r="E260" s="622">
        <f t="shared" si="30"/>
        <v>418164</v>
      </c>
    </row>
    <row r="261" spans="1:5" x14ac:dyDescent="0.2">
      <c r="A261" s="588">
        <v>4</v>
      </c>
      <c r="B261" s="587" t="s">
        <v>748</v>
      </c>
      <c r="C261" s="622">
        <f>C188</f>
        <v>47739516</v>
      </c>
      <c r="D261" s="622">
        <f>D188</f>
        <v>44431337</v>
      </c>
      <c r="E261" s="622">
        <f t="shared" si="30"/>
        <v>-3308179</v>
      </c>
    </row>
    <row r="262" spans="1:5" x14ac:dyDescent="0.2">
      <c r="A262" s="588">
        <v>5</v>
      </c>
      <c r="B262" s="587" t="s">
        <v>749</v>
      </c>
      <c r="C262" s="622">
        <f>C191</f>
        <v>0</v>
      </c>
      <c r="D262" s="622">
        <f>D191</f>
        <v>0</v>
      </c>
      <c r="E262" s="622">
        <f t="shared" si="30"/>
        <v>0</v>
      </c>
    </row>
    <row r="263" spans="1:5" x14ac:dyDescent="0.2">
      <c r="A263" s="588">
        <v>6</v>
      </c>
      <c r="B263" s="587" t="s">
        <v>750</v>
      </c>
      <c r="C263" s="622">
        <f>+C259+C260+C261+C262</f>
        <v>161537547</v>
      </c>
      <c r="D263" s="622">
        <f>+D259+D260+D261+D262</f>
        <v>166699249</v>
      </c>
      <c r="E263" s="622">
        <f t="shared" si="30"/>
        <v>5161702</v>
      </c>
    </row>
    <row r="264" spans="1:5" x14ac:dyDescent="0.2">
      <c r="A264" s="588">
        <v>7</v>
      </c>
      <c r="B264" s="587" t="s">
        <v>655</v>
      </c>
      <c r="C264" s="622">
        <f>+C258-C263</f>
        <v>65762525</v>
      </c>
      <c r="D264" s="622">
        <f>+D258-D263</f>
        <v>60797713</v>
      </c>
      <c r="E264" s="622">
        <f t="shared" si="30"/>
        <v>-4964812</v>
      </c>
    </row>
    <row r="265" spans="1:5" x14ac:dyDescent="0.2">
      <c r="A265" s="588">
        <v>8</v>
      </c>
      <c r="B265" s="587" t="s">
        <v>836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837</v>
      </c>
      <c r="C266" s="622">
        <f>+C264+C265</f>
        <v>65762525</v>
      </c>
      <c r="D266" s="622">
        <f>+D264+D265</f>
        <v>60797713</v>
      </c>
      <c r="E266" s="641">
        <f t="shared" si="30"/>
        <v>-4964812</v>
      </c>
    </row>
    <row r="267" spans="1:5" x14ac:dyDescent="0.2">
      <c r="A267" s="588">
        <v>10</v>
      </c>
      <c r="B267" s="587" t="s">
        <v>838</v>
      </c>
      <c r="C267" s="642">
        <f>IF(C258=0,0,C266/C258)</f>
        <v>0.28932029990734009</v>
      </c>
      <c r="D267" s="642">
        <f>IF(D258=0,0,D266/D258)</f>
        <v>0.26724626327097939</v>
      </c>
      <c r="E267" s="643">
        <f t="shared" si="30"/>
        <v>-2.2074036636360705E-2</v>
      </c>
    </row>
    <row r="268" spans="1:5" x14ac:dyDescent="0.2">
      <c r="A268" s="588">
        <v>11</v>
      </c>
      <c r="B268" s="587" t="s">
        <v>717</v>
      </c>
      <c r="C268" s="622">
        <f>+C260*C267</f>
        <v>1154337.6548981031</v>
      </c>
      <c r="D268" s="644">
        <f>+D260*D267</f>
        <v>1178018.8560358444</v>
      </c>
      <c r="E268" s="622">
        <f t="shared" si="30"/>
        <v>23681.201137741329</v>
      </c>
    </row>
    <row r="269" spans="1:5" x14ac:dyDescent="0.2">
      <c r="A269" s="588">
        <v>12</v>
      </c>
      <c r="B269" s="587" t="s">
        <v>839</v>
      </c>
      <c r="C269" s="622">
        <f>((C17+C18+C28+C29)*C267)-(C50+C51+C61+C62)</f>
        <v>4448462.8298949711</v>
      </c>
      <c r="D269" s="644">
        <f>((D17+D18+D28+D29)*D267)-(D50+D51+D61+D62)</f>
        <v>4528017.1568283439</v>
      </c>
      <c r="E269" s="622">
        <f t="shared" si="30"/>
        <v>79554.326933372766</v>
      </c>
    </row>
    <row r="270" spans="1:5" s="648" customFormat="1" x14ac:dyDescent="0.2">
      <c r="A270" s="645">
        <v>13</v>
      </c>
      <c r="B270" s="646" t="s">
        <v>840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841</v>
      </c>
      <c r="C271" s="622">
        <f>+C268+C269+C270</f>
        <v>5602800.4847930744</v>
      </c>
      <c r="D271" s="622">
        <f>+D268+D269+D270</f>
        <v>5706036.0128641883</v>
      </c>
      <c r="E271" s="625">
        <f t="shared" si="30"/>
        <v>103235.52807111386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842</v>
      </c>
      <c r="B273" s="626" t="s">
        <v>843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844</v>
      </c>
      <c r="C275" s="425"/>
      <c r="D275" s="425"/>
      <c r="E275" s="596"/>
    </row>
    <row r="276" spans="1:5" x14ac:dyDescent="0.2">
      <c r="A276" s="588">
        <v>1</v>
      </c>
      <c r="B276" s="587" t="s">
        <v>657</v>
      </c>
      <c r="C276" s="623">
        <f t="shared" ref="C276:D284" si="31">IF(C14=0,0,+C47/C14)</f>
        <v>0.42411188550603207</v>
      </c>
      <c r="D276" s="623">
        <f t="shared" si="31"/>
        <v>0.46505777744238774</v>
      </c>
      <c r="E276" s="650">
        <f t="shared" ref="E276:E284" si="32">D276-C276</f>
        <v>4.0945891936355672E-2</v>
      </c>
    </row>
    <row r="277" spans="1:5" x14ac:dyDescent="0.2">
      <c r="A277" s="588">
        <v>2</v>
      </c>
      <c r="B277" s="587" t="s">
        <v>636</v>
      </c>
      <c r="C277" s="623">
        <f t="shared" si="31"/>
        <v>0.29932604652729888</v>
      </c>
      <c r="D277" s="623">
        <f t="shared" si="31"/>
        <v>0.27710038355392136</v>
      </c>
      <c r="E277" s="650">
        <f t="shared" si="32"/>
        <v>-2.2225662973377525E-2</v>
      </c>
    </row>
    <row r="278" spans="1:5" x14ac:dyDescent="0.2">
      <c r="A278" s="588">
        <v>3</v>
      </c>
      <c r="B278" s="587" t="s">
        <v>778</v>
      </c>
      <c r="C278" s="623">
        <f t="shared" si="31"/>
        <v>0.17381169890323431</v>
      </c>
      <c r="D278" s="623">
        <f t="shared" si="31"/>
        <v>0.16952815722290829</v>
      </c>
      <c r="E278" s="650">
        <f t="shared" si="32"/>
        <v>-4.2835416803260196E-3</v>
      </c>
    </row>
    <row r="279" spans="1:5" x14ac:dyDescent="0.2">
      <c r="A279" s="588">
        <v>4</v>
      </c>
      <c r="B279" s="587" t="s">
        <v>115</v>
      </c>
      <c r="C279" s="623">
        <f t="shared" si="31"/>
        <v>0.17381169890323431</v>
      </c>
      <c r="D279" s="623">
        <f t="shared" si="31"/>
        <v>0.16952815722290829</v>
      </c>
      <c r="E279" s="650">
        <f t="shared" si="32"/>
        <v>-4.2835416803260196E-3</v>
      </c>
    </row>
    <row r="280" spans="1:5" x14ac:dyDescent="0.2">
      <c r="A280" s="588">
        <v>5</v>
      </c>
      <c r="B280" s="587" t="s">
        <v>744</v>
      </c>
      <c r="C280" s="623">
        <f t="shared" si="31"/>
        <v>0</v>
      </c>
      <c r="D280" s="623">
        <f t="shared" si="31"/>
        <v>0</v>
      </c>
      <c r="E280" s="650">
        <f t="shared" si="32"/>
        <v>0</v>
      </c>
    </row>
    <row r="281" spans="1:5" x14ac:dyDescent="0.2">
      <c r="A281" s="588">
        <v>6</v>
      </c>
      <c r="B281" s="587" t="s">
        <v>424</v>
      </c>
      <c r="C281" s="623">
        <f t="shared" si="31"/>
        <v>0.24513934426229508</v>
      </c>
      <c r="D281" s="623">
        <f t="shared" si="31"/>
        <v>0.1204199750562414</v>
      </c>
      <c r="E281" s="650">
        <f t="shared" si="32"/>
        <v>-0.12471936920605368</v>
      </c>
    </row>
    <row r="282" spans="1:5" x14ac:dyDescent="0.2">
      <c r="A282" s="588">
        <v>7</v>
      </c>
      <c r="B282" s="587" t="s">
        <v>759</v>
      </c>
      <c r="C282" s="623">
        <f t="shared" si="31"/>
        <v>2.4936598697810816E-5</v>
      </c>
      <c r="D282" s="623">
        <f t="shared" si="31"/>
        <v>2.2273457550023995E-2</v>
      </c>
      <c r="E282" s="650">
        <f t="shared" si="32"/>
        <v>2.2248520951326185E-2</v>
      </c>
    </row>
    <row r="283" spans="1:5" ht="29.25" customHeight="1" x14ac:dyDescent="0.2">
      <c r="A283" s="588"/>
      <c r="B283" s="592" t="s">
        <v>845</v>
      </c>
      <c r="C283" s="651">
        <f t="shared" si="31"/>
        <v>0.27910856856747268</v>
      </c>
      <c r="D283" s="651">
        <f t="shared" si="31"/>
        <v>0.26009872752733548</v>
      </c>
      <c r="E283" s="652">
        <f t="shared" si="32"/>
        <v>-1.9009841040137199E-2</v>
      </c>
    </row>
    <row r="284" spans="1:5" x14ac:dyDescent="0.2">
      <c r="A284" s="588"/>
      <c r="B284" s="592" t="s">
        <v>846</v>
      </c>
      <c r="C284" s="651">
        <f t="shared" si="31"/>
        <v>0.30935255784510779</v>
      </c>
      <c r="D284" s="651">
        <f t="shared" si="31"/>
        <v>0.29810110875415652</v>
      </c>
      <c r="E284" s="652">
        <f t="shared" si="32"/>
        <v>-1.1251449090951271E-2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847</v>
      </c>
      <c r="C286" s="596"/>
      <c r="D286" s="596"/>
      <c r="E286" s="596"/>
    </row>
    <row r="287" spans="1:5" x14ac:dyDescent="0.2">
      <c r="A287" s="588">
        <v>1</v>
      </c>
      <c r="B287" s="587" t="s">
        <v>657</v>
      </c>
      <c r="C287" s="623">
        <f t="shared" ref="C287:D295" si="33">IF(C25=0,0,+C58/C25)</f>
        <v>0.44022180569980268</v>
      </c>
      <c r="D287" s="623">
        <f t="shared" si="33"/>
        <v>0.4255055185708474</v>
      </c>
      <c r="E287" s="650">
        <f t="shared" ref="E287:E295" si="34">D287-C287</f>
        <v>-1.4716287128955285E-2</v>
      </c>
    </row>
    <row r="288" spans="1:5" x14ac:dyDescent="0.2">
      <c r="A288" s="588">
        <v>2</v>
      </c>
      <c r="B288" s="587" t="s">
        <v>636</v>
      </c>
      <c r="C288" s="623">
        <f t="shared" si="33"/>
        <v>0.1976674819172729</v>
      </c>
      <c r="D288" s="623">
        <f t="shared" si="33"/>
        <v>0.18312900935852663</v>
      </c>
      <c r="E288" s="650">
        <f t="shared" si="34"/>
        <v>-1.4538472558746268E-2</v>
      </c>
    </row>
    <row r="289" spans="1:5" x14ac:dyDescent="0.2">
      <c r="A289" s="588">
        <v>3</v>
      </c>
      <c r="B289" s="587" t="s">
        <v>778</v>
      </c>
      <c r="C289" s="623">
        <f t="shared" si="33"/>
        <v>0.18335893772975834</v>
      </c>
      <c r="D289" s="623">
        <f t="shared" si="33"/>
        <v>0.16517287748203055</v>
      </c>
      <c r="E289" s="650">
        <f t="shared" si="34"/>
        <v>-1.8186060247727787E-2</v>
      </c>
    </row>
    <row r="290" spans="1:5" x14ac:dyDescent="0.2">
      <c r="A290" s="588">
        <v>4</v>
      </c>
      <c r="B290" s="587" t="s">
        <v>115</v>
      </c>
      <c r="C290" s="623">
        <f t="shared" si="33"/>
        <v>0.18335893772975834</v>
      </c>
      <c r="D290" s="623">
        <f t="shared" si="33"/>
        <v>0.16517287748203055</v>
      </c>
      <c r="E290" s="650">
        <f t="shared" si="34"/>
        <v>-1.8186060247727787E-2</v>
      </c>
    </row>
    <row r="291" spans="1:5" x14ac:dyDescent="0.2">
      <c r="A291" s="588">
        <v>5</v>
      </c>
      <c r="B291" s="587" t="s">
        <v>744</v>
      </c>
      <c r="C291" s="623">
        <f t="shared" si="33"/>
        <v>0</v>
      </c>
      <c r="D291" s="623">
        <f t="shared" si="33"/>
        <v>0</v>
      </c>
      <c r="E291" s="650">
        <f t="shared" si="34"/>
        <v>0</v>
      </c>
    </row>
    <row r="292" spans="1:5" x14ac:dyDescent="0.2">
      <c r="A292" s="588">
        <v>6</v>
      </c>
      <c r="B292" s="587" t="s">
        <v>424</v>
      </c>
      <c r="C292" s="623">
        <f t="shared" si="33"/>
        <v>0.19915817846225964</v>
      </c>
      <c r="D292" s="623">
        <f t="shared" si="33"/>
        <v>0.16738231747269394</v>
      </c>
      <c r="E292" s="650">
        <f t="shared" si="34"/>
        <v>-3.1775860989565696E-2</v>
      </c>
    </row>
    <row r="293" spans="1:5" x14ac:dyDescent="0.2">
      <c r="A293" s="588">
        <v>7</v>
      </c>
      <c r="B293" s="587" t="s">
        <v>759</v>
      </c>
      <c r="C293" s="623">
        <f t="shared" si="33"/>
        <v>7.2234765619404256E-2</v>
      </c>
      <c r="D293" s="623">
        <f t="shared" si="33"/>
        <v>6.0740514825284572E-2</v>
      </c>
      <c r="E293" s="650">
        <f t="shared" si="34"/>
        <v>-1.1494250794119684E-2</v>
      </c>
    </row>
    <row r="294" spans="1:5" ht="29.25" customHeight="1" x14ac:dyDescent="0.2">
      <c r="A294" s="588"/>
      <c r="B294" s="592" t="s">
        <v>848</v>
      </c>
      <c r="C294" s="651">
        <f t="shared" si="33"/>
        <v>0.19216988430119064</v>
      </c>
      <c r="D294" s="651">
        <f t="shared" si="33"/>
        <v>0.17569634529506575</v>
      </c>
      <c r="E294" s="652">
        <f t="shared" si="34"/>
        <v>-1.6473539006124888E-2</v>
      </c>
    </row>
    <row r="295" spans="1:5" x14ac:dyDescent="0.2">
      <c r="A295" s="588"/>
      <c r="B295" s="592" t="s">
        <v>849</v>
      </c>
      <c r="C295" s="651">
        <f t="shared" si="33"/>
        <v>0.30560611248804675</v>
      </c>
      <c r="D295" s="651">
        <f t="shared" si="33"/>
        <v>0.28102003819081361</v>
      </c>
      <c r="E295" s="652">
        <f t="shared" si="34"/>
        <v>-2.458607429723314E-2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850</v>
      </c>
      <c r="B297" s="579" t="s">
        <v>851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852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655</v>
      </c>
      <c r="C301" s="590">
        <f>+C48+C47+C50+C51+C52+C59+C58+C61+C62+C63</f>
        <v>69752351</v>
      </c>
      <c r="D301" s="590">
        <f>+D48+D47+D50+D51+D52+D59+D58+D61+D62+D63</f>
        <v>65205703</v>
      </c>
      <c r="E301" s="590">
        <f>D301-C301</f>
        <v>-4546648</v>
      </c>
    </row>
    <row r="302" spans="1:5" ht="25.5" x14ac:dyDescent="0.2">
      <c r="A302" s="588">
        <v>2</v>
      </c>
      <c r="B302" s="587" t="s">
        <v>853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854</v>
      </c>
      <c r="C303" s="593">
        <f>+C301+C302</f>
        <v>69752351</v>
      </c>
      <c r="D303" s="593">
        <f>+D301+D302</f>
        <v>65205703</v>
      </c>
      <c r="E303" s="593">
        <f>D303-C303</f>
        <v>-4546648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855</v>
      </c>
      <c r="C305" s="589">
        <v>-1223668</v>
      </c>
      <c r="D305" s="654">
        <v>-2203222</v>
      </c>
      <c r="E305" s="655">
        <f>D305-C305</f>
        <v>-979554</v>
      </c>
    </row>
    <row r="306" spans="1:5" x14ac:dyDescent="0.2">
      <c r="A306" s="588">
        <v>4</v>
      </c>
      <c r="B306" s="592" t="s">
        <v>856</v>
      </c>
      <c r="C306" s="593">
        <f>+C303+C305+C194+C190-C191</f>
        <v>71329966</v>
      </c>
      <c r="D306" s="593">
        <f>+D303+D305</f>
        <v>63002481</v>
      </c>
      <c r="E306" s="656">
        <f>D306-C306</f>
        <v>-8327485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857</v>
      </c>
      <c r="C308" s="589">
        <v>68528682</v>
      </c>
      <c r="D308" s="589">
        <v>63002481</v>
      </c>
      <c r="E308" s="590">
        <f>D308-C308</f>
        <v>-5526201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858</v>
      </c>
      <c r="C310" s="657">
        <f>C306-C308</f>
        <v>2801284</v>
      </c>
      <c r="D310" s="658">
        <f>D306-D308</f>
        <v>0</v>
      </c>
      <c r="E310" s="656">
        <f>D310-C310</f>
        <v>-2801284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859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860</v>
      </c>
      <c r="C314" s="590">
        <f>+C14+C15+C16+C19+C25+C26+C27+C30</f>
        <v>227300072</v>
      </c>
      <c r="D314" s="590">
        <f>+D14+D15+D16+D19+D25+D26+D27+D30</f>
        <v>227496962</v>
      </c>
      <c r="E314" s="590">
        <f>D314-C314</f>
        <v>196890</v>
      </c>
    </row>
    <row r="315" spans="1:5" x14ac:dyDescent="0.2">
      <c r="A315" s="588">
        <v>2</v>
      </c>
      <c r="B315" s="659" t="s">
        <v>861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862</v>
      </c>
      <c r="C316" s="657">
        <f>C314+C315</f>
        <v>227300072</v>
      </c>
      <c r="D316" s="657">
        <f>D314+D315</f>
        <v>227496962</v>
      </c>
      <c r="E316" s="593">
        <f>D316-C316</f>
        <v>196890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863</v>
      </c>
      <c r="C318" s="589">
        <v>227300072</v>
      </c>
      <c r="D318" s="589">
        <v>227496962</v>
      </c>
      <c r="E318" s="590">
        <f>D318-C318</f>
        <v>196890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858</v>
      </c>
      <c r="C320" s="657">
        <f>C316-C318</f>
        <v>0</v>
      </c>
      <c r="D320" s="657">
        <f>D316-D318</f>
        <v>0</v>
      </c>
      <c r="E320" s="593">
        <f>D320-C320</f>
        <v>0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864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865</v>
      </c>
      <c r="C324" s="589">
        <f>+C193+C194</f>
        <v>3989826</v>
      </c>
      <c r="D324" s="589">
        <f>+D193+D194</f>
        <v>4407990</v>
      </c>
      <c r="E324" s="590">
        <f>D324-C324</f>
        <v>418164</v>
      </c>
    </row>
    <row r="325" spans="1:5" x14ac:dyDescent="0.2">
      <c r="A325" s="588">
        <v>2</v>
      </c>
      <c r="B325" s="587" t="s">
        <v>866</v>
      </c>
      <c r="C325" s="589">
        <v>0</v>
      </c>
      <c r="D325" s="589">
        <v>0</v>
      </c>
      <c r="E325" s="590">
        <f>D325-C325</f>
        <v>0</v>
      </c>
    </row>
    <row r="326" spans="1:5" x14ac:dyDescent="0.2">
      <c r="A326" s="588"/>
      <c r="B326" s="592" t="s">
        <v>867</v>
      </c>
      <c r="C326" s="657">
        <f>C324+C325</f>
        <v>3989826</v>
      </c>
      <c r="D326" s="657">
        <f>D324+D325</f>
        <v>4407990</v>
      </c>
      <c r="E326" s="593">
        <f>D326-C326</f>
        <v>418164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868</v>
      </c>
      <c r="C328" s="589">
        <v>3989826</v>
      </c>
      <c r="D328" s="589">
        <v>4407990</v>
      </c>
      <c r="E328" s="590">
        <f>D328-C328</f>
        <v>418164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869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6" fitToHeight="0" orientation="portrait" horizontalDpi="1200" verticalDpi="1200" r:id="rId1"/>
  <headerFooter>
    <oddHeader>_x000D_
                &amp;LOFFICE OF HEALTH CARE ACCESS&amp;CTWELVE MONTHS ACTUAL FILING&amp;RROCKVILLE GENERAL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630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870</v>
      </c>
      <c r="B5" s="824"/>
      <c r="C5" s="825"/>
      <c r="D5" s="661"/>
    </row>
    <row r="6" spans="1:58" s="662" customFormat="1" ht="15.75" customHeight="1" x14ac:dyDescent="0.25">
      <c r="A6" s="823" t="s">
        <v>871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872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873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777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657</v>
      </c>
      <c r="C14" s="589">
        <v>13834638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636</v>
      </c>
      <c r="C15" s="591">
        <v>51328637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778</v>
      </c>
      <c r="C16" s="591">
        <v>9112209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9112209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744</v>
      </c>
      <c r="C18" s="591">
        <v>0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339163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759</v>
      </c>
      <c r="C20" s="591">
        <v>479270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779</v>
      </c>
      <c r="C21" s="593">
        <f>SUM(C15+C16+C19)</f>
        <v>60780009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74614647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780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657</v>
      </c>
      <c r="C25" s="589">
        <v>64457721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636</v>
      </c>
      <c r="C26" s="591">
        <v>51687196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778</v>
      </c>
      <c r="C27" s="591">
        <v>35637001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35637001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744</v>
      </c>
      <c r="C29" s="591">
        <v>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1100397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759</v>
      </c>
      <c r="C31" s="594">
        <v>3062437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781</v>
      </c>
      <c r="C32" s="593">
        <f>SUM(C26+C27+C30)</f>
        <v>88424594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152882315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654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874</v>
      </c>
      <c r="C36" s="590">
        <f>SUM(C14+C25)</f>
        <v>78292359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875</v>
      </c>
      <c r="C37" s="594">
        <f>SUM(C21+C32)</f>
        <v>149204603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654</v>
      </c>
      <c r="C38" s="593">
        <f>SUM(+C36+C37)</f>
        <v>227496962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790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657</v>
      </c>
      <c r="C41" s="589">
        <v>6433906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636</v>
      </c>
      <c r="C42" s="591">
        <v>14223185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778</v>
      </c>
      <c r="C43" s="591">
        <v>1544776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1544776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744</v>
      </c>
      <c r="C45" s="591">
        <v>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40842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759</v>
      </c>
      <c r="C47" s="591">
        <v>10675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791</v>
      </c>
      <c r="C48" s="593">
        <f>SUM(C42+C43+C46)</f>
        <v>15808803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22242709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792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657</v>
      </c>
      <c r="C52" s="589">
        <v>27427116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636</v>
      </c>
      <c r="C53" s="591">
        <v>9465425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778</v>
      </c>
      <c r="C54" s="591">
        <v>5886266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5886266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744</v>
      </c>
      <c r="C56" s="591">
        <v>0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184187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759</v>
      </c>
      <c r="C58" s="591">
        <v>186014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793</v>
      </c>
      <c r="C59" s="593">
        <f>SUM(C53+C54+C57)</f>
        <v>15535878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42962994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655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876</v>
      </c>
      <c r="C63" s="590">
        <f>SUM(C41+C52)</f>
        <v>33861022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877</v>
      </c>
      <c r="C64" s="594">
        <f>SUM(C48+C59)</f>
        <v>31344681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655</v>
      </c>
      <c r="C65" s="593">
        <f>SUM(+C63+C64)</f>
        <v>65205703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878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879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657</v>
      </c>
      <c r="C70" s="606">
        <v>409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636</v>
      </c>
      <c r="C71" s="606">
        <v>1428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778</v>
      </c>
      <c r="C72" s="606">
        <v>266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266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744</v>
      </c>
      <c r="C74" s="606">
        <v>0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9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759</v>
      </c>
      <c r="C76" s="621">
        <v>16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808</v>
      </c>
      <c r="C77" s="608">
        <f>SUM(C71+C72+C75)</f>
        <v>1703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2112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812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657</v>
      </c>
      <c r="C81" s="617">
        <v>1.77478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636</v>
      </c>
      <c r="C82" s="617">
        <v>1.7138199999999999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778</v>
      </c>
      <c r="C83" s="617">
        <f>((C73*C84)+(C74*C85))/(C73+C74)</f>
        <v>1.5228200000000001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1.5228200000000001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744</v>
      </c>
      <c r="C85" s="617">
        <v>0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1.0293000000000001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759</v>
      </c>
      <c r="C87" s="617">
        <v>1.05498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813</v>
      </c>
      <c r="C88" s="619">
        <f>((C71*C82)+(C73*C84)+(C74*C85)+(C75*C86))/(C71+C73+C74+C75)</f>
        <v>1.6803692190252493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724</v>
      </c>
      <c r="C89" s="619">
        <f>((C70*C81)+(C71*C82)+(C73*C84)+(C74*C85)+(C75*C86))/(C70+C71+C73+C74+C75)</f>
        <v>1.6986523674242422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814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815</v>
      </c>
      <c r="C92" s="589">
        <v>78292359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816</v>
      </c>
      <c r="C93" s="622">
        <v>33861022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669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748</v>
      </c>
      <c r="C95" s="589">
        <f>+C92-C93</f>
        <v>44431337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671</v>
      </c>
      <c r="C96" s="681">
        <f>(+C92-C93)/C92</f>
        <v>0.56750540624277268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763</v>
      </c>
      <c r="C98" s="589">
        <v>0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749</v>
      </c>
      <c r="C99" s="589">
        <v>0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880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818</v>
      </c>
      <c r="C103" s="589">
        <v>797362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819</v>
      </c>
      <c r="C104" s="589">
        <v>3610628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820</v>
      </c>
      <c r="C105" s="654">
        <f>+C103+C104</f>
        <v>4407990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821</v>
      </c>
      <c r="C107" s="589">
        <v>2225773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711</v>
      </c>
      <c r="C108" s="589">
        <v>68867915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851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852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655</v>
      </c>
      <c r="C114" s="590">
        <f>+C65</f>
        <v>65205703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853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854</v>
      </c>
      <c r="C116" s="593">
        <f>+C114+C115</f>
        <v>65205703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855</v>
      </c>
      <c r="C118" s="654">
        <v>-2203222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856</v>
      </c>
      <c r="C119" s="656">
        <f>+C116+C118</f>
        <v>63002481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857</v>
      </c>
      <c r="C121" s="589">
        <v>63002481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858</v>
      </c>
      <c r="C123" s="658">
        <f>C119-C121</f>
        <v>0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859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860</v>
      </c>
      <c r="C127" s="590">
        <f>C38</f>
        <v>227496962</v>
      </c>
      <c r="D127" s="664"/>
      <c r="AR127" s="485"/>
    </row>
    <row r="128" spans="1:58" s="421" customFormat="1" ht="12.75" x14ac:dyDescent="0.2">
      <c r="A128" s="588">
        <v>2</v>
      </c>
      <c r="B128" s="659" t="s">
        <v>861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862</v>
      </c>
      <c r="C129" s="657">
        <f>C127+C128</f>
        <v>227496962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863</v>
      </c>
      <c r="C131" s="589">
        <v>227496962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858</v>
      </c>
      <c r="C133" s="657">
        <f>C129-C131</f>
        <v>0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864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865</v>
      </c>
      <c r="C137" s="589">
        <f>C105</f>
        <v>4407990</v>
      </c>
      <c r="D137" s="664"/>
      <c r="AR137" s="485"/>
    </row>
    <row r="138" spans="1:44" s="421" customFormat="1" ht="12.75" x14ac:dyDescent="0.2">
      <c r="A138" s="588">
        <v>2</v>
      </c>
      <c r="B138" s="669" t="s">
        <v>881</v>
      </c>
      <c r="C138" s="589">
        <v>0</v>
      </c>
      <c r="D138" s="664"/>
      <c r="AR138" s="485"/>
    </row>
    <row r="139" spans="1:44" s="421" customFormat="1" ht="12.75" x14ac:dyDescent="0.2">
      <c r="A139" s="588"/>
      <c r="B139" s="671" t="s">
        <v>867</v>
      </c>
      <c r="C139" s="657">
        <f>C137+C138</f>
        <v>4407990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882</v>
      </c>
      <c r="C141" s="589">
        <v>4407990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869</v>
      </c>
      <c r="C143" s="657">
        <f>C139-C141</f>
        <v>0</v>
      </c>
      <c r="D143" s="664"/>
      <c r="AR143" s="485"/>
    </row>
  </sheetData>
  <mergeCells count="6">
    <mergeCell ref="A2:C2"/>
    <mergeCell ref="A3:C3"/>
    <mergeCell ref="A4:C4"/>
    <mergeCell ref="A5:C5"/>
    <mergeCell ref="A6:C6"/>
    <mergeCell ref="A7:C7"/>
  </mergeCells>
  <printOptions gridLines="1"/>
  <pageMargins left="0.5" right="0.5" top="0.5" bottom="0.5" header="0.25" footer="0.25"/>
  <pageSetup scale="74" fitToHeight="0" orientation="portrait" r:id="rId1"/>
  <headerFooter>
    <oddHeader>&amp;LOFFICE OF HEALTH CARE ACCESS&amp;CTWELVE MONTHS ACTUAL FILING&amp;RROCKVILLE GENERAL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6"/>
      <c r="B1" s="827"/>
      <c r="C1" s="827"/>
      <c r="D1" s="827"/>
      <c r="E1" s="827"/>
      <c r="F1" s="82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630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883</v>
      </c>
      <c r="B5" s="830"/>
      <c r="C5" s="830"/>
      <c r="D5" s="830"/>
      <c r="E5" s="830"/>
      <c r="F5" s="831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633</v>
      </c>
      <c r="D8" s="177" t="s">
        <v>633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884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885</v>
      </c>
      <c r="C12" s="185">
        <v>337</v>
      </c>
      <c r="D12" s="185">
        <v>349</v>
      </c>
      <c r="E12" s="185">
        <f>+D12-C12</f>
        <v>12</v>
      </c>
      <c r="F12" s="77">
        <f>IF(C12=0,0,+E12/C12)</f>
        <v>3.5608308605341248E-2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886</v>
      </c>
      <c r="C13" s="185">
        <v>305</v>
      </c>
      <c r="D13" s="185">
        <v>322</v>
      </c>
      <c r="E13" s="185">
        <f>+D13-C13</f>
        <v>17</v>
      </c>
      <c r="F13" s="77">
        <f>IF(C13=0,0,+E13/C13)</f>
        <v>5.5737704918032788E-2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887</v>
      </c>
      <c r="C15" s="76">
        <v>1188543</v>
      </c>
      <c r="D15" s="76">
        <v>797362</v>
      </c>
      <c r="E15" s="76">
        <f>+D15-C15</f>
        <v>-391181</v>
      </c>
      <c r="F15" s="77">
        <f>IF(C15=0,0,+E15/C15)</f>
        <v>-0.3291265019439768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888</v>
      </c>
      <c r="C16" s="79">
        <f>IF(C13=0,0,+C15/+C13)</f>
        <v>3896.8622950819672</v>
      </c>
      <c r="D16" s="79">
        <f>IF(D13=0,0,+D15/+D13)</f>
        <v>2476.2795031055903</v>
      </c>
      <c r="E16" s="79">
        <f>+D16-C16</f>
        <v>-1420.5827919763769</v>
      </c>
      <c r="F16" s="80">
        <f>IF(C16=0,0,+E16/C16)</f>
        <v>-0.36454528910842515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889</v>
      </c>
      <c r="C18" s="704">
        <v>0.31332199999999999</v>
      </c>
      <c r="D18" s="704">
        <v>0.30878100000000003</v>
      </c>
      <c r="E18" s="704">
        <f>+D18-C18</f>
        <v>-4.5409999999999617E-3</v>
      </c>
      <c r="F18" s="77">
        <f>IF(C18=0,0,+E18/C18)</f>
        <v>-1.4493077409182764E-2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890</v>
      </c>
      <c r="C19" s="79">
        <f>+C15*C18</f>
        <v>372396.66984599998</v>
      </c>
      <c r="D19" s="79">
        <f>+D15*D18</f>
        <v>246210.23572200001</v>
      </c>
      <c r="E19" s="79">
        <f>+D19-C19</f>
        <v>-126186.43412399996</v>
      </c>
      <c r="F19" s="80">
        <f>IF(C19=0,0,+E19/C19)</f>
        <v>-0.33884952348307196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891</v>
      </c>
      <c r="C20" s="79">
        <f>IF(C13=0,0,+C19/C13)</f>
        <v>1220.972688019672</v>
      </c>
      <c r="D20" s="79">
        <f>IF(D13=0,0,+D19/D13)</f>
        <v>764.62806124844724</v>
      </c>
      <c r="E20" s="79">
        <f>+D20-C20</f>
        <v>-456.34462677122474</v>
      </c>
      <c r="F20" s="80">
        <f>IF(C20=0,0,+E20/C20)</f>
        <v>-0.37375498342340663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892</v>
      </c>
      <c r="C22" s="76">
        <v>362107</v>
      </c>
      <c r="D22" s="76">
        <v>163974</v>
      </c>
      <c r="E22" s="76">
        <f>+D22-C22</f>
        <v>-198133</v>
      </c>
      <c r="F22" s="77">
        <f>IF(C22=0,0,+E22/C22)</f>
        <v>-0.54716699760015686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893</v>
      </c>
      <c r="C23" s="185">
        <v>628554</v>
      </c>
      <c r="D23" s="185">
        <v>539804</v>
      </c>
      <c r="E23" s="185">
        <f>+D23-C23</f>
        <v>-88750</v>
      </c>
      <c r="F23" s="77">
        <f>IF(C23=0,0,+E23/C23)</f>
        <v>-0.14119709682859388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894</v>
      </c>
      <c r="C24" s="185">
        <v>197882</v>
      </c>
      <c r="D24" s="185">
        <v>93584</v>
      </c>
      <c r="E24" s="185">
        <f>+D24-C24</f>
        <v>-104298</v>
      </c>
      <c r="F24" s="77">
        <f>IF(C24=0,0,+E24/C24)</f>
        <v>-0.52707168918850633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895</v>
      </c>
      <c r="C25" s="79">
        <f>+C22+C23+C24</f>
        <v>1188543</v>
      </c>
      <c r="D25" s="79">
        <f>+D22+D23+D24</f>
        <v>797362</v>
      </c>
      <c r="E25" s="79">
        <f>+E22+E23+E24</f>
        <v>-391181</v>
      </c>
      <c r="F25" s="80">
        <f>IF(C25=0,0,+E25/C25)</f>
        <v>-0.3291265019439768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896</v>
      </c>
      <c r="C27" s="185">
        <v>207</v>
      </c>
      <c r="D27" s="185">
        <v>134</v>
      </c>
      <c r="E27" s="185">
        <f>+D27-C27</f>
        <v>-73</v>
      </c>
      <c r="F27" s="77">
        <f>IF(C27=0,0,+E27/C27)</f>
        <v>-0.35265700483091789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897</v>
      </c>
      <c r="C28" s="185">
        <v>37</v>
      </c>
      <c r="D28" s="185">
        <v>27</v>
      </c>
      <c r="E28" s="185">
        <f>+D28-C28</f>
        <v>-10</v>
      </c>
      <c r="F28" s="77">
        <f>IF(C28=0,0,+E28/C28)</f>
        <v>-0.27027027027027029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898</v>
      </c>
      <c r="C29" s="185">
        <v>403</v>
      </c>
      <c r="D29" s="185">
        <v>264</v>
      </c>
      <c r="E29" s="185">
        <f>+D29-C29</f>
        <v>-139</v>
      </c>
      <c r="F29" s="77">
        <f>IF(C29=0,0,+E29/C29)</f>
        <v>-0.34491315136476425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899</v>
      </c>
      <c r="C30" s="185">
        <v>310</v>
      </c>
      <c r="D30" s="185">
        <v>191</v>
      </c>
      <c r="E30" s="185">
        <f>+D30-C30</f>
        <v>-119</v>
      </c>
      <c r="F30" s="77">
        <f>IF(C30=0,0,+E30/C30)</f>
        <v>-0.38387096774193546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900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901</v>
      </c>
      <c r="C33" s="76">
        <v>523552</v>
      </c>
      <c r="D33" s="76">
        <v>638016</v>
      </c>
      <c r="E33" s="76">
        <f>+D33-C33</f>
        <v>114464</v>
      </c>
      <c r="F33" s="77">
        <f>IF(C33=0,0,+E33/C33)</f>
        <v>0.21862966811319601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902</v>
      </c>
      <c r="C34" s="185">
        <v>758910</v>
      </c>
      <c r="D34" s="185">
        <v>1231210</v>
      </c>
      <c r="E34" s="185">
        <f>+D34-C34</f>
        <v>472300</v>
      </c>
      <c r="F34" s="77">
        <f>IF(C34=0,0,+E34/C34)</f>
        <v>0.62233993490664241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903</v>
      </c>
      <c r="C35" s="185">
        <v>1518821</v>
      </c>
      <c r="D35" s="185">
        <v>1741402</v>
      </c>
      <c r="E35" s="185">
        <f>+D35-C35</f>
        <v>222581</v>
      </c>
      <c r="F35" s="77">
        <f>IF(C35=0,0,+E35/C35)</f>
        <v>0.14654853995302936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904</v>
      </c>
      <c r="C36" s="79">
        <f>+C33+C34+C35</f>
        <v>2801283</v>
      </c>
      <c r="D36" s="79">
        <f>+D33+D34+D35</f>
        <v>3610628</v>
      </c>
      <c r="E36" s="79">
        <f>+E33+E34+E35</f>
        <v>809345</v>
      </c>
      <c r="F36" s="80">
        <f>IF(C36=0,0,+E36/C36)</f>
        <v>0.28891939871837297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905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906</v>
      </c>
      <c r="C39" s="76">
        <f>+C25</f>
        <v>1188543</v>
      </c>
      <c r="D39" s="76">
        <f>+D25</f>
        <v>797362</v>
      </c>
      <c r="E39" s="76">
        <f>+D39-C39</f>
        <v>-391181</v>
      </c>
      <c r="F39" s="77">
        <f>IF(C39=0,0,+E39/C39)</f>
        <v>-0.3291265019439768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907</v>
      </c>
      <c r="C40" s="185">
        <f>+C36</f>
        <v>2801283</v>
      </c>
      <c r="D40" s="185">
        <f>+D36</f>
        <v>3610628</v>
      </c>
      <c r="E40" s="185">
        <f>+D40-C40</f>
        <v>809345</v>
      </c>
      <c r="F40" s="77">
        <f>IF(C40=0,0,+E40/C40)</f>
        <v>0.28891939871837297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908</v>
      </c>
      <c r="C41" s="79">
        <f>+C39+C40</f>
        <v>3989826</v>
      </c>
      <c r="D41" s="79">
        <f>+D39+D40</f>
        <v>4407990</v>
      </c>
      <c r="E41" s="79">
        <f>+E39+E40</f>
        <v>418164</v>
      </c>
      <c r="F41" s="80">
        <f>IF(C41=0,0,+E41/C41)</f>
        <v>0.10480757807483333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909</v>
      </c>
      <c r="C43" s="76">
        <f t="shared" ref="C43:D45" si="0">+C22+C33</f>
        <v>885659</v>
      </c>
      <c r="D43" s="76">
        <f t="shared" si="0"/>
        <v>801990</v>
      </c>
      <c r="E43" s="76">
        <f>+D43-C43</f>
        <v>-83669</v>
      </c>
      <c r="F43" s="77">
        <f>IF(C43=0,0,+E43/C43)</f>
        <v>-9.4470896812430066E-2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910</v>
      </c>
      <c r="C44" s="185">
        <f t="shared" si="0"/>
        <v>1387464</v>
      </c>
      <c r="D44" s="185">
        <f t="shared" si="0"/>
        <v>1771014</v>
      </c>
      <c r="E44" s="185">
        <f>+D44-C44</f>
        <v>383550</v>
      </c>
      <c r="F44" s="77">
        <f>IF(C44=0,0,+E44/C44)</f>
        <v>0.276439604919479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911</v>
      </c>
      <c r="C45" s="185">
        <f t="shared" si="0"/>
        <v>1716703</v>
      </c>
      <c r="D45" s="185">
        <f t="shared" si="0"/>
        <v>1834986</v>
      </c>
      <c r="E45" s="185">
        <f>+D45-C45</f>
        <v>118283</v>
      </c>
      <c r="F45" s="77">
        <f>IF(C45=0,0,+E45/C45)</f>
        <v>6.8901260148086188E-2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908</v>
      </c>
      <c r="C46" s="79">
        <f>+C43+C44+C45</f>
        <v>3989826</v>
      </c>
      <c r="D46" s="79">
        <f>+D43+D44+D45</f>
        <v>4407990</v>
      </c>
      <c r="E46" s="79">
        <f>+E43+E44+E45</f>
        <v>418164</v>
      </c>
      <c r="F46" s="80">
        <f>IF(C46=0,0,+E46/C46)</f>
        <v>0.10480757807483333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32" t="s">
        <v>912</v>
      </c>
      <c r="B48" s="833"/>
      <c r="C48" s="833"/>
      <c r="D48" s="833"/>
      <c r="E48" s="833"/>
      <c r="F48" s="834"/>
    </row>
  </sheetData>
  <mergeCells count="6">
    <mergeCell ref="A1:F1"/>
    <mergeCell ref="A2:F2"/>
    <mergeCell ref="A3:F3"/>
    <mergeCell ref="A4:F4"/>
    <mergeCell ref="A5:F5"/>
    <mergeCell ref="A48:F48"/>
  </mergeCells>
  <pageMargins left="0.25" right="0.25" top="0.5" bottom="0.5" header="0.25" footer="0.25"/>
  <pageSetup scale="75" fitToHeight="0" orientation="portrait" horizontalDpi="1200" verticalDpi="1200" r:id="rId1"/>
  <headerFooter>
    <oddHeader>_x000D_
                  &amp;LOFFICE OF HEALTH CARE ACCESS&amp;CTWELVE MONTHS ACTUAL FILING&amp;RROCKVILLE GENERAL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630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913</v>
      </c>
      <c r="B5" s="830"/>
      <c r="C5" s="830"/>
      <c r="D5" s="830"/>
      <c r="E5" s="830"/>
      <c r="F5" s="831"/>
    </row>
    <row r="6" spans="1:14" ht="15.75" customHeight="1" x14ac:dyDescent="0.25">
      <c r="A6" s="829" t="s">
        <v>914</v>
      </c>
      <c r="B6" s="830"/>
      <c r="C6" s="830"/>
      <c r="D6" s="830"/>
      <c r="E6" s="830"/>
      <c r="F6" s="831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915</v>
      </c>
      <c r="D10" s="177" t="s">
        <v>915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916</v>
      </c>
      <c r="D11" s="693" t="s">
        <v>916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917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84821383</v>
      </c>
      <c r="D15" s="76">
        <v>78292359</v>
      </c>
      <c r="E15" s="76">
        <f>+D15-C15</f>
        <v>-6529024</v>
      </c>
      <c r="F15" s="77">
        <f>IF(C15=0,0,E15/C15)</f>
        <v>-7.6973797986764722E-2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918</v>
      </c>
      <c r="C17" s="76">
        <v>47739516</v>
      </c>
      <c r="D17" s="76">
        <v>44431337</v>
      </c>
      <c r="E17" s="76">
        <f>+D17-C17</f>
        <v>-3308179</v>
      </c>
      <c r="F17" s="77">
        <f>IF(C17=0,0,E17/C17)</f>
        <v>-6.9296450345244384E-2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919</v>
      </c>
      <c r="C19" s="79">
        <f>+C15-C17</f>
        <v>37081867</v>
      </c>
      <c r="D19" s="79">
        <f>+D15-D17</f>
        <v>33861022</v>
      </c>
      <c r="E19" s="79">
        <f>+D19-C19</f>
        <v>-3220845</v>
      </c>
      <c r="F19" s="80">
        <f>IF(C19=0,0,E19/C19)</f>
        <v>-8.6857681680374943E-2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920</v>
      </c>
      <c r="C21" s="720">
        <f>IF(C15=0,0,C17/C15)</f>
        <v>0.56282406996358458</v>
      </c>
      <c r="D21" s="720">
        <f>IF(D15=0,0,D17/D15)</f>
        <v>0.56750540624277268</v>
      </c>
      <c r="E21" s="720">
        <f>+D21-C21</f>
        <v>4.6813362791880975E-3</v>
      </c>
      <c r="F21" s="80">
        <f>IF(C21=0,0,E21/C21)</f>
        <v>8.3175836447275352E-3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921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:F2"/>
    <mergeCell ref="A3:F3"/>
    <mergeCell ref="A4:F4"/>
    <mergeCell ref="A5:F5"/>
    <mergeCell ref="A6:F6"/>
    <mergeCell ref="A26:F26"/>
  </mergeCells>
  <pageMargins left="0.25" right="0.25" top="0.5" bottom="0.5" header="0.25" footer="0.5"/>
  <pageSetup scale="89" fitToHeight="0" orientation="landscape" horizontalDpi="1200" verticalDpi="1200" r:id="rId1"/>
  <headerFooter>
    <oddHeader>&amp;L&amp;12OFFICE OF HEALTH CARE ACCESS&amp;C&amp;12TWELVE MONTHS ACTUAL FILING&amp;R&amp;12ROCKVILLE GENERAL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4"/>
  <sheetViews>
    <sheetView zoomScale="75" workbookViewId="0">
      <selection activeCell="B26" sqref="B26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922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923</v>
      </c>
      <c r="B6" s="734" t="s">
        <v>924</v>
      </c>
      <c r="C6" s="734" t="s">
        <v>925</v>
      </c>
      <c r="D6" s="734" t="s">
        <v>926</v>
      </c>
      <c r="E6" s="734" t="s">
        <v>927</v>
      </c>
    </row>
    <row r="7" spans="1:6" ht="37.5" customHeight="1" x14ac:dyDescent="0.25">
      <c r="A7" s="735" t="s">
        <v>8</v>
      </c>
      <c r="B7" s="736" t="s">
        <v>9</v>
      </c>
      <c r="C7" s="737" t="s">
        <v>928</v>
      </c>
      <c r="D7" s="737" t="s">
        <v>929</v>
      </c>
      <c r="E7" s="737" t="s">
        <v>930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931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932</v>
      </c>
      <c r="C10" s="744">
        <v>79250360</v>
      </c>
      <c r="D10" s="744">
        <v>76888784</v>
      </c>
      <c r="E10" s="744">
        <v>74614647</v>
      </c>
    </row>
    <row r="11" spans="1:6" ht="26.1" customHeight="1" x14ac:dyDescent="0.25">
      <c r="A11" s="742">
        <v>2</v>
      </c>
      <c r="B11" s="743" t="s">
        <v>933</v>
      </c>
      <c r="C11" s="744">
        <v>143414268</v>
      </c>
      <c r="D11" s="744">
        <v>150411288</v>
      </c>
      <c r="E11" s="744">
        <v>152882315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222664628</v>
      </c>
      <c r="D12" s="744">
        <f>+D11+D10</f>
        <v>227300072</v>
      </c>
      <c r="E12" s="744">
        <f>+E11+E10</f>
        <v>227496962</v>
      </c>
    </row>
    <row r="13" spans="1:6" ht="26.1" customHeight="1" x14ac:dyDescent="0.25">
      <c r="A13" s="742">
        <v>4</v>
      </c>
      <c r="B13" s="743" t="s">
        <v>507</v>
      </c>
      <c r="C13" s="744">
        <v>68910644</v>
      </c>
      <c r="D13" s="744">
        <v>68528682</v>
      </c>
      <c r="E13" s="744">
        <v>63002481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934</v>
      </c>
      <c r="C16" s="744">
        <v>71670098</v>
      </c>
      <c r="D16" s="744">
        <v>72159655</v>
      </c>
      <c r="E16" s="744">
        <v>68867915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935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12325</v>
      </c>
      <c r="D19" s="747">
        <v>11155</v>
      </c>
      <c r="E19" s="747">
        <v>9873</v>
      </c>
    </row>
    <row r="20" spans="1:5" ht="26.1" customHeight="1" x14ac:dyDescent="0.25">
      <c r="A20" s="742">
        <v>2</v>
      </c>
      <c r="B20" s="743" t="s">
        <v>381</v>
      </c>
      <c r="C20" s="748">
        <v>2567</v>
      </c>
      <c r="D20" s="748">
        <v>2341</v>
      </c>
      <c r="E20" s="748">
        <v>2112</v>
      </c>
    </row>
    <row r="21" spans="1:5" ht="26.1" customHeight="1" x14ac:dyDescent="0.25">
      <c r="A21" s="742">
        <v>3</v>
      </c>
      <c r="B21" s="743" t="s">
        <v>936</v>
      </c>
      <c r="C21" s="749">
        <f>IF(C20=0,0,+C19/C20)</f>
        <v>4.8013245033112586</v>
      </c>
      <c r="D21" s="749">
        <f>IF(D20=0,0,+D19/D20)</f>
        <v>4.7650576676633918</v>
      </c>
      <c r="E21" s="749">
        <f>IF(E20=0,0,+E19/E20)</f>
        <v>4.6747159090909092</v>
      </c>
    </row>
    <row r="22" spans="1:5" ht="26.1" customHeight="1" x14ac:dyDescent="0.25">
      <c r="A22" s="742">
        <v>4</v>
      </c>
      <c r="B22" s="743" t="s">
        <v>937</v>
      </c>
      <c r="C22" s="748">
        <f>IF(C10=0,0,C19*(C12/C10))</f>
        <v>34628.758028354699</v>
      </c>
      <c r="D22" s="748">
        <f>IF(D10=0,0,D19*(D12/D10))</f>
        <v>32976.621182616182</v>
      </c>
      <c r="E22" s="748">
        <f>IF(E10=0,0,E19*(E12/E10))</f>
        <v>30102.367244677844</v>
      </c>
    </row>
    <row r="23" spans="1:5" ht="26.1" customHeight="1" x14ac:dyDescent="0.25">
      <c r="A23" s="742">
        <v>0</v>
      </c>
      <c r="B23" s="743" t="s">
        <v>938</v>
      </c>
      <c r="C23" s="748">
        <f>IF(C10=0,0,C20*(C12/C10))</f>
        <v>7212.3344307331854</v>
      </c>
      <c r="D23" s="748">
        <f>IF(D10=0,0,D20*(D12/D10))</f>
        <v>6920.5083091442839</v>
      </c>
      <c r="E23" s="748">
        <f>IF(E10=0,0,E20*(E12/E10))</f>
        <v>6439.4003464762091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939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1.5737738994935724</v>
      </c>
      <c r="D26" s="750">
        <v>1.5519986544211875</v>
      </c>
      <c r="E26" s="750">
        <v>1.6986523674242422</v>
      </c>
    </row>
    <row r="27" spans="1:5" ht="26.1" customHeight="1" x14ac:dyDescent="0.25">
      <c r="A27" s="742">
        <v>2</v>
      </c>
      <c r="B27" s="743" t="s">
        <v>940</v>
      </c>
      <c r="C27" s="748">
        <f>C19*C26</f>
        <v>19396.763311258281</v>
      </c>
      <c r="D27" s="748">
        <f>D19*D26</f>
        <v>17312.544990068345</v>
      </c>
      <c r="E27" s="748">
        <f>E19*E26</f>
        <v>16770.794823579545</v>
      </c>
    </row>
    <row r="28" spans="1:5" ht="26.1" customHeight="1" x14ac:dyDescent="0.25">
      <c r="A28" s="742">
        <v>3</v>
      </c>
      <c r="B28" s="743" t="s">
        <v>941</v>
      </c>
      <c r="C28" s="748">
        <f>C20*C26</f>
        <v>4039.8776000000003</v>
      </c>
      <c r="D28" s="748">
        <f>D20*D26</f>
        <v>3633.22885</v>
      </c>
      <c r="E28" s="748">
        <f>E20*E26</f>
        <v>3587.5537999999997</v>
      </c>
    </row>
    <row r="29" spans="1:5" ht="26.1" customHeight="1" x14ac:dyDescent="0.25">
      <c r="A29" s="742">
        <v>4</v>
      </c>
      <c r="B29" s="743" t="s">
        <v>942</v>
      </c>
      <c r="C29" s="748">
        <f>C22*C26</f>
        <v>54497.835556903126</v>
      </c>
      <c r="D29" s="748">
        <f>D22*D26</f>
        <v>51179.671702777538</v>
      </c>
      <c r="E29" s="748">
        <f>E22*E26</f>
        <v>51133.45738524598</v>
      </c>
    </row>
    <row r="30" spans="1:5" ht="26.1" customHeight="1" x14ac:dyDescent="0.25">
      <c r="A30" s="742">
        <v>5</v>
      </c>
      <c r="B30" s="743" t="s">
        <v>943</v>
      </c>
      <c r="C30" s="748">
        <f>C23*C26</f>
        <v>11350.58368150672</v>
      </c>
      <c r="D30" s="748">
        <f>D23*D26</f>
        <v>10740.619583702575</v>
      </c>
      <c r="E30" s="748">
        <f>E23*E26</f>
        <v>10938.302643334298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944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945</v>
      </c>
      <c r="C33" s="744">
        <f>IF(C19=0,0,C12/C19)</f>
        <v>18066.095578093307</v>
      </c>
      <c r="D33" s="744">
        <f>IF(D19=0,0,D12/D19)</f>
        <v>20376.519229045272</v>
      </c>
      <c r="E33" s="744">
        <f>IF(E19=0,0,E12/E19)</f>
        <v>23042.333839765015</v>
      </c>
    </row>
    <row r="34" spans="1:5" ht="26.1" customHeight="1" x14ac:dyDescent="0.25">
      <c r="A34" s="742">
        <v>2</v>
      </c>
      <c r="B34" s="743" t="s">
        <v>946</v>
      </c>
      <c r="C34" s="744">
        <f>IF(C20=0,0,C12/C20)</f>
        <v>86741.187378262563</v>
      </c>
      <c r="D34" s="744">
        <f>IF(D20=0,0,D12/D20)</f>
        <v>97095.289192652708</v>
      </c>
      <c r="E34" s="744">
        <f>IF(E20=0,0,E12/E20)</f>
        <v>107716.36458333333</v>
      </c>
    </row>
    <row r="35" spans="1:5" ht="26.1" customHeight="1" x14ac:dyDescent="0.25">
      <c r="A35" s="742">
        <v>3</v>
      </c>
      <c r="B35" s="743" t="s">
        <v>947</v>
      </c>
      <c r="C35" s="744">
        <f>IF(C22=0,0,C12/C22)</f>
        <v>6430.0494929006081</v>
      </c>
      <c r="D35" s="744">
        <f>IF(D22=0,0,D12/D22)</f>
        <v>6892.7641416405195</v>
      </c>
      <c r="E35" s="744">
        <f>IF(E22=0,0,E12/E22)</f>
        <v>7557.4442418717717</v>
      </c>
    </row>
    <row r="36" spans="1:5" ht="26.1" customHeight="1" x14ac:dyDescent="0.25">
      <c r="A36" s="742">
        <v>4</v>
      </c>
      <c r="B36" s="743" t="s">
        <v>948</v>
      </c>
      <c r="C36" s="744">
        <f>IF(C23=0,0,C12/C23)</f>
        <v>30872.754187767823</v>
      </c>
      <c r="D36" s="744">
        <f>IF(D23=0,0,D12/D23)</f>
        <v>32844.418624519429</v>
      </c>
      <c r="E36" s="744">
        <f>IF(E23=0,0,E12/E23)</f>
        <v>35328.904829545449</v>
      </c>
    </row>
    <row r="37" spans="1:5" ht="26.1" customHeight="1" x14ac:dyDescent="0.25">
      <c r="A37" s="742">
        <v>5</v>
      </c>
      <c r="B37" s="743" t="s">
        <v>949</v>
      </c>
      <c r="C37" s="744">
        <f>IF(C29=0,0,C12/C29)</f>
        <v>4085.7517683891861</v>
      </c>
      <c r="D37" s="744">
        <f>IF(D29=0,0,D12/D29)</f>
        <v>4441.2178593100343</v>
      </c>
      <c r="E37" s="744">
        <f>IF(E29=0,0,E12/E29)</f>
        <v>4449.0823353877468</v>
      </c>
    </row>
    <row r="38" spans="1:5" ht="26.1" customHeight="1" x14ac:dyDescent="0.25">
      <c r="A38" s="742">
        <v>6</v>
      </c>
      <c r="B38" s="743" t="s">
        <v>950</v>
      </c>
      <c r="C38" s="744">
        <f>IF(C30=0,0,C12/C30)</f>
        <v>19617.020080014303</v>
      </c>
      <c r="D38" s="744">
        <f>IF(D30=0,0,D12/D30)</f>
        <v>21162.659214268871</v>
      </c>
      <c r="E38" s="744">
        <f>IF(E30=0,0,E12/E30)</f>
        <v>20798.195974092432</v>
      </c>
    </row>
    <row r="39" spans="1:5" ht="26.1" customHeight="1" x14ac:dyDescent="0.25">
      <c r="A39" s="742">
        <v>7</v>
      </c>
      <c r="B39" s="743" t="s">
        <v>951</v>
      </c>
      <c r="C39" s="744">
        <f>IF(C22=0,0,C10/C22)</f>
        <v>2288.5706710910126</v>
      </c>
      <c r="D39" s="744">
        <f>IF(D22=0,0,D10/D22)</f>
        <v>2331.6149818445429</v>
      </c>
      <c r="E39" s="744">
        <f>IF(E22=0,0,E10/E22)</f>
        <v>2478.6969873006256</v>
      </c>
    </row>
    <row r="40" spans="1:5" ht="26.1" customHeight="1" x14ac:dyDescent="0.25">
      <c r="A40" s="742">
        <v>8</v>
      </c>
      <c r="B40" s="743" t="s">
        <v>952</v>
      </c>
      <c r="C40" s="744">
        <f>IF(C23=0,0,C10/C23)</f>
        <v>10988.17044066877</v>
      </c>
      <c r="D40" s="744">
        <f>IF(D23=0,0,D10/D23)</f>
        <v>11110.279847277179</v>
      </c>
      <c r="E40" s="744">
        <f>IF(E23=0,0,E10/E23)</f>
        <v>11587.20424034994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953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954</v>
      </c>
      <c r="C43" s="744">
        <f>IF(C19=0,0,C13/C19)</f>
        <v>5591.1273022312371</v>
      </c>
      <c r="D43" s="744">
        <f>IF(D19=0,0,D13/D19)</f>
        <v>6143.3152846257281</v>
      </c>
      <c r="E43" s="744">
        <f>IF(E19=0,0,E13/E19)</f>
        <v>6381.2904892130055</v>
      </c>
    </row>
    <row r="44" spans="1:5" ht="26.1" customHeight="1" x14ac:dyDescent="0.25">
      <c r="A44" s="742">
        <v>2</v>
      </c>
      <c r="B44" s="743" t="s">
        <v>955</v>
      </c>
      <c r="C44" s="744">
        <f>IF(C20=0,0,C13/C20)</f>
        <v>26844.81651733541</v>
      </c>
      <c r="D44" s="744">
        <f>IF(D20=0,0,D13/D20)</f>
        <v>29273.25160187954</v>
      </c>
      <c r="E44" s="744">
        <f>IF(E20=0,0,E13/E20)</f>
        <v>29830.720170454544</v>
      </c>
    </row>
    <row r="45" spans="1:5" ht="26.1" customHeight="1" x14ac:dyDescent="0.25">
      <c r="A45" s="742">
        <v>3</v>
      </c>
      <c r="B45" s="743" t="s">
        <v>956</v>
      </c>
      <c r="C45" s="744">
        <f>IF(C22=0,0,C13/C22)</f>
        <v>1989.9831216463099</v>
      </c>
      <c r="D45" s="744">
        <f>IF(D22=0,0,D13/D22)</f>
        <v>2078.0989544230592</v>
      </c>
      <c r="E45" s="744">
        <f>IF(E22=0,0,E13/E22)</f>
        <v>2092.941079613563</v>
      </c>
    </row>
    <row r="46" spans="1:5" ht="26.1" customHeight="1" x14ac:dyDescent="0.25">
      <c r="A46" s="742">
        <v>4</v>
      </c>
      <c r="B46" s="743" t="s">
        <v>957</v>
      </c>
      <c r="C46" s="744">
        <f>IF(C23=0,0,C13/C23)</f>
        <v>9554.5547231362561</v>
      </c>
      <c r="D46" s="744">
        <f>IF(D23=0,0,D13/D23)</f>
        <v>9902.261356936875</v>
      </c>
      <c r="E46" s="744">
        <f>IF(E23=0,0,E13/E23)</f>
        <v>9783.9049616594239</v>
      </c>
    </row>
    <row r="47" spans="1:5" ht="26.1" customHeight="1" x14ac:dyDescent="0.25">
      <c r="A47" s="742">
        <v>5</v>
      </c>
      <c r="B47" s="743" t="s">
        <v>958</v>
      </c>
      <c r="C47" s="744">
        <f>IF(C29=0,0,C13/C29)</f>
        <v>1264.4657039277818</v>
      </c>
      <c r="D47" s="744">
        <f>IF(D29=0,0,D13/D29)</f>
        <v>1338.9824459597096</v>
      </c>
      <c r="E47" s="744">
        <f>IF(E29=0,0,E13/E29)</f>
        <v>1232.1185427641101</v>
      </c>
    </row>
    <row r="48" spans="1:5" ht="26.1" customHeight="1" x14ac:dyDescent="0.25">
      <c r="A48" s="742">
        <v>6</v>
      </c>
      <c r="B48" s="743" t="s">
        <v>959</v>
      </c>
      <c r="C48" s="744">
        <f>IF(C30=0,0,C13/C30)</f>
        <v>6071.1101678651767</v>
      </c>
      <c r="D48" s="744">
        <f>IF(D30=0,0,D13/D30)</f>
        <v>6380.3285709869961</v>
      </c>
      <c r="E48" s="744">
        <f>IF(E30=0,0,E13/E30)</f>
        <v>5759.8041537452918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960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961</v>
      </c>
      <c r="C51" s="744">
        <f>IF(C19=0,0,C16/C19)</f>
        <v>5815.0180933062884</v>
      </c>
      <c r="D51" s="744">
        <f>IF(D19=0,0,D16/D19)</f>
        <v>6468.8171223666513</v>
      </c>
      <c r="E51" s="744">
        <f>IF(E19=0,0,E16/E19)</f>
        <v>6975.3788108984099</v>
      </c>
    </row>
    <row r="52" spans="1:6" ht="26.1" customHeight="1" x14ac:dyDescent="0.25">
      <c r="A52" s="742">
        <v>2</v>
      </c>
      <c r="B52" s="743" t="s">
        <v>962</v>
      </c>
      <c r="C52" s="744">
        <f>IF(C20=0,0,C16/C20)</f>
        <v>27919.788858589793</v>
      </c>
      <c r="D52" s="744">
        <f>IF(D20=0,0,D16/D20)</f>
        <v>30824.286629645452</v>
      </c>
      <c r="E52" s="744">
        <f>IF(E20=0,0,E16/E20)</f>
        <v>32607.914299242424</v>
      </c>
    </row>
    <row r="53" spans="1:6" ht="26.1" customHeight="1" x14ac:dyDescent="0.25">
      <c r="A53" s="742">
        <v>3</v>
      </c>
      <c r="B53" s="743" t="s">
        <v>963</v>
      </c>
      <c r="C53" s="744">
        <f>IF(C22=0,0,C16/C22)</f>
        <v>2069.6698952158531</v>
      </c>
      <c r="D53" s="744">
        <f>IF(D22=0,0,D16/D22)</f>
        <v>2188.2064448142851</v>
      </c>
      <c r="E53" s="744">
        <f>IF(E22=0,0,E16/E22)</f>
        <v>2287.790672415505</v>
      </c>
    </row>
    <row r="54" spans="1:6" ht="26.1" customHeight="1" x14ac:dyDescent="0.25">
      <c r="A54" s="742">
        <v>4</v>
      </c>
      <c r="B54" s="743" t="s">
        <v>964</v>
      </c>
      <c r="C54" s="744">
        <f>IF(C23=0,0,C16/C23)</f>
        <v>9937.1567816655206</v>
      </c>
      <c r="D54" s="744">
        <f>IF(D23=0,0,D16/D23)</f>
        <v>10426.929898292759</v>
      </c>
      <c r="E54" s="744">
        <f>IF(E23=0,0,E16/E23)</f>
        <v>10694.77145301055</v>
      </c>
    </row>
    <row r="55" spans="1:6" ht="26.1" customHeight="1" x14ac:dyDescent="0.25">
      <c r="A55" s="742">
        <v>5</v>
      </c>
      <c r="B55" s="743" t="s">
        <v>965</v>
      </c>
      <c r="C55" s="744">
        <f>IF(C29=0,0,C16/C29)</f>
        <v>1315.0998983283787</v>
      </c>
      <c r="D55" s="744">
        <f>IF(D29=0,0,D16/D29)</f>
        <v>1409.9280554018067</v>
      </c>
      <c r="E55" s="744">
        <f>IF(E29=0,0,E16/E29)</f>
        <v>1346.8268824683682</v>
      </c>
    </row>
    <row r="56" spans="1:6" ht="26.1" customHeight="1" x14ac:dyDescent="0.25">
      <c r="A56" s="742">
        <v>6</v>
      </c>
      <c r="B56" s="743" t="s">
        <v>966</v>
      </c>
      <c r="C56" s="744">
        <f>IF(C30=0,0,C16/C30)</f>
        <v>6314.2213661461892</v>
      </c>
      <c r="D56" s="744">
        <f>IF(D30=0,0,D16/D30)</f>
        <v>6718.3884912461135</v>
      </c>
      <c r="E56" s="744">
        <f>IF(E30=0,0,E16/E30)</f>
        <v>6296.0330542661914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967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968</v>
      </c>
      <c r="C59" s="752">
        <v>9743100</v>
      </c>
      <c r="D59" s="752">
        <v>9189889</v>
      </c>
      <c r="E59" s="752">
        <v>8525609</v>
      </c>
    </row>
    <row r="60" spans="1:6" ht="26.1" customHeight="1" x14ac:dyDescent="0.25">
      <c r="A60" s="742">
        <v>2</v>
      </c>
      <c r="B60" s="743" t="s">
        <v>969</v>
      </c>
      <c r="C60" s="752">
        <v>3448259</v>
      </c>
      <c r="D60" s="752">
        <v>2915782</v>
      </c>
      <c r="E60" s="752">
        <v>3040436</v>
      </c>
    </row>
    <row r="61" spans="1:6" ht="26.1" customHeight="1" x14ac:dyDescent="0.25">
      <c r="A61" s="753">
        <v>3</v>
      </c>
      <c r="B61" s="754" t="s">
        <v>970</v>
      </c>
      <c r="C61" s="755">
        <f>C59+C60</f>
        <v>13191359</v>
      </c>
      <c r="D61" s="755">
        <f>D59+D60</f>
        <v>12105671</v>
      </c>
      <c r="E61" s="755">
        <f>E59+E60</f>
        <v>11566045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971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972</v>
      </c>
      <c r="C64" s="744">
        <v>3972965</v>
      </c>
      <c r="D64" s="744">
        <v>4326903</v>
      </c>
      <c r="E64" s="752">
        <v>3935827</v>
      </c>
      <c r="F64" s="756"/>
    </row>
    <row r="65" spans="1:6" ht="26.1" customHeight="1" x14ac:dyDescent="0.25">
      <c r="A65" s="742">
        <v>2</v>
      </c>
      <c r="B65" s="743" t="s">
        <v>973</v>
      </c>
      <c r="C65" s="752">
        <v>1318628</v>
      </c>
      <c r="D65" s="752">
        <v>1304736</v>
      </c>
      <c r="E65" s="752">
        <v>1302546</v>
      </c>
      <c r="F65" s="756"/>
    </row>
    <row r="66" spans="1:6" ht="26.1" customHeight="1" x14ac:dyDescent="0.25">
      <c r="A66" s="753">
        <v>3</v>
      </c>
      <c r="B66" s="754" t="s">
        <v>974</v>
      </c>
      <c r="C66" s="757">
        <f>C64+C65</f>
        <v>5291593</v>
      </c>
      <c r="D66" s="757">
        <f>D64+D65</f>
        <v>5631639</v>
      </c>
      <c r="E66" s="757">
        <f>E64+E65</f>
        <v>5238373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975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976</v>
      </c>
      <c r="C69" s="752">
        <v>17793574</v>
      </c>
      <c r="D69" s="752">
        <v>18943461</v>
      </c>
      <c r="E69" s="752">
        <v>18217122</v>
      </c>
    </row>
    <row r="70" spans="1:6" ht="26.1" customHeight="1" x14ac:dyDescent="0.25">
      <c r="A70" s="742">
        <v>2</v>
      </c>
      <c r="B70" s="743" t="s">
        <v>977</v>
      </c>
      <c r="C70" s="752">
        <v>5257714</v>
      </c>
      <c r="D70" s="752">
        <v>5140279</v>
      </c>
      <c r="E70" s="752">
        <v>5356227</v>
      </c>
    </row>
    <row r="71" spans="1:6" ht="26.1" customHeight="1" x14ac:dyDescent="0.25">
      <c r="A71" s="753">
        <v>3</v>
      </c>
      <c r="B71" s="754" t="s">
        <v>978</v>
      </c>
      <c r="C71" s="755">
        <f>C69+C70</f>
        <v>23051288</v>
      </c>
      <c r="D71" s="755">
        <f>D69+D70</f>
        <v>24083740</v>
      </c>
      <c r="E71" s="755">
        <f>E69+E70</f>
        <v>23573349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979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980</v>
      </c>
      <c r="C75" s="744">
        <f t="shared" ref="C75:E76" si="0">+C59+C64+C69</f>
        <v>31509639</v>
      </c>
      <c r="D75" s="744">
        <f t="shared" si="0"/>
        <v>32460253</v>
      </c>
      <c r="E75" s="744">
        <f t="shared" si="0"/>
        <v>30678558</v>
      </c>
    </row>
    <row r="76" spans="1:6" ht="26.1" customHeight="1" x14ac:dyDescent="0.25">
      <c r="A76" s="742">
        <v>2</v>
      </c>
      <c r="B76" s="743" t="s">
        <v>981</v>
      </c>
      <c r="C76" s="744">
        <f t="shared" si="0"/>
        <v>10024601</v>
      </c>
      <c r="D76" s="744">
        <f t="shared" si="0"/>
        <v>9360797</v>
      </c>
      <c r="E76" s="744">
        <f t="shared" si="0"/>
        <v>9699209</v>
      </c>
    </row>
    <row r="77" spans="1:6" ht="26.1" customHeight="1" x14ac:dyDescent="0.25">
      <c r="A77" s="753">
        <v>3</v>
      </c>
      <c r="B77" s="754" t="s">
        <v>979</v>
      </c>
      <c r="C77" s="757">
        <f>C75+C76</f>
        <v>41534240</v>
      </c>
      <c r="D77" s="757">
        <f>D75+D76</f>
        <v>41821050</v>
      </c>
      <c r="E77" s="757">
        <f>E75+E76</f>
        <v>40377767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982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116.6</v>
      </c>
      <c r="D80" s="749">
        <v>112.3</v>
      </c>
      <c r="E80" s="749">
        <v>102.9</v>
      </c>
    </row>
    <row r="81" spans="1:5" ht="26.1" customHeight="1" x14ac:dyDescent="0.25">
      <c r="A81" s="742">
        <v>2</v>
      </c>
      <c r="B81" s="743" t="s">
        <v>617</v>
      </c>
      <c r="C81" s="749">
        <v>5.2</v>
      </c>
      <c r="D81" s="749">
        <v>6</v>
      </c>
      <c r="E81" s="749">
        <v>4.5999999999999996</v>
      </c>
    </row>
    <row r="82" spans="1:5" ht="26.1" customHeight="1" x14ac:dyDescent="0.25">
      <c r="A82" s="742">
        <v>3</v>
      </c>
      <c r="B82" s="743" t="s">
        <v>983</v>
      </c>
      <c r="C82" s="749">
        <v>256.5</v>
      </c>
      <c r="D82" s="749">
        <v>304.39999999999998</v>
      </c>
      <c r="E82" s="749">
        <v>273.60000000000002</v>
      </c>
    </row>
    <row r="83" spans="1:5" ht="26.1" customHeight="1" x14ac:dyDescent="0.25">
      <c r="A83" s="753">
        <v>4</v>
      </c>
      <c r="B83" s="754" t="s">
        <v>982</v>
      </c>
      <c r="C83" s="759">
        <f>C80+C81+C82</f>
        <v>378.3</v>
      </c>
      <c r="D83" s="759">
        <f>D80+D81+D82</f>
        <v>422.7</v>
      </c>
      <c r="E83" s="759">
        <f>E80+E81+E82</f>
        <v>381.1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984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985</v>
      </c>
      <c r="C86" s="752">
        <f>IF(C80=0,0,C59/C80)</f>
        <v>83560.034305317327</v>
      </c>
      <c r="D86" s="752">
        <f>IF(D80=0,0,D59/D80)</f>
        <v>81833.38379341051</v>
      </c>
      <c r="E86" s="752">
        <f>IF(E80=0,0,E59/E80)</f>
        <v>82853.343051506308</v>
      </c>
    </row>
    <row r="87" spans="1:5" ht="26.1" customHeight="1" x14ac:dyDescent="0.25">
      <c r="A87" s="742">
        <v>2</v>
      </c>
      <c r="B87" s="743" t="s">
        <v>986</v>
      </c>
      <c r="C87" s="752">
        <f>IF(C80=0,0,C60/C80)</f>
        <v>29573.404802744426</v>
      </c>
      <c r="D87" s="752">
        <f>IF(D80=0,0,D60/D80)</f>
        <v>25964.220837043635</v>
      </c>
      <c r="E87" s="752">
        <f>IF(E80=0,0,E60/E80)</f>
        <v>29547.482993197278</v>
      </c>
    </row>
    <row r="88" spans="1:5" ht="26.1" customHeight="1" x14ac:dyDescent="0.25">
      <c r="A88" s="753">
        <v>3</v>
      </c>
      <c r="B88" s="754" t="s">
        <v>987</v>
      </c>
      <c r="C88" s="755">
        <f>+C86+C87</f>
        <v>113133.43910806175</v>
      </c>
      <c r="D88" s="755">
        <f>+D86+D87</f>
        <v>107797.60463045415</v>
      </c>
      <c r="E88" s="755">
        <f>+E86+E87</f>
        <v>112400.82604470359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988</v>
      </c>
    </row>
    <row r="91" spans="1:5" ht="26.1" customHeight="1" x14ac:dyDescent="0.25">
      <c r="A91" s="742">
        <v>1</v>
      </c>
      <c r="B91" s="743" t="s">
        <v>989</v>
      </c>
      <c r="C91" s="744">
        <f>IF(C81=0,0,C64/C81)</f>
        <v>764031.73076923075</v>
      </c>
      <c r="D91" s="744">
        <f>IF(D81=0,0,D64/D81)</f>
        <v>721150.5</v>
      </c>
      <c r="E91" s="744">
        <f>IF(E81=0,0,E64/E81)</f>
        <v>855614.56521739135</v>
      </c>
    </row>
    <row r="92" spans="1:5" ht="26.1" customHeight="1" x14ac:dyDescent="0.25">
      <c r="A92" s="742">
        <v>2</v>
      </c>
      <c r="B92" s="743" t="s">
        <v>990</v>
      </c>
      <c r="C92" s="744">
        <f>IF(C81=0,0,C65/C81)</f>
        <v>253582.30769230769</v>
      </c>
      <c r="D92" s="744">
        <f>IF(D81=0,0,D65/D81)</f>
        <v>217456</v>
      </c>
      <c r="E92" s="744">
        <f>IF(E81=0,0,E65/E81)</f>
        <v>283162.17391304352</v>
      </c>
    </row>
    <row r="93" spans="1:5" ht="26.1" customHeight="1" x14ac:dyDescent="0.25">
      <c r="A93" s="753">
        <v>3</v>
      </c>
      <c r="B93" s="754" t="s">
        <v>991</v>
      </c>
      <c r="C93" s="757">
        <f>+C91+C92</f>
        <v>1017614.0384615385</v>
      </c>
      <c r="D93" s="757">
        <f>+D91+D92</f>
        <v>938606.5</v>
      </c>
      <c r="E93" s="757">
        <f>+E91+E92</f>
        <v>1138776.7391304348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992</v>
      </c>
      <c r="B95" s="745" t="s">
        <v>993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994</v>
      </c>
      <c r="C96" s="752">
        <f>IF(C82=0,0,C69/C82)</f>
        <v>69370.658869395716</v>
      </c>
      <c r="D96" s="752">
        <f>IF(D82=0,0,D69/D82)</f>
        <v>62232.132063074903</v>
      </c>
      <c r="E96" s="752">
        <f>IF(E82=0,0,E69/E82)</f>
        <v>66583.048245614031</v>
      </c>
    </row>
    <row r="97" spans="1:5" ht="26.1" customHeight="1" x14ac:dyDescent="0.25">
      <c r="A97" s="742">
        <v>2</v>
      </c>
      <c r="B97" s="743" t="s">
        <v>995</v>
      </c>
      <c r="C97" s="752">
        <f>IF(C82=0,0,C70/C82)</f>
        <v>20497.910331384017</v>
      </c>
      <c r="D97" s="752">
        <f>IF(D82=0,0,D70/D82)</f>
        <v>16886.593298291722</v>
      </c>
      <c r="E97" s="752">
        <f>IF(E82=0,0,E70/E82)</f>
        <v>19576.853070175435</v>
      </c>
    </row>
    <row r="98" spans="1:5" ht="26.1" customHeight="1" x14ac:dyDescent="0.25">
      <c r="A98" s="753">
        <v>3</v>
      </c>
      <c r="B98" s="754" t="s">
        <v>996</v>
      </c>
      <c r="C98" s="757">
        <f>+C96+C97</f>
        <v>89868.569200779733</v>
      </c>
      <c r="D98" s="757">
        <f>+D96+D97</f>
        <v>79118.725361366625</v>
      </c>
      <c r="E98" s="757">
        <f>+E96+E97</f>
        <v>86159.901315789466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997</v>
      </c>
      <c r="B100" s="745" t="s">
        <v>998</v>
      </c>
    </row>
    <row r="101" spans="1:5" ht="26.1" customHeight="1" x14ac:dyDescent="0.25">
      <c r="A101" s="742">
        <v>1</v>
      </c>
      <c r="B101" s="743" t="s">
        <v>999</v>
      </c>
      <c r="C101" s="744">
        <f>IF(C83=0,0,C75/C83)</f>
        <v>83292.727993655833</v>
      </c>
      <c r="D101" s="744">
        <f>IF(D83=0,0,D75/D83)</f>
        <v>76792.649633309673</v>
      </c>
      <c r="E101" s="744">
        <f>IF(E83=0,0,E75/E83)</f>
        <v>80500.020991865647</v>
      </c>
    </row>
    <row r="102" spans="1:5" ht="26.1" customHeight="1" x14ac:dyDescent="0.25">
      <c r="A102" s="742">
        <v>2</v>
      </c>
      <c r="B102" s="743" t="s">
        <v>1000</v>
      </c>
      <c r="C102" s="761">
        <f>IF(C83=0,0,C76/C83)</f>
        <v>26499.077451757865</v>
      </c>
      <c r="D102" s="761">
        <f>IF(D83=0,0,D76/D83)</f>
        <v>22145.249585994796</v>
      </c>
      <c r="E102" s="761">
        <f>IF(E83=0,0,E76/E83)</f>
        <v>25450.561532406191</v>
      </c>
    </row>
    <row r="103" spans="1:5" ht="26.1" customHeight="1" x14ac:dyDescent="0.25">
      <c r="A103" s="753">
        <v>3</v>
      </c>
      <c r="B103" s="754" t="s">
        <v>998</v>
      </c>
      <c r="C103" s="757">
        <f>+C101+C102</f>
        <v>109791.8054454137</v>
      </c>
      <c r="D103" s="757">
        <f>+D101+D102</f>
        <v>98937.899219304469</v>
      </c>
      <c r="E103" s="757">
        <f>+E101+E102</f>
        <v>105950.58252427184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1001</v>
      </c>
      <c r="B107" s="736" t="s">
        <v>1002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1003</v>
      </c>
      <c r="C108" s="744">
        <f>IF(C19=0,0,C77/C19)</f>
        <v>3369.9180527383369</v>
      </c>
      <c r="D108" s="744">
        <f>IF(D19=0,0,D77/D19)</f>
        <v>3749.0856118332586</v>
      </c>
      <c r="E108" s="744">
        <f>IF(E19=0,0,E77/E19)</f>
        <v>4089.7160943988656</v>
      </c>
    </row>
    <row r="109" spans="1:5" ht="26.1" customHeight="1" x14ac:dyDescent="0.25">
      <c r="A109" s="742">
        <v>2</v>
      </c>
      <c r="B109" s="743" t="s">
        <v>1004</v>
      </c>
      <c r="C109" s="744">
        <f>IF(C20=0,0,C77/C20)</f>
        <v>16180.070120763537</v>
      </c>
      <c r="D109" s="744">
        <f>IF(D20=0,0,D77/D20)</f>
        <v>17864.609141392568</v>
      </c>
      <c r="E109" s="744">
        <f>IF(E20=0,0,E77/E20)</f>
        <v>19118.260890151516</v>
      </c>
    </row>
    <row r="110" spans="1:5" ht="26.1" customHeight="1" x14ac:dyDescent="0.25">
      <c r="A110" s="742">
        <v>3</v>
      </c>
      <c r="B110" s="743" t="s">
        <v>1005</v>
      </c>
      <c r="C110" s="744">
        <f>IF(C22=0,0,C77/C22)</f>
        <v>1199.4146589372613</v>
      </c>
      <c r="D110" s="744">
        <f>IF(D22=0,0,D77/D22)</f>
        <v>1268.2030026182977</v>
      </c>
      <c r="E110" s="744">
        <f>IF(E22=0,0,E77/E22)</f>
        <v>1341.348561453713</v>
      </c>
    </row>
    <row r="111" spans="1:5" ht="26.1" customHeight="1" x14ac:dyDescent="0.25">
      <c r="A111" s="742">
        <v>4</v>
      </c>
      <c r="B111" s="743" t="s">
        <v>1006</v>
      </c>
      <c r="C111" s="744">
        <f>IF(C23=0,0,C77/C23)</f>
        <v>5758.7789915861886</v>
      </c>
      <c r="D111" s="744">
        <f>IF(D23=0,0,D77/D23)</f>
        <v>6043.060441780055</v>
      </c>
      <c r="E111" s="744">
        <f>IF(E23=0,0,E77/E23)</f>
        <v>6270.4234598638768</v>
      </c>
    </row>
    <row r="112" spans="1:5" ht="26.1" customHeight="1" x14ac:dyDescent="0.25">
      <c r="A112" s="742">
        <v>5</v>
      </c>
      <c r="B112" s="743" t="s">
        <v>1007</v>
      </c>
      <c r="C112" s="744">
        <f>IF(C29=0,0,C77/C29)</f>
        <v>762.12641429828204</v>
      </c>
      <c r="D112" s="744">
        <f>IF(D29=0,0,D77/D29)</f>
        <v>817.14181839369553</v>
      </c>
      <c r="E112" s="744">
        <f>IF(E29=0,0,E77/E29)</f>
        <v>789.65454449498225</v>
      </c>
    </row>
    <row r="113" spans="1:7" ht="25.5" customHeight="1" x14ac:dyDescent="0.25">
      <c r="A113" s="742">
        <v>6</v>
      </c>
      <c r="B113" s="743" t="s">
        <v>1008</v>
      </c>
      <c r="C113" s="744">
        <f>IF(C30=0,0,C77/C30)</f>
        <v>3659.2162275910896</v>
      </c>
      <c r="D113" s="744">
        <f>IF(D30=0,0,D77/D30)</f>
        <v>3893.7278873052851</v>
      </c>
      <c r="E113" s="744">
        <f>IF(E30=0,0,E77/E30)</f>
        <v>3691.4106618366282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scale="68" fitToHeight="0" orientation="portrait" horizontalDpi="1200" verticalDpi="1200" r:id="rId1"/>
  <headerFooter>
    <oddHeader>&amp;L&amp;"Arial,Bold"&amp;12OFFICE OF HEALTH CARE ACCESS&amp;C&amp;"Arial,Bold"&amp;12TWELVE MONTHS ACTUAL FILING&amp;R&amp;"Arial,Bold"&amp;12ROCKVILLE GENERAL HOSPITAL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227300072</v>
      </c>
      <c r="D12" s="76">
        <v>227496962</v>
      </c>
      <c r="E12" s="76">
        <f t="shared" ref="E12:E21" si="0">D12-C12</f>
        <v>196890</v>
      </c>
      <c r="F12" s="77">
        <f t="shared" ref="F12:F21" si="1">IF(C12=0,0,E12/C12)</f>
        <v>8.6621178017048754E-4</v>
      </c>
    </row>
    <row r="13" spans="1:8" ht="23.1" customHeight="1" x14ac:dyDescent="0.2">
      <c r="A13" s="74">
        <v>2</v>
      </c>
      <c r="B13" s="75" t="s">
        <v>72</v>
      </c>
      <c r="C13" s="76">
        <v>154781564</v>
      </c>
      <c r="D13" s="76">
        <v>160647774</v>
      </c>
      <c r="E13" s="76">
        <f t="shared" si="0"/>
        <v>5866210</v>
      </c>
      <c r="F13" s="77">
        <f t="shared" si="1"/>
        <v>3.7899927151530788E-2</v>
      </c>
    </row>
    <row r="14" spans="1:8" ht="23.1" customHeight="1" x14ac:dyDescent="0.2">
      <c r="A14" s="74">
        <v>3</v>
      </c>
      <c r="B14" s="75" t="s">
        <v>73</v>
      </c>
      <c r="C14" s="76">
        <v>1188543</v>
      </c>
      <c r="D14" s="76">
        <v>236079</v>
      </c>
      <c r="E14" s="76">
        <f t="shared" si="0"/>
        <v>-952464</v>
      </c>
      <c r="F14" s="77">
        <f t="shared" si="1"/>
        <v>-0.80137109048641908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71329965</v>
      </c>
      <c r="D16" s="79">
        <f>D12-D13-D14-D15</f>
        <v>66613109</v>
      </c>
      <c r="E16" s="79">
        <f t="shared" si="0"/>
        <v>-4716856</v>
      </c>
      <c r="F16" s="80">
        <f t="shared" si="1"/>
        <v>-6.6127272037775423E-2</v>
      </c>
    </row>
    <row r="17" spans="1:7" ht="23.1" customHeight="1" x14ac:dyDescent="0.2">
      <c r="A17" s="74">
        <v>5</v>
      </c>
      <c r="B17" s="75" t="s">
        <v>76</v>
      </c>
      <c r="C17" s="76">
        <v>2801283</v>
      </c>
      <c r="D17" s="76">
        <v>3610628</v>
      </c>
      <c r="E17" s="76">
        <f t="shared" si="0"/>
        <v>809345</v>
      </c>
      <c r="F17" s="77">
        <f t="shared" si="1"/>
        <v>0.28891939871837297</v>
      </c>
      <c r="G17" s="65"/>
    </row>
    <row r="18" spans="1:7" ht="31.5" customHeight="1" x14ac:dyDescent="0.25">
      <c r="A18" s="71"/>
      <c r="B18" s="81" t="s">
        <v>77</v>
      </c>
      <c r="C18" s="79">
        <f>C16-C17</f>
        <v>68528682</v>
      </c>
      <c r="D18" s="79">
        <f>D16-D17</f>
        <v>63002481</v>
      </c>
      <c r="E18" s="79">
        <f t="shared" si="0"/>
        <v>-5526201</v>
      </c>
      <c r="F18" s="80">
        <f t="shared" si="1"/>
        <v>-8.0640701655403213E-2</v>
      </c>
    </row>
    <row r="19" spans="1:7" ht="23.1" customHeight="1" x14ac:dyDescent="0.2">
      <c r="A19" s="74">
        <v>6</v>
      </c>
      <c r="B19" s="75" t="s">
        <v>78</v>
      </c>
      <c r="C19" s="76">
        <v>6342519</v>
      </c>
      <c r="D19" s="76">
        <v>2175391</v>
      </c>
      <c r="E19" s="76">
        <f t="shared" si="0"/>
        <v>-4167128</v>
      </c>
      <c r="F19" s="77">
        <f t="shared" si="1"/>
        <v>-0.65701466562417865</v>
      </c>
      <c r="G19" s="65"/>
    </row>
    <row r="20" spans="1:7" ht="33" customHeight="1" x14ac:dyDescent="0.2">
      <c r="A20" s="74">
        <v>7</v>
      </c>
      <c r="B20" s="82" t="s">
        <v>79</v>
      </c>
      <c r="C20" s="76">
        <v>49147</v>
      </c>
      <c r="D20" s="76">
        <v>50382</v>
      </c>
      <c r="E20" s="76">
        <f t="shared" si="0"/>
        <v>1235</v>
      </c>
      <c r="F20" s="77">
        <f t="shared" si="1"/>
        <v>2.5128695546015017E-2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74920348</v>
      </c>
      <c r="D21" s="79">
        <f>SUM(D18:D20)</f>
        <v>65228254</v>
      </c>
      <c r="E21" s="79">
        <f t="shared" si="0"/>
        <v>-9692094</v>
      </c>
      <c r="F21" s="80">
        <f t="shared" si="1"/>
        <v>-0.12936530940833324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32460253</v>
      </c>
      <c r="D24" s="76">
        <v>30678558</v>
      </c>
      <c r="E24" s="76">
        <f t="shared" ref="E24:E33" si="2">D24-C24</f>
        <v>-1781695</v>
      </c>
      <c r="F24" s="77">
        <f t="shared" ref="F24:F33" si="3">IF(C24=0,0,E24/C24)</f>
        <v>-5.4888512421637628E-2</v>
      </c>
    </row>
    <row r="25" spans="1:7" ht="23.1" customHeight="1" x14ac:dyDescent="0.2">
      <c r="A25" s="74">
        <v>2</v>
      </c>
      <c r="B25" s="75" t="s">
        <v>83</v>
      </c>
      <c r="C25" s="76">
        <v>9360797</v>
      </c>
      <c r="D25" s="76">
        <v>9699209</v>
      </c>
      <c r="E25" s="76">
        <f t="shared" si="2"/>
        <v>338412</v>
      </c>
      <c r="F25" s="77">
        <f t="shared" si="3"/>
        <v>3.6152049873531066E-2</v>
      </c>
    </row>
    <row r="26" spans="1:7" ht="23.1" customHeight="1" x14ac:dyDescent="0.2">
      <c r="A26" s="74">
        <v>3</v>
      </c>
      <c r="B26" s="75" t="s">
        <v>84</v>
      </c>
      <c r="C26" s="76">
        <v>3728005</v>
      </c>
      <c r="D26" s="76">
        <v>4225295</v>
      </c>
      <c r="E26" s="76">
        <f t="shared" si="2"/>
        <v>497290</v>
      </c>
      <c r="F26" s="77">
        <f t="shared" si="3"/>
        <v>0.13339306143634463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9776421</v>
      </c>
      <c r="D27" s="76">
        <v>9555437</v>
      </c>
      <c r="E27" s="76">
        <f t="shared" si="2"/>
        <v>-220984</v>
      </c>
      <c r="F27" s="77">
        <f t="shared" si="3"/>
        <v>-2.2603772893986459E-2</v>
      </c>
    </row>
    <row r="28" spans="1:7" ht="23.1" customHeight="1" x14ac:dyDescent="0.2">
      <c r="A28" s="74">
        <v>5</v>
      </c>
      <c r="B28" s="75" t="s">
        <v>86</v>
      </c>
      <c r="C28" s="76">
        <v>3281014</v>
      </c>
      <c r="D28" s="76">
        <v>3138917</v>
      </c>
      <c r="E28" s="76">
        <f t="shared" si="2"/>
        <v>-142097</v>
      </c>
      <c r="F28" s="77">
        <f t="shared" si="3"/>
        <v>-4.3308867319676175E-2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689882</v>
      </c>
      <c r="D30" s="76">
        <v>697473</v>
      </c>
      <c r="E30" s="76">
        <f t="shared" si="2"/>
        <v>7591</v>
      </c>
      <c r="F30" s="77">
        <f t="shared" si="3"/>
        <v>1.1003331004432642E-2</v>
      </c>
    </row>
    <row r="31" spans="1:7" ht="23.1" customHeight="1" x14ac:dyDescent="0.2">
      <c r="A31" s="74">
        <v>8</v>
      </c>
      <c r="B31" s="75" t="s">
        <v>89</v>
      </c>
      <c r="C31" s="76">
        <v>1033082</v>
      </c>
      <c r="D31" s="76">
        <v>1134624</v>
      </c>
      <c r="E31" s="76">
        <f t="shared" si="2"/>
        <v>101542</v>
      </c>
      <c r="F31" s="77">
        <f t="shared" si="3"/>
        <v>9.8290358364582872E-2</v>
      </c>
    </row>
    <row r="32" spans="1:7" ht="23.1" customHeight="1" x14ac:dyDescent="0.2">
      <c r="A32" s="74">
        <v>9</v>
      </c>
      <c r="B32" s="75" t="s">
        <v>90</v>
      </c>
      <c r="C32" s="76">
        <v>11830201</v>
      </c>
      <c r="D32" s="76">
        <v>9738402</v>
      </c>
      <c r="E32" s="76">
        <f t="shared" si="2"/>
        <v>-2091799</v>
      </c>
      <c r="F32" s="77">
        <f t="shared" si="3"/>
        <v>-0.1768185510964691</v>
      </c>
    </row>
    <row r="33" spans="1:6" ht="23.1" customHeight="1" x14ac:dyDescent="0.25">
      <c r="A33" s="71"/>
      <c r="B33" s="78" t="s">
        <v>91</v>
      </c>
      <c r="C33" s="79">
        <f>SUM(C24:C32)</f>
        <v>72159655</v>
      </c>
      <c r="D33" s="79">
        <f>SUM(D24:D32)</f>
        <v>68867915</v>
      </c>
      <c r="E33" s="79">
        <f t="shared" si="2"/>
        <v>-3291740</v>
      </c>
      <c r="F33" s="80">
        <f t="shared" si="3"/>
        <v>-4.5617457566835648E-2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2760693</v>
      </c>
      <c r="D35" s="79">
        <f>+D21-D33</f>
        <v>-3639661</v>
      </c>
      <c r="E35" s="79">
        <f>D35-C35</f>
        <v>-6400354</v>
      </c>
      <c r="F35" s="80">
        <f>IF(C35=0,0,E35/C35)</f>
        <v>-2.3183867239131626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24</v>
      </c>
      <c r="D38" s="76">
        <v>0</v>
      </c>
      <c r="E38" s="76">
        <f>D38-C38</f>
        <v>-24</v>
      </c>
      <c r="F38" s="77">
        <f>IF(C38=0,0,E38/C38)</f>
        <v>-1</v>
      </c>
    </row>
    <row r="39" spans="1:6" ht="23.1" customHeight="1" x14ac:dyDescent="0.2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-378588</v>
      </c>
      <c r="D40" s="76">
        <v>-546692</v>
      </c>
      <c r="E40" s="76">
        <f>D40-C40</f>
        <v>-168104</v>
      </c>
      <c r="F40" s="77">
        <f>IF(C40=0,0,E40/C40)</f>
        <v>0.4440288651515632</v>
      </c>
    </row>
    <row r="41" spans="1:6" ht="23.1" customHeight="1" x14ac:dyDescent="0.25">
      <c r="A41" s="83"/>
      <c r="B41" s="78" t="s">
        <v>97</v>
      </c>
      <c r="C41" s="79">
        <f>SUM(C38:C40)</f>
        <v>-378564</v>
      </c>
      <c r="D41" s="79">
        <f>SUM(D38:D40)</f>
        <v>-546692</v>
      </c>
      <c r="E41" s="79">
        <f>D41-C41</f>
        <v>-168128</v>
      </c>
      <c r="F41" s="80">
        <f>IF(C41=0,0,E41/C41)</f>
        <v>0.44412041292885746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2382129</v>
      </c>
      <c r="D43" s="79">
        <f>D35+D41</f>
        <v>-4186353</v>
      </c>
      <c r="E43" s="79">
        <f>D43-C43</f>
        <v>-6568482</v>
      </c>
      <c r="F43" s="80">
        <f>IF(C43=0,0,E43/C43)</f>
        <v>-2.7573997881726808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0</v>
      </c>
      <c r="D48" s="79">
        <f>SUM(D46:D47)</f>
        <v>0</v>
      </c>
      <c r="E48" s="79">
        <f>D48-C48</f>
        <v>0</v>
      </c>
      <c r="F48" s="80">
        <f>IF(C48=0,0,E48/C48)</f>
        <v>0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2382129</v>
      </c>
      <c r="D50" s="79">
        <f>D43+D48</f>
        <v>-4186353</v>
      </c>
      <c r="E50" s="79">
        <f>D50-C50</f>
        <v>-6568482</v>
      </c>
      <c r="F50" s="80">
        <f>IF(C50=0,0,E50/C50)</f>
        <v>-2.7573997881726808</v>
      </c>
    </row>
    <row r="51" spans="1:6" ht="23.1" customHeight="1" x14ac:dyDescent="0.2">
      <c r="A51" s="85"/>
      <c r="B51" s="75" t="s">
        <v>104</v>
      </c>
      <c r="C51" s="76">
        <v>874828</v>
      </c>
      <c r="D51" s="76">
        <v>960529</v>
      </c>
      <c r="E51" s="76">
        <f>D51-C51</f>
        <v>85701</v>
      </c>
      <c r="F51" s="77">
        <f>IF(C51=0,0,E51/C51)</f>
        <v>9.7963256777332225E-2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scale="74" fitToHeight="0" orientation="portrait" horizontalDpi="1200" verticalDpi="1200" r:id="rId1"/>
  <headerFooter>
    <oddHeader>&amp;LOFFICE OF HEALTH CARE ACCESS&amp;CTWELVE MONTHS ACTUAL FILING&amp;RROCKVILLE GENERAL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69" t="s">
        <v>0</v>
      </c>
      <c r="B2" s="769"/>
      <c r="C2" s="769"/>
      <c r="D2" s="769"/>
      <c r="E2" s="769"/>
      <c r="F2" s="769"/>
    </row>
    <row r="3" spans="1:6" ht="15.75" customHeight="1" x14ac:dyDescent="0.25">
      <c r="A3" s="769" t="s">
        <v>1</v>
      </c>
      <c r="B3" s="769"/>
      <c r="C3" s="769"/>
      <c r="D3" s="769"/>
      <c r="E3" s="769"/>
      <c r="F3" s="769"/>
    </row>
    <row r="4" spans="1:6" ht="15.75" customHeight="1" x14ac:dyDescent="0.25">
      <c r="A4" s="769" t="s">
        <v>2</v>
      </c>
      <c r="B4" s="769"/>
      <c r="C4" s="769"/>
      <c r="D4" s="769"/>
      <c r="E4" s="769"/>
      <c r="F4" s="769"/>
    </row>
    <row r="5" spans="1:6" ht="15.75" customHeight="1" x14ac:dyDescent="0.25">
      <c r="A5" s="769" t="s">
        <v>105</v>
      </c>
      <c r="B5" s="769"/>
      <c r="C5" s="769"/>
      <c r="D5" s="769"/>
      <c r="E5" s="769"/>
      <c r="F5" s="76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70"/>
      <c r="D9" s="771"/>
      <c r="E9" s="771"/>
      <c r="F9" s="772"/>
    </row>
    <row r="10" spans="1:6" x14ac:dyDescent="0.2">
      <c r="A10" s="773" t="s">
        <v>12</v>
      </c>
      <c r="B10" s="775" t="s">
        <v>111</v>
      </c>
      <c r="C10" s="777"/>
      <c r="D10" s="778"/>
      <c r="E10" s="778"/>
      <c r="F10" s="779"/>
    </row>
    <row r="11" spans="1:6" x14ac:dyDescent="0.2">
      <c r="A11" s="774"/>
      <c r="B11" s="776"/>
      <c r="C11" s="780"/>
      <c r="D11" s="781"/>
      <c r="E11" s="781"/>
      <c r="F11" s="782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36261315</v>
      </c>
      <c r="D14" s="113">
        <v>36444351</v>
      </c>
      <c r="E14" s="113">
        <f t="shared" ref="E14:E25" si="0">D14-C14</f>
        <v>183036</v>
      </c>
      <c r="F14" s="114">
        <f t="shared" ref="F14:F25" si="1">IF(C14=0,0,E14/C14)</f>
        <v>5.0476933889463194E-3</v>
      </c>
    </row>
    <row r="15" spans="1:6" x14ac:dyDescent="0.2">
      <c r="A15" s="115">
        <v>2</v>
      </c>
      <c r="B15" s="116" t="s">
        <v>114</v>
      </c>
      <c r="C15" s="113">
        <v>14580622</v>
      </c>
      <c r="D15" s="113">
        <v>14884286</v>
      </c>
      <c r="E15" s="113">
        <f t="shared" si="0"/>
        <v>303664</v>
      </c>
      <c r="F15" s="114">
        <f t="shared" si="1"/>
        <v>2.0826546357213017E-2</v>
      </c>
    </row>
    <row r="16" spans="1:6" x14ac:dyDescent="0.2">
      <c r="A16" s="115">
        <v>3</v>
      </c>
      <c r="B16" s="116" t="s">
        <v>115</v>
      </c>
      <c r="C16" s="113">
        <v>9643810</v>
      </c>
      <c r="D16" s="113">
        <v>9112209</v>
      </c>
      <c r="E16" s="113">
        <f t="shared" si="0"/>
        <v>-531601</v>
      </c>
      <c r="F16" s="114">
        <f t="shared" si="1"/>
        <v>-5.5123545569645195E-2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366000</v>
      </c>
      <c r="D18" s="113">
        <v>339163</v>
      </c>
      <c r="E18" s="113">
        <f t="shared" si="0"/>
        <v>-26837</v>
      </c>
      <c r="F18" s="114">
        <f t="shared" si="1"/>
        <v>-7.3325136612021863E-2</v>
      </c>
    </row>
    <row r="19" spans="1:6" x14ac:dyDescent="0.2">
      <c r="A19" s="115">
        <v>6</v>
      </c>
      <c r="B19" s="116" t="s">
        <v>118</v>
      </c>
      <c r="C19" s="113">
        <v>1340186</v>
      </c>
      <c r="D19" s="113">
        <v>1276261</v>
      </c>
      <c r="E19" s="113">
        <f t="shared" si="0"/>
        <v>-63925</v>
      </c>
      <c r="F19" s="114">
        <f t="shared" si="1"/>
        <v>-4.7698603029728712E-2</v>
      </c>
    </row>
    <row r="20" spans="1:6" x14ac:dyDescent="0.2">
      <c r="A20" s="115">
        <v>7</v>
      </c>
      <c r="B20" s="116" t="s">
        <v>119</v>
      </c>
      <c r="C20" s="113">
        <v>13283116</v>
      </c>
      <c r="D20" s="113">
        <v>11717968</v>
      </c>
      <c r="E20" s="113">
        <f t="shared" si="0"/>
        <v>-1565148</v>
      </c>
      <c r="F20" s="114">
        <f t="shared" si="1"/>
        <v>-0.11782988268716467</v>
      </c>
    </row>
    <row r="21" spans="1:6" x14ac:dyDescent="0.2">
      <c r="A21" s="115">
        <v>8</v>
      </c>
      <c r="B21" s="116" t="s">
        <v>120</v>
      </c>
      <c r="C21" s="113">
        <v>611701</v>
      </c>
      <c r="D21" s="113">
        <v>361139</v>
      </c>
      <c r="E21" s="113">
        <f t="shared" si="0"/>
        <v>-250562</v>
      </c>
      <c r="F21" s="114">
        <f t="shared" si="1"/>
        <v>-0.40961515511663377</v>
      </c>
    </row>
    <row r="22" spans="1:6" x14ac:dyDescent="0.2">
      <c r="A22" s="115">
        <v>9</v>
      </c>
      <c r="B22" s="116" t="s">
        <v>121</v>
      </c>
      <c r="C22" s="113">
        <v>802034</v>
      </c>
      <c r="D22" s="113">
        <v>479270</v>
      </c>
      <c r="E22" s="113">
        <f t="shared" si="0"/>
        <v>-322764</v>
      </c>
      <c r="F22" s="114">
        <f t="shared" si="1"/>
        <v>-0.40243181710501053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0</v>
      </c>
      <c r="D24" s="113">
        <v>0</v>
      </c>
      <c r="E24" s="113">
        <f t="shared" si="0"/>
        <v>0</v>
      </c>
      <c r="F24" s="114">
        <f t="shared" si="1"/>
        <v>0</v>
      </c>
    </row>
    <row r="25" spans="1:6" ht="15.75" x14ac:dyDescent="0.25">
      <c r="A25" s="117"/>
      <c r="B25" s="118" t="s">
        <v>124</v>
      </c>
      <c r="C25" s="119">
        <f>SUM(C14:C24)</f>
        <v>76888784</v>
      </c>
      <c r="D25" s="119">
        <f>SUM(D14:D24)</f>
        <v>74614647</v>
      </c>
      <c r="E25" s="119">
        <f t="shared" si="0"/>
        <v>-2274137</v>
      </c>
      <c r="F25" s="120">
        <f t="shared" si="1"/>
        <v>-2.9576966648347566E-2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35926334</v>
      </c>
      <c r="D27" s="113">
        <v>37117247</v>
      </c>
      <c r="E27" s="113">
        <f t="shared" ref="E27:E38" si="2">D27-C27</f>
        <v>1190913</v>
      </c>
      <c r="F27" s="114">
        <f t="shared" ref="F27:F38" si="3">IF(C27=0,0,E27/C27)</f>
        <v>3.3148748213497094E-2</v>
      </c>
    </row>
    <row r="28" spans="1:6" x14ac:dyDescent="0.2">
      <c r="A28" s="115">
        <v>2</v>
      </c>
      <c r="B28" s="116" t="s">
        <v>114</v>
      </c>
      <c r="C28" s="113">
        <v>13207433</v>
      </c>
      <c r="D28" s="113">
        <v>14569949</v>
      </c>
      <c r="E28" s="113">
        <f t="shared" si="2"/>
        <v>1362516</v>
      </c>
      <c r="F28" s="114">
        <f t="shared" si="3"/>
        <v>0.10316281748315513</v>
      </c>
    </row>
    <row r="29" spans="1:6" x14ac:dyDescent="0.2">
      <c r="A29" s="115">
        <v>3</v>
      </c>
      <c r="B29" s="116" t="s">
        <v>115</v>
      </c>
      <c r="C29" s="113">
        <v>31469205</v>
      </c>
      <c r="D29" s="113">
        <v>35637001</v>
      </c>
      <c r="E29" s="113">
        <f t="shared" si="2"/>
        <v>4167796</v>
      </c>
      <c r="F29" s="114">
        <f t="shared" si="3"/>
        <v>0.1324404604437894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1023970</v>
      </c>
      <c r="D31" s="113">
        <v>1100397</v>
      </c>
      <c r="E31" s="113">
        <f t="shared" si="2"/>
        <v>76427</v>
      </c>
      <c r="F31" s="114">
        <f t="shared" si="3"/>
        <v>7.4637928845571647E-2</v>
      </c>
    </row>
    <row r="32" spans="1:6" x14ac:dyDescent="0.2">
      <c r="A32" s="115">
        <v>6</v>
      </c>
      <c r="B32" s="116" t="s">
        <v>118</v>
      </c>
      <c r="C32" s="113">
        <v>3020411</v>
      </c>
      <c r="D32" s="113">
        <v>3052062</v>
      </c>
      <c r="E32" s="113">
        <f t="shared" si="2"/>
        <v>31651</v>
      </c>
      <c r="F32" s="114">
        <f t="shared" si="3"/>
        <v>1.0479037455498606E-2</v>
      </c>
    </row>
    <row r="33" spans="1:6" x14ac:dyDescent="0.2">
      <c r="A33" s="115">
        <v>7</v>
      </c>
      <c r="B33" s="116" t="s">
        <v>119</v>
      </c>
      <c r="C33" s="113">
        <v>60330470</v>
      </c>
      <c r="D33" s="113">
        <v>56083347</v>
      </c>
      <c r="E33" s="113">
        <f t="shared" si="2"/>
        <v>-4247123</v>
      </c>
      <c r="F33" s="114">
        <f t="shared" si="3"/>
        <v>-7.0397644838503665E-2</v>
      </c>
    </row>
    <row r="34" spans="1:6" x14ac:dyDescent="0.2">
      <c r="A34" s="115">
        <v>8</v>
      </c>
      <c r="B34" s="116" t="s">
        <v>120</v>
      </c>
      <c r="C34" s="113">
        <v>2012896</v>
      </c>
      <c r="D34" s="113">
        <v>2259875</v>
      </c>
      <c r="E34" s="113">
        <f t="shared" si="2"/>
        <v>246979</v>
      </c>
      <c r="F34" s="114">
        <f t="shared" si="3"/>
        <v>0.12269834109660907</v>
      </c>
    </row>
    <row r="35" spans="1:6" x14ac:dyDescent="0.2">
      <c r="A35" s="115">
        <v>9</v>
      </c>
      <c r="B35" s="116" t="s">
        <v>121</v>
      </c>
      <c r="C35" s="113">
        <v>3420569</v>
      </c>
      <c r="D35" s="113">
        <v>3062437</v>
      </c>
      <c r="E35" s="113">
        <f t="shared" si="2"/>
        <v>-358132</v>
      </c>
      <c r="F35" s="114">
        <f t="shared" si="3"/>
        <v>-0.10469953975493551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0</v>
      </c>
      <c r="D37" s="113">
        <v>0</v>
      </c>
      <c r="E37" s="113">
        <f t="shared" si="2"/>
        <v>0</v>
      </c>
      <c r="F37" s="114">
        <f t="shared" si="3"/>
        <v>0</v>
      </c>
    </row>
    <row r="38" spans="1:6" ht="15.75" x14ac:dyDescent="0.25">
      <c r="A38" s="117"/>
      <c r="B38" s="118" t="s">
        <v>126</v>
      </c>
      <c r="C38" s="119">
        <f>SUM(C27:C37)</f>
        <v>150411288</v>
      </c>
      <c r="D38" s="119">
        <f>SUM(D27:D37)</f>
        <v>152882315</v>
      </c>
      <c r="E38" s="119">
        <f t="shared" si="2"/>
        <v>2471027</v>
      </c>
      <c r="F38" s="120">
        <f t="shared" si="3"/>
        <v>1.6428467788933501E-2</v>
      </c>
    </row>
    <row r="39" spans="1:6" ht="15" customHeight="1" x14ac:dyDescent="0.2">
      <c r="A39" s="773" t="s">
        <v>127</v>
      </c>
      <c r="B39" s="775" t="s">
        <v>128</v>
      </c>
      <c r="C39" s="777"/>
      <c r="D39" s="778"/>
      <c r="E39" s="778"/>
      <c r="F39" s="779"/>
    </row>
    <row r="40" spans="1:6" ht="15" customHeight="1" x14ac:dyDescent="0.2">
      <c r="A40" s="774"/>
      <c r="B40" s="776"/>
      <c r="C40" s="780"/>
      <c r="D40" s="781"/>
      <c r="E40" s="781"/>
      <c r="F40" s="782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72187649</v>
      </c>
      <c r="D41" s="119">
        <f t="shared" si="4"/>
        <v>73561598</v>
      </c>
      <c r="E41" s="123">
        <f t="shared" ref="E41:E52" si="5">D41-C41</f>
        <v>1373949</v>
      </c>
      <c r="F41" s="124">
        <f t="shared" ref="F41:F52" si="6">IF(C41=0,0,E41/C41)</f>
        <v>1.9033020454787216E-2</v>
      </c>
    </row>
    <row r="42" spans="1:6" ht="15.75" x14ac:dyDescent="0.25">
      <c r="A42" s="121">
        <v>2</v>
      </c>
      <c r="B42" s="122" t="s">
        <v>114</v>
      </c>
      <c r="C42" s="119">
        <f t="shared" si="4"/>
        <v>27788055</v>
      </c>
      <c r="D42" s="119">
        <f t="shared" si="4"/>
        <v>29454235</v>
      </c>
      <c r="E42" s="123">
        <f t="shared" si="5"/>
        <v>1666180</v>
      </c>
      <c r="F42" s="124">
        <f t="shared" si="6"/>
        <v>5.996029588972672E-2</v>
      </c>
    </row>
    <row r="43" spans="1:6" ht="15.75" x14ac:dyDescent="0.25">
      <c r="A43" s="121">
        <v>3</v>
      </c>
      <c r="B43" s="122" t="s">
        <v>115</v>
      </c>
      <c r="C43" s="119">
        <f t="shared" si="4"/>
        <v>41113015</v>
      </c>
      <c r="D43" s="119">
        <f t="shared" si="4"/>
        <v>44749210</v>
      </c>
      <c r="E43" s="123">
        <f t="shared" si="5"/>
        <v>3636195</v>
      </c>
      <c r="F43" s="124">
        <f t="shared" si="6"/>
        <v>8.8443890578202553E-2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1389970</v>
      </c>
      <c r="D45" s="119">
        <f t="shared" si="4"/>
        <v>1439560</v>
      </c>
      <c r="E45" s="123">
        <f t="shared" si="5"/>
        <v>49590</v>
      </c>
      <c r="F45" s="124">
        <f t="shared" si="6"/>
        <v>3.5677029000625915E-2</v>
      </c>
    </row>
    <row r="46" spans="1:6" ht="15.75" x14ac:dyDescent="0.25">
      <c r="A46" s="121">
        <v>6</v>
      </c>
      <c r="B46" s="122" t="s">
        <v>118</v>
      </c>
      <c r="C46" s="119">
        <f t="shared" si="4"/>
        <v>4360597</v>
      </c>
      <c r="D46" s="119">
        <f t="shared" si="4"/>
        <v>4328323</v>
      </c>
      <c r="E46" s="123">
        <f t="shared" si="5"/>
        <v>-32274</v>
      </c>
      <c r="F46" s="124">
        <f t="shared" si="6"/>
        <v>-7.4012801458148963E-3</v>
      </c>
    </row>
    <row r="47" spans="1:6" ht="15.75" x14ac:dyDescent="0.25">
      <c r="A47" s="121">
        <v>7</v>
      </c>
      <c r="B47" s="122" t="s">
        <v>119</v>
      </c>
      <c r="C47" s="119">
        <f t="shared" si="4"/>
        <v>73613586</v>
      </c>
      <c r="D47" s="119">
        <f t="shared" si="4"/>
        <v>67801315</v>
      </c>
      <c r="E47" s="123">
        <f t="shared" si="5"/>
        <v>-5812271</v>
      </c>
      <c r="F47" s="124">
        <f t="shared" si="6"/>
        <v>-7.8956498600679506E-2</v>
      </c>
    </row>
    <row r="48" spans="1:6" ht="15.75" x14ac:dyDescent="0.25">
      <c r="A48" s="121">
        <v>8</v>
      </c>
      <c r="B48" s="122" t="s">
        <v>120</v>
      </c>
      <c r="C48" s="119">
        <f t="shared" si="4"/>
        <v>2624597</v>
      </c>
      <c r="D48" s="119">
        <f t="shared" si="4"/>
        <v>2621014</v>
      </c>
      <c r="E48" s="123">
        <f t="shared" si="5"/>
        <v>-3583</v>
      </c>
      <c r="F48" s="124">
        <f t="shared" si="6"/>
        <v>-1.3651619658179904E-3</v>
      </c>
    </row>
    <row r="49" spans="1:6" ht="15.75" x14ac:dyDescent="0.25">
      <c r="A49" s="121">
        <v>9</v>
      </c>
      <c r="B49" s="122" t="s">
        <v>121</v>
      </c>
      <c r="C49" s="119">
        <f t="shared" si="4"/>
        <v>4222603</v>
      </c>
      <c r="D49" s="119">
        <f t="shared" si="4"/>
        <v>3541707</v>
      </c>
      <c r="E49" s="123">
        <f t="shared" si="5"/>
        <v>-680896</v>
      </c>
      <c r="F49" s="124">
        <f t="shared" si="6"/>
        <v>-0.16125029987427186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0</v>
      </c>
      <c r="D51" s="119">
        <f t="shared" si="4"/>
        <v>0</v>
      </c>
      <c r="E51" s="123">
        <f t="shared" si="5"/>
        <v>0</v>
      </c>
      <c r="F51" s="124">
        <f t="shared" si="6"/>
        <v>0</v>
      </c>
    </row>
    <row r="52" spans="1:6" ht="18.75" customHeight="1" thickBot="1" x14ac:dyDescent="0.3">
      <c r="A52" s="125"/>
      <c r="B52" s="126" t="s">
        <v>128</v>
      </c>
      <c r="C52" s="127">
        <f>SUM(C41:C51)</f>
        <v>227300072</v>
      </c>
      <c r="D52" s="128">
        <f>SUM(D41:D51)</f>
        <v>227496962</v>
      </c>
      <c r="E52" s="127">
        <f t="shared" si="5"/>
        <v>196890</v>
      </c>
      <c r="F52" s="129">
        <f t="shared" si="6"/>
        <v>8.6621178017048754E-4</v>
      </c>
    </row>
    <row r="53" spans="1:6" x14ac:dyDescent="0.2">
      <c r="A53" s="773" t="s">
        <v>44</v>
      </c>
      <c r="B53" s="775" t="s">
        <v>129</v>
      </c>
      <c r="C53" s="777"/>
      <c r="D53" s="778"/>
      <c r="E53" s="778"/>
      <c r="F53" s="779"/>
    </row>
    <row r="54" spans="1:6" ht="15" customHeight="1" x14ac:dyDescent="0.2">
      <c r="A54" s="774"/>
      <c r="B54" s="776"/>
      <c r="C54" s="780"/>
      <c r="D54" s="781"/>
      <c r="E54" s="781"/>
      <c r="F54" s="782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11058502</v>
      </c>
      <c r="D57" s="113">
        <v>10332773</v>
      </c>
      <c r="E57" s="113">
        <f t="shared" ref="E57:E68" si="7">D57-C57</f>
        <v>-725729</v>
      </c>
      <c r="F57" s="114">
        <f t="shared" ref="F57:F68" si="8">IF(C57=0,0,E57/C57)</f>
        <v>-6.5626338901959777E-2</v>
      </c>
    </row>
    <row r="58" spans="1:6" x14ac:dyDescent="0.2">
      <c r="A58" s="115">
        <v>2</v>
      </c>
      <c r="B58" s="116" t="s">
        <v>114</v>
      </c>
      <c r="C58" s="113">
        <v>4159814</v>
      </c>
      <c r="D58" s="113">
        <v>3890412</v>
      </c>
      <c r="E58" s="113">
        <f t="shared" si="7"/>
        <v>-269402</v>
      </c>
      <c r="F58" s="114">
        <f t="shared" si="8"/>
        <v>-6.4762991806845208E-2</v>
      </c>
    </row>
    <row r="59" spans="1:6" x14ac:dyDescent="0.2">
      <c r="A59" s="115">
        <v>3</v>
      </c>
      <c r="B59" s="116" t="s">
        <v>115</v>
      </c>
      <c r="C59" s="113">
        <v>1676207</v>
      </c>
      <c r="D59" s="113">
        <v>1544776</v>
      </c>
      <c r="E59" s="113">
        <f t="shared" si="7"/>
        <v>-131431</v>
      </c>
      <c r="F59" s="114">
        <f t="shared" si="8"/>
        <v>-7.8409766812810117E-2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89721</v>
      </c>
      <c r="D61" s="113">
        <v>40842</v>
      </c>
      <c r="E61" s="113">
        <f t="shared" si="7"/>
        <v>-48879</v>
      </c>
      <c r="F61" s="114">
        <f t="shared" si="8"/>
        <v>-0.54478884542080452</v>
      </c>
    </row>
    <row r="62" spans="1:6" x14ac:dyDescent="0.2">
      <c r="A62" s="115">
        <v>6</v>
      </c>
      <c r="B62" s="116" t="s">
        <v>118</v>
      </c>
      <c r="C62" s="113">
        <v>397015</v>
      </c>
      <c r="D62" s="113">
        <v>556684</v>
      </c>
      <c r="E62" s="113">
        <f t="shared" si="7"/>
        <v>159669</v>
      </c>
      <c r="F62" s="114">
        <f t="shared" si="8"/>
        <v>0.40217372139591701</v>
      </c>
    </row>
    <row r="63" spans="1:6" x14ac:dyDescent="0.2">
      <c r="A63" s="115">
        <v>7</v>
      </c>
      <c r="B63" s="116" t="s">
        <v>119</v>
      </c>
      <c r="C63" s="113">
        <v>6140074</v>
      </c>
      <c r="D63" s="113">
        <v>5711976</v>
      </c>
      <c r="E63" s="113">
        <f t="shared" si="7"/>
        <v>-428098</v>
      </c>
      <c r="F63" s="114">
        <f t="shared" si="8"/>
        <v>-6.972196100568169E-2</v>
      </c>
    </row>
    <row r="64" spans="1:6" x14ac:dyDescent="0.2">
      <c r="A64" s="115">
        <v>8</v>
      </c>
      <c r="B64" s="116" t="s">
        <v>120</v>
      </c>
      <c r="C64" s="113">
        <v>264389</v>
      </c>
      <c r="D64" s="113">
        <v>154571</v>
      </c>
      <c r="E64" s="113">
        <f t="shared" si="7"/>
        <v>-109818</v>
      </c>
      <c r="F64" s="114">
        <f t="shared" si="8"/>
        <v>-0.41536523834198852</v>
      </c>
    </row>
    <row r="65" spans="1:6" x14ac:dyDescent="0.2">
      <c r="A65" s="115">
        <v>9</v>
      </c>
      <c r="B65" s="116" t="s">
        <v>121</v>
      </c>
      <c r="C65" s="113">
        <v>20</v>
      </c>
      <c r="D65" s="113">
        <v>10675</v>
      </c>
      <c r="E65" s="113">
        <f t="shared" si="7"/>
        <v>10655</v>
      </c>
      <c r="F65" s="114">
        <f t="shared" si="8"/>
        <v>532.75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0</v>
      </c>
      <c r="D67" s="113">
        <v>0</v>
      </c>
      <c r="E67" s="113">
        <f t="shared" si="7"/>
        <v>0</v>
      </c>
      <c r="F67" s="114">
        <f t="shared" si="8"/>
        <v>0</v>
      </c>
    </row>
    <row r="68" spans="1:6" ht="15.75" x14ac:dyDescent="0.25">
      <c r="A68" s="117"/>
      <c r="B68" s="118" t="s">
        <v>131</v>
      </c>
      <c r="C68" s="119">
        <f>SUM(C57:C67)</f>
        <v>23785742</v>
      </c>
      <c r="D68" s="119">
        <f>SUM(D57:D67)</f>
        <v>22242709</v>
      </c>
      <c r="E68" s="119">
        <f t="shared" si="7"/>
        <v>-1543033</v>
      </c>
      <c r="F68" s="120">
        <f t="shared" si="8"/>
        <v>-6.4872182671450826E-2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7109183</v>
      </c>
      <c r="D70" s="113">
        <v>6772232</v>
      </c>
      <c r="E70" s="113">
        <f t="shared" ref="E70:E81" si="9">D70-C70</f>
        <v>-336951</v>
      </c>
      <c r="F70" s="114">
        <f t="shared" ref="F70:F81" si="10">IF(C70=0,0,E70/C70)</f>
        <v>-4.7396585514819352E-2</v>
      </c>
    </row>
    <row r="71" spans="1:6" x14ac:dyDescent="0.2">
      <c r="A71" s="115">
        <v>2</v>
      </c>
      <c r="B71" s="116" t="s">
        <v>114</v>
      </c>
      <c r="C71" s="113">
        <v>2602965</v>
      </c>
      <c r="D71" s="113">
        <v>2693193</v>
      </c>
      <c r="E71" s="113">
        <f t="shared" si="9"/>
        <v>90228</v>
      </c>
      <c r="F71" s="114">
        <f t="shared" si="10"/>
        <v>3.4663547147195599E-2</v>
      </c>
    </row>
    <row r="72" spans="1:6" x14ac:dyDescent="0.2">
      <c r="A72" s="115">
        <v>3</v>
      </c>
      <c r="B72" s="116" t="s">
        <v>115</v>
      </c>
      <c r="C72" s="113">
        <v>5770160</v>
      </c>
      <c r="D72" s="113">
        <v>5886266</v>
      </c>
      <c r="E72" s="113">
        <f t="shared" si="9"/>
        <v>116106</v>
      </c>
      <c r="F72" s="114">
        <f t="shared" si="10"/>
        <v>2.0121799048899856E-2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203932</v>
      </c>
      <c r="D74" s="113">
        <v>184187</v>
      </c>
      <c r="E74" s="113">
        <f t="shared" si="9"/>
        <v>-19745</v>
      </c>
      <c r="F74" s="114">
        <f t="shared" si="10"/>
        <v>-9.6821489516113218E-2</v>
      </c>
    </row>
    <row r="75" spans="1:6" x14ac:dyDescent="0.2">
      <c r="A75" s="115">
        <v>6</v>
      </c>
      <c r="B75" s="116" t="s">
        <v>118</v>
      </c>
      <c r="C75" s="113">
        <v>1210083</v>
      </c>
      <c r="D75" s="113">
        <v>1359465</v>
      </c>
      <c r="E75" s="113">
        <f t="shared" si="9"/>
        <v>149382</v>
      </c>
      <c r="F75" s="114">
        <f t="shared" si="10"/>
        <v>0.12344773044493643</v>
      </c>
    </row>
    <row r="76" spans="1:6" x14ac:dyDescent="0.2">
      <c r="A76" s="115">
        <v>7</v>
      </c>
      <c r="B76" s="116" t="s">
        <v>119</v>
      </c>
      <c r="C76" s="113">
        <v>27688373</v>
      </c>
      <c r="D76" s="113">
        <v>24822595</v>
      </c>
      <c r="E76" s="113">
        <f t="shared" si="9"/>
        <v>-2865778</v>
      </c>
      <c r="F76" s="114">
        <f t="shared" si="10"/>
        <v>-0.10350113385138231</v>
      </c>
    </row>
    <row r="77" spans="1:6" x14ac:dyDescent="0.2">
      <c r="A77" s="115">
        <v>8</v>
      </c>
      <c r="B77" s="116" t="s">
        <v>120</v>
      </c>
      <c r="C77" s="113">
        <v>1134829</v>
      </c>
      <c r="D77" s="113">
        <v>1059042</v>
      </c>
      <c r="E77" s="113">
        <f t="shared" si="9"/>
        <v>-75787</v>
      </c>
      <c r="F77" s="114">
        <f t="shared" si="10"/>
        <v>-6.6782748766554254E-2</v>
      </c>
    </row>
    <row r="78" spans="1:6" x14ac:dyDescent="0.2">
      <c r="A78" s="115">
        <v>9</v>
      </c>
      <c r="B78" s="116" t="s">
        <v>121</v>
      </c>
      <c r="C78" s="113">
        <v>247084</v>
      </c>
      <c r="D78" s="113">
        <v>186014</v>
      </c>
      <c r="E78" s="113">
        <f t="shared" si="9"/>
        <v>-61070</v>
      </c>
      <c r="F78" s="114">
        <f t="shared" si="10"/>
        <v>-0.24716290816078743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0</v>
      </c>
      <c r="D80" s="113">
        <v>0</v>
      </c>
      <c r="E80" s="113">
        <f t="shared" si="9"/>
        <v>0</v>
      </c>
      <c r="F80" s="114">
        <f t="shared" si="10"/>
        <v>0</v>
      </c>
    </row>
    <row r="81" spans="1:6" ht="15.75" x14ac:dyDescent="0.25">
      <c r="A81" s="117"/>
      <c r="B81" s="118" t="s">
        <v>133</v>
      </c>
      <c r="C81" s="119">
        <f>SUM(C70:C80)</f>
        <v>45966609</v>
      </c>
      <c r="D81" s="119">
        <f>SUM(D70:D80)</f>
        <v>42962994</v>
      </c>
      <c r="E81" s="119">
        <f t="shared" si="9"/>
        <v>-3003615</v>
      </c>
      <c r="F81" s="120">
        <f t="shared" si="10"/>
        <v>-6.5343410474329316E-2</v>
      </c>
    </row>
    <row r="82" spans="1:6" ht="15" customHeight="1" x14ac:dyDescent="0.2">
      <c r="A82" s="773" t="s">
        <v>127</v>
      </c>
      <c r="B82" s="775" t="s">
        <v>134</v>
      </c>
      <c r="C82" s="777"/>
      <c r="D82" s="778"/>
      <c r="E82" s="778"/>
      <c r="F82" s="779"/>
    </row>
    <row r="83" spans="1:6" ht="15" customHeight="1" x14ac:dyDescent="0.2">
      <c r="A83" s="774"/>
      <c r="B83" s="776"/>
      <c r="C83" s="780"/>
      <c r="D83" s="781"/>
      <c r="E83" s="781"/>
      <c r="F83" s="782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18167685</v>
      </c>
      <c r="D84" s="119">
        <f t="shared" si="11"/>
        <v>17105005</v>
      </c>
      <c r="E84" s="119">
        <f t="shared" ref="E84:E95" si="12">D84-C84</f>
        <v>-1062680</v>
      </c>
      <c r="F84" s="120">
        <f t="shared" ref="F84:F95" si="13">IF(C84=0,0,E84/C84)</f>
        <v>-5.8492867968593688E-2</v>
      </c>
    </row>
    <row r="85" spans="1:6" ht="15.75" x14ac:dyDescent="0.25">
      <c r="A85" s="130">
        <v>2</v>
      </c>
      <c r="B85" s="122" t="s">
        <v>114</v>
      </c>
      <c r="C85" s="119">
        <f t="shared" si="11"/>
        <v>6762779</v>
      </c>
      <c r="D85" s="119">
        <f t="shared" si="11"/>
        <v>6583605</v>
      </c>
      <c r="E85" s="119">
        <f t="shared" si="12"/>
        <v>-179174</v>
      </c>
      <c r="F85" s="120">
        <f t="shared" si="13"/>
        <v>-2.64941379867655E-2</v>
      </c>
    </row>
    <row r="86" spans="1:6" ht="15.75" x14ac:dyDescent="0.25">
      <c r="A86" s="130">
        <v>3</v>
      </c>
      <c r="B86" s="122" t="s">
        <v>115</v>
      </c>
      <c r="C86" s="119">
        <f t="shared" si="11"/>
        <v>7446367</v>
      </c>
      <c r="D86" s="119">
        <f t="shared" si="11"/>
        <v>7431042</v>
      </c>
      <c r="E86" s="119">
        <f t="shared" si="12"/>
        <v>-15325</v>
      </c>
      <c r="F86" s="120">
        <f t="shared" si="13"/>
        <v>-2.0580505903079987E-3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293653</v>
      </c>
      <c r="D88" s="119">
        <f t="shared" si="11"/>
        <v>225029</v>
      </c>
      <c r="E88" s="119">
        <f t="shared" si="12"/>
        <v>-68624</v>
      </c>
      <c r="F88" s="120">
        <f t="shared" si="13"/>
        <v>-0.23369078470167171</v>
      </c>
    </row>
    <row r="89" spans="1:6" ht="15.75" x14ac:dyDescent="0.25">
      <c r="A89" s="130">
        <v>6</v>
      </c>
      <c r="B89" s="122" t="s">
        <v>118</v>
      </c>
      <c r="C89" s="119">
        <f t="shared" si="11"/>
        <v>1607098</v>
      </c>
      <c r="D89" s="119">
        <f t="shared" si="11"/>
        <v>1916149</v>
      </c>
      <c r="E89" s="119">
        <f t="shared" si="12"/>
        <v>309051</v>
      </c>
      <c r="F89" s="120">
        <f t="shared" si="13"/>
        <v>0.19230376741181932</v>
      </c>
    </row>
    <row r="90" spans="1:6" ht="15.75" x14ac:dyDescent="0.25">
      <c r="A90" s="130">
        <v>7</v>
      </c>
      <c r="B90" s="122" t="s">
        <v>119</v>
      </c>
      <c r="C90" s="119">
        <f t="shared" si="11"/>
        <v>33828447</v>
      </c>
      <c r="D90" s="119">
        <f t="shared" si="11"/>
        <v>30534571</v>
      </c>
      <c r="E90" s="119">
        <f t="shared" si="12"/>
        <v>-3293876</v>
      </c>
      <c r="F90" s="120">
        <f t="shared" si="13"/>
        <v>-9.7370003417537904E-2</v>
      </c>
    </row>
    <row r="91" spans="1:6" ht="15.75" x14ac:dyDescent="0.25">
      <c r="A91" s="130">
        <v>8</v>
      </c>
      <c r="B91" s="122" t="s">
        <v>120</v>
      </c>
      <c r="C91" s="119">
        <f t="shared" si="11"/>
        <v>1399218</v>
      </c>
      <c r="D91" s="119">
        <f t="shared" si="11"/>
        <v>1213613</v>
      </c>
      <c r="E91" s="119">
        <f t="shared" si="12"/>
        <v>-185605</v>
      </c>
      <c r="F91" s="120">
        <f t="shared" si="13"/>
        <v>-0.13264909399393091</v>
      </c>
    </row>
    <row r="92" spans="1:6" ht="15.75" x14ac:dyDescent="0.25">
      <c r="A92" s="130">
        <v>9</v>
      </c>
      <c r="B92" s="122" t="s">
        <v>121</v>
      </c>
      <c r="C92" s="119">
        <f t="shared" si="11"/>
        <v>247104</v>
      </c>
      <c r="D92" s="119">
        <f t="shared" si="11"/>
        <v>196689</v>
      </c>
      <c r="E92" s="119">
        <f t="shared" si="12"/>
        <v>-50415</v>
      </c>
      <c r="F92" s="120">
        <f t="shared" si="13"/>
        <v>-0.20402340714840714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0</v>
      </c>
      <c r="D94" s="119">
        <f t="shared" si="11"/>
        <v>0</v>
      </c>
      <c r="E94" s="119">
        <f t="shared" si="12"/>
        <v>0</v>
      </c>
      <c r="F94" s="120">
        <f t="shared" si="13"/>
        <v>0</v>
      </c>
    </row>
    <row r="95" spans="1:6" ht="18.75" customHeight="1" thickBot="1" x14ac:dyDescent="0.3">
      <c r="A95" s="131"/>
      <c r="B95" s="132" t="s">
        <v>134</v>
      </c>
      <c r="C95" s="128">
        <f>SUM(C84:C94)</f>
        <v>69752351</v>
      </c>
      <c r="D95" s="128">
        <f>SUM(D84:D94)</f>
        <v>65205703</v>
      </c>
      <c r="E95" s="128">
        <f t="shared" si="12"/>
        <v>-4546648</v>
      </c>
      <c r="F95" s="129">
        <f t="shared" si="13"/>
        <v>-6.5182720507872202E-2</v>
      </c>
    </row>
    <row r="96" spans="1:6" x14ac:dyDescent="0.2">
      <c r="A96" s="773" t="s">
        <v>135</v>
      </c>
      <c r="B96" s="775" t="s">
        <v>136</v>
      </c>
      <c r="C96" s="777"/>
      <c r="D96" s="778"/>
      <c r="E96" s="778"/>
      <c r="F96" s="779"/>
    </row>
    <row r="97" spans="1:6" ht="15" customHeight="1" x14ac:dyDescent="0.2">
      <c r="A97" s="774"/>
      <c r="B97" s="776"/>
      <c r="C97" s="780"/>
      <c r="D97" s="781"/>
      <c r="E97" s="781"/>
      <c r="F97" s="782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1120</v>
      </c>
      <c r="D100" s="133">
        <v>1027</v>
      </c>
      <c r="E100" s="133">
        <f t="shared" ref="E100:E111" si="14">D100-C100</f>
        <v>-93</v>
      </c>
      <c r="F100" s="114">
        <f t="shared" ref="F100:F111" si="15">IF(C100=0,0,E100/C100)</f>
        <v>-8.3035714285714282E-2</v>
      </c>
    </row>
    <row r="101" spans="1:6" x14ac:dyDescent="0.2">
      <c r="A101" s="115">
        <v>2</v>
      </c>
      <c r="B101" s="116" t="s">
        <v>114</v>
      </c>
      <c r="C101" s="133">
        <v>404</v>
      </c>
      <c r="D101" s="133">
        <v>401</v>
      </c>
      <c r="E101" s="133">
        <f t="shared" si="14"/>
        <v>-3</v>
      </c>
      <c r="F101" s="114">
        <f t="shared" si="15"/>
        <v>-7.4257425742574254E-3</v>
      </c>
    </row>
    <row r="102" spans="1:6" x14ac:dyDescent="0.2">
      <c r="A102" s="115">
        <v>3</v>
      </c>
      <c r="B102" s="116" t="s">
        <v>115</v>
      </c>
      <c r="C102" s="133">
        <v>317</v>
      </c>
      <c r="D102" s="133">
        <v>266</v>
      </c>
      <c r="E102" s="133">
        <f t="shared" si="14"/>
        <v>-51</v>
      </c>
      <c r="F102" s="114">
        <f t="shared" si="15"/>
        <v>-0.16088328075709779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11</v>
      </c>
      <c r="D104" s="133">
        <v>9</v>
      </c>
      <c r="E104" s="133">
        <f t="shared" si="14"/>
        <v>-2</v>
      </c>
      <c r="F104" s="114">
        <f t="shared" si="15"/>
        <v>-0.18181818181818182</v>
      </c>
    </row>
    <row r="105" spans="1:6" x14ac:dyDescent="0.2">
      <c r="A105" s="115">
        <v>6</v>
      </c>
      <c r="B105" s="116" t="s">
        <v>118</v>
      </c>
      <c r="C105" s="133">
        <v>45</v>
      </c>
      <c r="D105" s="133">
        <v>53</v>
      </c>
      <c r="E105" s="133">
        <f t="shared" si="14"/>
        <v>8</v>
      </c>
      <c r="F105" s="114">
        <f t="shared" si="15"/>
        <v>0.17777777777777778</v>
      </c>
    </row>
    <row r="106" spans="1:6" x14ac:dyDescent="0.2">
      <c r="A106" s="115">
        <v>7</v>
      </c>
      <c r="B106" s="116" t="s">
        <v>119</v>
      </c>
      <c r="C106" s="133">
        <v>404</v>
      </c>
      <c r="D106" s="133">
        <v>331</v>
      </c>
      <c r="E106" s="133">
        <f t="shared" si="14"/>
        <v>-73</v>
      </c>
      <c r="F106" s="114">
        <f t="shared" si="15"/>
        <v>-0.18069306930693069</v>
      </c>
    </row>
    <row r="107" spans="1:6" x14ac:dyDescent="0.2">
      <c r="A107" s="115">
        <v>8</v>
      </c>
      <c r="B107" s="116" t="s">
        <v>120</v>
      </c>
      <c r="C107" s="133">
        <v>14</v>
      </c>
      <c r="D107" s="133">
        <v>9</v>
      </c>
      <c r="E107" s="133">
        <f t="shared" si="14"/>
        <v>-5</v>
      </c>
      <c r="F107" s="114">
        <f t="shared" si="15"/>
        <v>-0.35714285714285715</v>
      </c>
    </row>
    <row r="108" spans="1:6" x14ac:dyDescent="0.2">
      <c r="A108" s="115">
        <v>9</v>
      </c>
      <c r="B108" s="116" t="s">
        <v>121</v>
      </c>
      <c r="C108" s="133">
        <v>26</v>
      </c>
      <c r="D108" s="133">
        <v>16</v>
      </c>
      <c r="E108" s="133">
        <f t="shared" si="14"/>
        <v>-10</v>
      </c>
      <c r="F108" s="114">
        <f t="shared" si="15"/>
        <v>-0.38461538461538464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0</v>
      </c>
      <c r="D110" s="133">
        <v>0</v>
      </c>
      <c r="E110" s="133">
        <f t="shared" si="14"/>
        <v>0</v>
      </c>
      <c r="F110" s="114">
        <f t="shared" si="15"/>
        <v>0</v>
      </c>
    </row>
    <row r="111" spans="1:6" ht="15.75" x14ac:dyDescent="0.25">
      <c r="A111" s="117"/>
      <c r="B111" s="118" t="s">
        <v>138</v>
      </c>
      <c r="C111" s="134">
        <f>SUM(C100:C110)</f>
        <v>2341</v>
      </c>
      <c r="D111" s="134">
        <f>SUM(D100:D110)</f>
        <v>2112</v>
      </c>
      <c r="E111" s="134">
        <f t="shared" si="14"/>
        <v>-229</v>
      </c>
      <c r="F111" s="120">
        <f t="shared" si="15"/>
        <v>-9.7821443827424179E-2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5522</v>
      </c>
      <c r="D113" s="133">
        <v>5130</v>
      </c>
      <c r="E113" s="133">
        <f t="shared" ref="E113:E124" si="16">D113-C113</f>
        <v>-392</v>
      </c>
      <c r="F113" s="114">
        <f t="shared" ref="F113:F124" si="17">IF(C113=0,0,E113/C113)</f>
        <v>-7.0988772183991314E-2</v>
      </c>
    </row>
    <row r="114" spans="1:6" x14ac:dyDescent="0.2">
      <c r="A114" s="115">
        <v>2</v>
      </c>
      <c r="B114" s="116" t="s">
        <v>114</v>
      </c>
      <c r="C114" s="133">
        <v>2212</v>
      </c>
      <c r="D114" s="133">
        <v>1894</v>
      </c>
      <c r="E114" s="133">
        <f t="shared" si="16"/>
        <v>-318</v>
      </c>
      <c r="F114" s="114">
        <f t="shared" si="17"/>
        <v>-0.1437613019891501</v>
      </c>
    </row>
    <row r="115" spans="1:6" x14ac:dyDescent="0.2">
      <c r="A115" s="115">
        <v>3</v>
      </c>
      <c r="B115" s="116" t="s">
        <v>115</v>
      </c>
      <c r="C115" s="133">
        <v>1373</v>
      </c>
      <c r="D115" s="133">
        <v>1250</v>
      </c>
      <c r="E115" s="133">
        <f t="shared" si="16"/>
        <v>-123</v>
      </c>
      <c r="F115" s="114">
        <f t="shared" si="17"/>
        <v>-8.9584850691915519E-2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43</v>
      </c>
      <c r="D117" s="133">
        <v>62</v>
      </c>
      <c r="E117" s="133">
        <f t="shared" si="16"/>
        <v>19</v>
      </c>
      <c r="F117" s="114">
        <f t="shared" si="17"/>
        <v>0.44186046511627908</v>
      </c>
    </row>
    <row r="118" spans="1:6" x14ac:dyDescent="0.2">
      <c r="A118" s="115">
        <v>6</v>
      </c>
      <c r="B118" s="116" t="s">
        <v>118</v>
      </c>
      <c r="C118" s="133">
        <v>151</v>
      </c>
      <c r="D118" s="133">
        <v>214</v>
      </c>
      <c r="E118" s="133">
        <f t="shared" si="16"/>
        <v>63</v>
      </c>
      <c r="F118" s="114">
        <f t="shared" si="17"/>
        <v>0.41721854304635764</v>
      </c>
    </row>
    <row r="119" spans="1:6" x14ac:dyDescent="0.2">
      <c r="A119" s="115">
        <v>7</v>
      </c>
      <c r="B119" s="116" t="s">
        <v>119</v>
      </c>
      <c r="C119" s="133">
        <v>1728</v>
      </c>
      <c r="D119" s="133">
        <v>1257</v>
      </c>
      <c r="E119" s="133">
        <f t="shared" si="16"/>
        <v>-471</v>
      </c>
      <c r="F119" s="114">
        <f t="shared" si="17"/>
        <v>-0.27256944444444442</v>
      </c>
    </row>
    <row r="120" spans="1:6" x14ac:dyDescent="0.2">
      <c r="A120" s="115">
        <v>8</v>
      </c>
      <c r="B120" s="116" t="s">
        <v>120</v>
      </c>
      <c r="C120" s="133">
        <v>27</v>
      </c>
      <c r="D120" s="133">
        <v>13</v>
      </c>
      <c r="E120" s="133">
        <f t="shared" si="16"/>
        <v>-14</v>
      </c>
      <c r="F120" s="114">
        <f t="shared" si="17"/>
        <v>-0.51851851851851849</v>
      </c>
    </row>
    <row r="121" spans="1:6" x14ac:dyDescent="0.2">
      <c r="A121" s="115">
        <v>9</v>
      </c>
      <c r="B121" s="116" t="s">
        <v>121</v>
      </c>
      <c r="C121" s="133">
        <v>99</v>
      </c>
      <c r="D121" s="133">
        <v>53</v>
      </c>
      <c r="E121" s="133">
        <f t="shared" si="16"/>
        <v>-46</v>
      </c>
      <c r="F121" s="114">
        <f t="shared" si="17"/>
        <v>-0.46464646464646464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0</v>
      </c>
      <c r="D123" s="133">
        <v>0</v>
      </c>
      <c r="E123" s="133">
        <f t="shared" si="16"/>
        <v>0</v>
      </c>
      <c r="F123" s="114">
        <f t="shared" si="17"/>
        <v>0</v>
      </c>
    </row>
    <row r="124" spans="1:6" ht="15.75" x14ac:dyDescent="0.25">
      <c r="A124" s="117"/>
      <c r="B124" s="118" t="s">
        <v>140</v>
      </c>
      <c r="C124" s="134">
        <f>SUM(C113:C123)</f>
        <v>11155</v>
      </c>
      <c r="D124" s="134">
        <f>SUM(D113:D123)</f>
        <v>9873</v>
      </c>
      <c r="E124" s="134">
        <f t="shared" si="16"/>
        <v>-1282</v>
      </c>
      <c r="F124" s="120">
        <f t="shared" si="17"/>
        <v>-0.1149260421335724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25879</v>
      </c>
      <c r="D126" s="133">
        <v>26726</v>
      </c>
      <c r="E126" s="133">
        <f t="shared" ref="E126:E137" si="18">D126-C126</f>
        <v>847</v>
      </c>
      <c r="F126" s="114">
        <f t="shared" ref="F126:F137" si="19">IF(C126=0,0,E126/C126)</f>
        <v>3.2729239924262916E-2</v>
      </c>
    </row>
    <row r="127" spans="1:6" x14ac:dyDescent="0.2">
      <c r="A127" s="115">
        <v>2</v>
      </c>
      <c r="B127" s="116" t="s">
        <v>114</v>
      </c>
      <c r="C127" s="133">
        <v>9495</v>
      </c>
      <c r="D127" s="133">
        <v>10673</v>
      </c>
      <c r="E127" s="133">
        <f t="shared" si="18"/>
        <v>1178</v>
      </c>
      <c r="F127" s="114">
        <f t="shared" si="19"/>
        <v>0.12406529752501316</v>
      </c>
    </row>
    <row r="128" spans="1:6" x14ac:dyDescent="0.2">
      <c r="A128" s="115">
        <v>3</v>
      </c>
      <c r="B128" s="116" t="s">
        <v>115</v>
      </c>
      <c r="C128" s="133">
        <v>20510</v>
      </c>
      <c r="D128" s="133">
        <v>22687</v>
      </c>
      <c r="E128" s="133">
        <f t="shared" si="18"/>
        <v>2177</v>
      </c>
      <c r="F128" s="114">
        <f t="shared" si="19"/>
        <v>0.10614334470989761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695</v>
      </c>
      <c r="D130" s="133">
        <v>646</v>
      </c>
      <c r="E130" s="133">
        <f t="shared" si="18"/>
        <v>-49</v>
      </c>
      <c r="F130" s="114">
        <f t="shared" si="19"/>
        <v>-7.0503597122302156E-2</v>
      </c>
    </row>
    <row r="131" spans="1:6" x14ac:dyDescent="0.2">
      <c r="A131" s="115">
        <v>6</v>
      </c>
      <c r="B131" s="116" t="s">
        <v>118</v>
      </c>
      <c r="C131" s="133">
        <v>1788</v>
      </c>
      <c r="D131" s="133">
        <v>2402</v>
      </c>
      <c r="E131" s="133">
        <f t="shared" si="18"/>
        <v>614</v>
      </c>
      <c r="F131" s="114">
        <f t="shared" si="19"/>
        <v>0.34340044742729309</v>
      </c>
    </row>
    <row r="132" spans="1:6" x14ac:dyDescent="0.2">
      <c r="A132" s="115">
        <v>7</v>
      </c>
      <c r="B132" s="116" t="s">
        <v>119</v>
      </c>
      <c r="C132" s="133">
        <v>59260</v>
      </c>
      <c r="D132" s="133">
        <v>55587</v>
      </c>
      <c r="E132" s="133">
        <f t="shared" si="18"/>
        <v>-3673</v>
      </c>
      <c r="F132" s="114">
        <f t="shared" si="19"/>
        <v>-6.1981100236247047E-2</v>
      </c>
    </row>
    <row r="133" spans="1:6" x14ac:dyDescent="0.2">
      <c r="A133" s="115">
        <v>8</v>
      </c>
      <c r="B133" s="116" t="s">
        <v>120</v>
      </c>
      <c r="C133" s="133">
        <v>1076</v>
      </c>
      <c r="D133" s="133">
        <v>1174</v>
      </c>
      <c r="E133" s="133">
        <f t="shared" si="18"/>
        <v>98</v>
      </c>
      <c r="F133" s="114">
        <f t="shared" si="19"/>
        <v>9.1078066914498143E-2</v>
      </c>
    </row>
    <row r="134" spans="1:6" x14ac:dyDescent="0.2">
      <c r="A134" s="115">
        <v>9</v>
      </c>
      <c r="B134" s="116" t="s">
        <v>121</v>
      </c>
      <c r="C134" s="133">
        <v>5031</v>
      </c>
      <c r="D134" s="133">
        <v>4365</v>
      </c>
      <c r="E134" s="133">
        <f t="shared" si="18"/>
        <v>-666</v>
      </c>
      <c r="F134" s="114">
        <f t="shared" si="19"/>
        <v>-0.13237924865831843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0</v>
      </c>
      <c r="D136" s="133">
        <v>0</v>
      </c>
      <c r="E136" s="133">
        <f t="shared" si="18"/>
        <v>0</v>
      </c>
      <c r="F136" s="114">
        <f t="shared" si="19"/>
        <v>0</v>
      </c>
    </row>
    <row r="137" spans="1:6" ht="15.75" x14ac:dyDescent="0.25">
      <c r="A137" s="117"/>
      <c r="B137" s="118" t="s">
        <v>142</v>
      </c>
      <c r="C137" s="134">
        <f>SUM(C126:C136)</f>
        <v>123734</v>
      </c>
      <c r="D137" s="134">
        <f>SUM(D126:D136)</f>
        <v>124260</v>
      </c>
      <c r="E137" s="134">
        <f t="shared" si="18"/>
        <v>526</v>
      </c>
      <c r="F137" s="120">
        <f t="shared" si="19"/>
        <v>4.2510546818174469E-3</v>
      </c>
    </row>
    <row r="138" spans="1:6" x14ac:dyDescent="0.2">
      <c r="A138" s="773" t="s">
        <v>143</v>
      </c>
      <c r="B138" s="775" t="s">
        <v>144</v>
      </c>
      <c r="C138" s="777"/>
      <c r="D138" s="778"/>
      <c r="E138" s="778"/>
      <c r="F138" s="779"/>
    </row>
    <row r="139" spans="1:6" ht="15" customHeight="1" x14ac:dyDescent="0.2">
      <c r="A139" s="774"/>
      <c r="B139" s="776"/>
      <c r="C139" s="780"/>
      <c r="D139" s="781"/>
      <c r="E139" s="781"/>
      <c r="F139" s="782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12410238</v>
      </c>
      <c r="D142" s="113">
        <v>12698943</v>
      </c>
      <c r="E142" s="113">
        <f t="shared" ref="E142:E153" si="20">D142-C142</f>
        <v>288705</v>
      </c>
      <c r="F142" s="114">
        <f t="shared" ref="F142:F153" si="21">IF(C142=0,0,E142/C142)</f>
        <v>2.3263453932148601E-2</v>
      </c>
    </row>
    <row r="143" spans="1:6" x14ac:dyDescent="0.2">
      <c r="A143" s="115">
        <v>2</v>
      </c>
      <c r="B143" s="116" t="s">
        <v>114</v>
      </c>
      <c r="C143" s="113">
        <v>3828123</v>
      </c>
      <c r="D143" s="113">
        <v>4576389</v>
      </c>
      <c r="E143" s="113">
        <f t="shared" si="20"/>
        <v>748266</v>
      </c>
      <c r="F143" s="114">
        <f t="shared" si="21"/>
        <v>0.19546550620238692</v>
      </c>
    </row>
    <row r="144" spans="1:6" x14ac:dyDescent="0.2">
      <c r="A144" s="115">
        <v>3</v>
      </c>
      <c r="B144" s="116" t="s">
        <v>115</v>
      </c>
      <c r="C144" s="113">
        <v>21682580</v>
      </c>
      <c r="D144" s="113">
        <v>24582106</v>
      </c>
      <c r="E144" s="113">
        <f t="shared" si="20"/>
        <v>2899526</v>
      </c>
      <c r="F144" s="114">
        <f t="shared" si="21"/>
        <v>0.13372606027511486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458534</v>
      </c>
      <c r="D146" s="113">
        <v>441684</v>
      </c>
      <c r="E146" s="113">
        <f t="shared" si="20"/>
        <v>-16850</v>
      </c>
      <c r="F146" s="114">
        <f t="shared" si="21"/>
        <v>-3.6747547619151472E-2</v>
      </c>
    </row>
    <row r="147" spans="1:6" x14ac:dyDescent="0.2">
      <c r="A147" s="115">
        <v>6</v>
      </c>
      <c r="B147" s="116" t="s">
        <v>118</v>
      </c>
      <c r="C147" s="113">
        <v>1816242</v>
      </c>
      <c r="D147" s="113">
        <v>2214831</v>
      </c>
      <c r="E147" s="113">
        <f t="shared" si="20"/>
        <v>398589</v>
      </c>
      <c r="F147" s="114">
        <f t="shared" si="21"/>
        <v>0.21945808983604609</v>
      </c>
    </row>
    <row r="148" spans="1:6" x14ac:dyDescent="0.2">
      <c r="A148" s="115">
        <v>7</v>
      </c>
      <c r="B148" s="116" t="s">
        <v>119</v>
      </c>
      <c r="C148" s="113">
        <v>21951660</v>
      </c>
      <c r="D148" s="113">
        <v>21121617</v>
      </c>
      <c r="E148" s="113">
        <f t="shared" si="20"/>
        <v>-830043</v>
      </c>
      <c r="F148" s="114">
        <f t="shared" si="21"/>
        <v>-3.7812311232954594E-2</v>
      </c>
    </row>
    <row r="149" spans="1:6" x14ac:dyDescent="0.2">
      <c r="A149" s="115">
        <v>8</v>
      </c>
      <c r="B149" s="116" t="s">
        <v>120</v>
      </c>
      <c r="C149" s="113">
        <v>996585</v>
      </c>
      <c r="D149" s="113">
        <v>1037423</v>
      </c>
      <c r="E149" s="113">
        <f t="shared" si="20"/>
        <v>40838</v>
      </c>
      <c r="F149" s="114">
        <f t="shared" si="21"/>
        <v>4.0977939663952398E-2</v>
      </c>
    </row>
    <row r="150" spans="1:6" x14ac:dyDescent="0.2">
      <c r="A150" s="115">
        <v>9</v>
      </c>
      <c r="B150" s="116" t="s">
        <v>121</v>
      </c>
      <c r="C150" s="113">
        <v>3807038</v>
      </c>
      <c r="D150" s="113">
        <v>2502098</v>
      </c>
      <c r="E150" s="113">
        <f t="shared" si="20"/>
        <v>-1304940</v>
      </c>
      <c r="F150" s="114">
        <f t="shared" si="21"/>
        <v>-0.3427704162658739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0</v>
      </c>
      <c r="D152" s="113">
        <v>0</v>
      </c>
      <c r="E152" s="113">
        <f t="shared" si="20"/>
        <v>0</v>
      </c>
      <c r="F152" s="114">
        <f t="shared" si="21"/>
        <v>0</v>
      </c>
    </row>
    <row r="153" spans="1:6" ht="33.75" customHeight="1" x14ac:dyDescent="0.25">
      <c r="A153" s="117"/>
      <c r="B153" s="118" t="s">
        <v>146</v>
      </c>
      <c r="C153" s="119">
        <f>SUM(C142:C152)</f>
        <v>66951000</v>
      </c>
      <c r="D153" s="119">
        <f>SUM(D142:D152)</f>
        <v>69175091</v>
      </c>
      <c r="E153" s="119">
        <f t="shared" si="20"/>
        <v>2224091</v>
      </c>
      <c r="F153" s="120">
        <f t="shared" si="21"/>
        <v>3.3219683051784139E-2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2094369</v>
      </c>
      <c r="D155" s="113">
        <v>2004031</v>
      </c>
      <c r="E155" s="113">
        <f t="shared" ref="E155:E166" si="22">D155-C155</f>
        <v>-90338</v>
      </c>
      <c r="F155" s="114">
        <f t="shared" ref="F155:F166" si="23">IF(C155=0,0,E155/C155)</f>
        <v>-4.3133755322008679E-2</v>
      </c>
    </row>
    <row r="156" spans="1:6" x14ac:dyDescent="0.2">
      <c r="A156" s="115">
        <v>2</v>
      </c>
      <c r="B156" s="116" t="s">
        <v>114</v>
      </c>
      <c r="C156" s="113">
        <v>679448</v>
      </c>
      <c r="D156" s="113">
        <v>760236</v>
      </c>
      <c r="E156" s="113">
        <f t="shared" si="22"/>
        <v>80788</v>
      </c>
      <c r="F156" s="114">
        <f t="shared" si="23"/>
        <v>0.11890240312724447</v>
      </c>
    </row>
    <row r="157" spans="1:6" x14ac:dyDescent="0.2">
      <c r="A157" s="115">
        <v>3</v>
      </c>
      <c r="B157" s="116" t="s">
        <v>115</v>
      </c>
      <c r="C157" s="113">
        <v>2634815</v>
      </c>
      <c r="D157" s="113">
        <v>2787438</v>
      </c>
      <c r="E157" s="113">
        <f t="shared" si="22"/>
        <v>152623</v>
      </c>
      <c r="F157" s="114">
        <f t="shared" si="23"/>
        <v>5.7925509001580756E-2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87607</v>
      </c>
      <c r="D159" s="113">
        <v>85348</v>
      </c>
      <c r="E159" s="113">
        <f t="shared" si="22"/>
        <v>-2259</v>
      </c>
      <c r="F159" s="114">
        <f t="shared" si="23"/>
        <v>-2.5785610738867898E-2</v>
      </c>
    </row>
    <row r="160" spans="1:6" x14ac:dyDescent="0.2">
      <c r="A160" s="115">
        <v>6</v>
      </c>
      <c r="B160" s="116" t="s">
        <v>118</v>
      </c>
      <c r="C160" s="113">
        <v>785825</v>
      </c>
      <c r="D160" s="113">
        <v>971580</v>
      </c>
      <c r="E160" s="113">
        <f t="shared" si="22"/>
        <v>185755</v>
      </c>
      <c r="F160" s="114">
        <f t="shared" si="23"/>
        <v>0.2363821461521331</v>
      </c>
    </row>
    <row r="161" spans="1:6" x14ac:dyDescent="0.2">
      <c r="A161" s="115">
        <v>7</v>
      </c>
      <c r="B161" s="116" t="s">
        <v>119</v>
      </c>
      <c r="C161" s="113">
        <v>11749654</v>
      </c>
      <c r="D161" s="113">
        <v>11425281</v>
      </c>
      <c r="E161" s="113">
        <f t="shared" si="22"/>
        <v>-324373</v>
      </c>
      <c r="F161" s="114">
        <f t="shared" si="23"/>
        <v>-2.7607025704756923E-2</v>
      </c>
    </row>
    <row r="162" spans="1:6" x14ac:dyDescent="0.2">
      <c r="A162" s="115">
        <v>8</v>
      </c>
      <c r="B162" s="116" t="s">
        <v>120</v>
      </c>
      <c r="C162" s="113">
        <v>641867</v>
      </c>
      <c r="D162" s="113">
        <v>589538</v>
      </c>
      <c r="E162" s="113">
        <f t="shared" si="22"/>
        <v>-52329</v>
      </c>
      <c r="F162" s="114">
        <f t="shared" si="23"/>
        <v>-8.1526235185793938E-2</v>
      </c>
    </row>
    <row r="163" spans="1:6" x14ac:dyDescent="0.2">
      <c r="A163" s="115">
        <v>9</v>
      </c>
      <c r="B163" s="116" t="s">
        <v>121</v>
      </c>
      <c r="C163" s="113">
        <v>130914</v>
      </c>
      <c r="D163" s="113">
        <v>99965</v>
      </c>
      <c r="E163" s="113">
        <f t="shared" si="22"/>
        <v>-30949</v>
      </c>
      <c r="F163" s="114">
        <f t="shared" si="23"/>
        <v>-0.23640710695571138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0</v>
      </c>
      <c r="D165" s="113">
        <v>0</v>
      </c>
      <c r="E165" s="113">
        <f t="shared" si="22"/>
        <v>0</v>
      </c>
      <c r="F165" s="114">
        <f t="shared" si="23"/>
        <v>0</v>
      </c>
    </row>
    <row r="166" spans="1:6" ht="33.75" customHeight="1" x14ac:dyDescent="0.25">
      <c r="A166" s="117"/>
      <c r="B166" s="118" t="s">
        <v>148</v>
      </c>
      <c r="C166" s="119">
        <f>SUM(C155:C165)</f>
        <v>18804499</v>
      </c>
      <c r="D166" s="119">
        <f>SUM(D155:D165)</f>
        <v>18723417</v>
      </c>
      <c r="E166" s="119">
        <f t="shared" si="22"/>
        <v>-81082</v>
      </c>
      <c r="F166" s="120">
        <f t="shared" si="23"/>
        <v>-4.311840480302081E-3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2752</v>
      </c>
      <c r="D168" s="133">
        <v>2730</v>
      </c>
      <c r="E168" s="133">
        <f t="shared" ref="E168:E179" si="24">D168-C168</f>
        <v>-22</v>
      </c>
      <c r="F168" s="114">
        <f t="shared" ref="F168:F179" si="25">IF(C168=0,0,E168/C168)</f>
        <v>-7.9941860465116282E-3</v>
      </c>
    </row>
    <row r="169" spans="1:6" x14ac:dyDescent="0.2">
      <c r="A169" s="115">
        <v>2</v>
      </c>
      <c r="B169" s="116" t="s">
        <v>114</v>
      </c>
      <c r="C169" s="133">
        <v>845</v>
      </c>
      <c r="D169" s="133">
        <v>957</v>
      </c>
      <c r="E169" s="133">
        <f t="shared" si="24"/>
        <v>112</v>
      </c>
      <c r="F169" s="114">
        <f t="shared" si="25"/>
        <v>0.13254437869822486</v>
      </c>
    </row>
    <row r="170" spans="1:6" x14ac:dyDescent="0.2">
      <c r="A170" s="115">
        <v>3</v>
      </c>
      <c r="B170" s="116" t="s">
        <v>115</v>
      </c>
      <c r="C170" s="133">
        <v>6399</v>
      </c>
      <c r="D170" s="133">
        <v>6856</v>
      </c>
      <c r="E170" s="133">
        <f t="shared" si="24"/>
        <v>457</v>
      </c>
      <c r="F170" s="114">
        <f t="shared" si="25"/>
        <v>7.1417408970151586E-2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142</v>
      </c>
      <c r="D172" s="133">
        <v>129</v>
      </c>
      <c r="E172" s="133">
        <f t="shared" si="24"/>
        <v>-13</v>
      </c>
      <c r="F172" s="114">
        <f t="shared" si="25"/>
        <v>-9.154929577464789E-2</v>
      </c>
    </row>
    <row r="173" spans="1:6" x14ac:dyDescent="0.2">
      <c r="A173" s="115">
        <v>6</v>
      </c>
      <c r="B173" s="116" t="s">
        <v>118</v>
      </c>
      <c r="C173" s="133">
        <v>544</v>
      </c>
      <c r="D173" s="133">
        <v>602</v>
      </c>
      <c r="E173" s="133">
        <f t="shared" si="24"/>
        <v>58</v>
      </c>
      <c r="F173" s="114">
        <f t="shared" si="25"/>
        <v>0.10661764705882353</v>
      </c>
    </row>
    <row r="174" spans="1:6" x14ac:dyDescent="0.2">
      <c r="A174" s="115">
        <v>7</v>
      </c>
      <c r="B174" s="116" t="s">
        <v>119</v>
      </c>
      <c r="C174" s="133">
        <v>7233</v>
      </c>
      <c r="D174" s="133">
        <v>6680</v>
      </c>
      <c r="E174" s="133">
        <f t="shared" si="24"/>
        <v>-553</v>
      </c>
      <c r="F174" s="114">
        <f t="shared" si="25"/>
        <v>-7.6455136181390854E-2</v>
      </c>
    </row>
    <row r="175" spans="1:6" x14ac:dyDescent="0.2">
      <c r="A175" s="115">
        <v>8</v>
      </c>
      <c r="B175" s="116" t="s">
        <v>120</v>
      </c>
      <c r="C175" s="133">
        <v>325</v>
      </c>
      <c r="D175" s="133">
        <v>336</v>
      </c>
      <c r="E175" s="133">
        <f t="shared" si="24"/>
        <v>11</v>
      </c>
      <c r="F175" s="114">
        <f t="shared" si="25"/>
        <v>3.3846153846153845E-2</v>
      </c>
    </row>
    <row r="176" spans="1:6" x14ac:dyDescent="0.2">
      <c r="A176" s="115">
        <v>9</v>
      </c>
      <c r="B176" s="116" t="s">
        <v>121</v>
      </c>
      <c r="C176" s="133">
        <v>1022</v>
      </c>
      <c r="D176" s="133">
        <v>706</v>
      </c>
      <c r="E176" s="133">
        <f t="shared" si="24"/>
        <v>-316</v>
      </c>
      <c r="F176" s="114">
        <f t="shared" si="25"/>
        <v>-0.30919765166340507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0</v>
      </c>
      <c r="D178" s="133">
        <v>0</v>
      </c>
      <c r="E178" s="133">
        <f t="shared" si="24"/>
        <v>0</v>
      </c>
      <c r="F178" s="114">
        <f t="shared" si="25"/>
        <v>0</v>
      </c>
    </row>
    <row r="179" spans="1:6" ht="33.75" customHeight="1" x14ac:dyDescent="0.25">
      <c r="A179" s="117"/>
      <c r="B179" s="118" t="s">
        <v>150</v>
      </c>
      <c r="C179" s="134">
        <f>SUM(C168:C178)</f>
        <v>19262</v>
      </c>
      <c r="D179" s="134">
        <f>SUM(D168:D178)</f>
        <v>18996</v>
      </c>
      <c r="E179" s="134">
        <f t="shared" si="24"/>
        <v>-266</v>
      </c>
      <c r="F179" s="120">
        <f t="shared" si="25"/>
        <v>-1.3809573253037067E-2</v>
      </c>
    </row>
  </sheetData>
  <mergeCells count="23"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  <mergeCell ref="A39:A40"/>
    <mergeCell ref="B39:B40"/>
    <mergeCell ref="C39:F40"/>
    <mergeCell ref="A53:A54"/>
    <mergeCell ref="B53:B54"/>
    <mergeCell ref="C53:F54"/>
    <mergeCell ref="A2:F2"/>
    <mergeCell ref="A3:F3"/>
    <mergeCell ref="A4:F4"/>
    <mergeCell ref="A5:F5"/>
    <mergeCell ref="C9:F9"/>
    <mergeCell ref="A10:A11"/>
    <mergeCell ref="B10:B11"/>
    <mergeCell ref="C10:F11"/>
  </mergeCells>
  <pageMargins left="0.25" right="0.25" top="0.5" bottom="0.5" header="0.25" footer="0.25"/>
  <pageSetup scale="75" fitToHeight="0" orientation="portrait" horizontalDpi="1200" verticalDpi="1200" r:id="rId1"/>
  <headerFooter>
    <oddHeader>&amp;LOFFICE OF HEALTH CARE ACCESS&amp;CTWELVE MONTHS ACTUAL FILING&amp;RROCKVILLE GENERAL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1"/>
  <sheetViews>
    <sheetView topLeftCell="B1" zoomScale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9189889</v>
      </c>
      <c r="D15" s="157">
        <v>8525609</v>
      </c>
      <c r="E15" s="157">
        <f>+D15-C15</f>
        <v>-664280</v>
      </c>
      <c r="F15" s="161">
        <f>IF(C15=0,0,E15/C15)</f>
        <v>-7.2283789281894481E-2</v>
      </c>
    </row>
    <row r="16" spans="1:6" ht="15" customHeight="1" x14ac:dyDescent="0.2">
      <c r="A16" s="147">
        <v>2</v>
      </c>
      <c r="B16" s="160" t="s">
        <v>157</v>
      </c>
      <c r="C16" s="157">
        <v>4326903</v>
      </c>
      <c r="D16" s="157">
        <v>3935827</v>
      </c>
      <c r="E16" s="157">
        <f>+D16-C16</f>
        <v>-391076</v>
      </c>
      <c r="F16" s="161">
        <f>IF(C16=0,0,E16/C16)</f>
        <v>-9.0382428263356032E-2</v>
      </c>
    </row>
    <row r="17" spans="1:6" ht="15" customHeight="1" x14ac:dyDescent="0.2">
      <c r="A17" s="147">
        <v>3</v>
      </c>
      <c r="B17" s="160" t="s">
        <v>158</v>
      </c>
      <c r="C17" s="157">
        <v>18943461</v>
      </c>
      <c r="D17" s="157">
        <v>18217122</v>
      </c>
      <c r="E17" s="157">
        <f>+D17-C17</f>
        <v>-726339</v>
      </c>
      <c r="F17" s="161">
        <f>IF(C17=0,0,E17/C17)</f>
        <v>-3.8342465508282776E-2</v>
      </c>
    </row>
    <row r="18" spans="1:6" ht="15.75" customHeight="1" x14ac:dyDescent="0.25">
      <c r="A18" s="147"/>
      <c r="B18" s="162" t="s">
        <v>159</v>
      </c>
      <c r="C18" s="158">
        <f>SUM(C15:C17)</f>
        <v>32460253</v>
      </c>
      <c r="D18" s="158">
        <f>SUM(D15:D17)</f>
        <v>30678558</v>
      </c>
      <c r="E18" s="158">
        <f>+D18-C18</f>
        <v>-1781695</v>
      </c>
      <c r="F18" s="159">
        <f>IF(C18=0,0,E18/C18)</f>
        <v>-5.4888512421637628E-2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2915782</v>
      </c>
      <c r="D21" s="157">
        <v>3040436</v>
      </c>
      <c r="E21" s="157">
        <f>+D21-C21</f>
        <v>124654</v>
      </c>
      <c r="F21" s="161">
        <f>IF(C21=0,0,E21/C21)</f>
        <v>4.2751481420764653E-2</v>
      </c>
    </row>
    <row r="22" spans="1:6" ht="15" customHeight="1" x14ac:dyDescent="0.2">
      <c r="A22" s="147">
        <v>2</v>
      </c>
      <c r="B22" s="160" t="s">
        <v>162</v>
      </c>
      <c r="C22" s="157">
        <v>1304736</v>
      </c>
      <c r="D22" s="157">
        <v>1302546</v>
      </c>
      <c r="E22" s="157">
        <f>+D22-C22</f>
        <v>-2190</v>
      </c>
      <c r="F22" s="161">
        <f>IF(C22=0,0,E22/C22)</f>
        <v>-1.6785004782576705E-3</v>
      </c>
    </row>
    <row r="23" spans="1:6" ht="15" customHeight="1" x14ac:dyDescent="0.2">
      <c r="A23" s="147">
        <v>3</v>
      </c>
      <c r="B23" s="160" t="s">
        <v>163</v>
      </c>
      <c r="C23" s="157">
        <v>5140279</v>
      </c>
      <c r="D23" s="157">
        <v>5356227</v>
      </c>
      <c r="E23" s="157">
        <f>+D23-C23</f>
        <v>215948</v>
      </c>
      <c r="F23" s="161">
        <f>IF(C23=0,0,E23/C23)</f>
        <v>4.2010949211122584E-2</v>
      </c>
    </row>
    <row r="24" spans="1:6" ht="15.75" customHeight="1" x14ac:dyDescent="0.25">
      <c r="A24" s="147"/>
      <c r="B24" s="162" t="s">
        <v>164</v>
      </c>
      <c r="C24" s="158">
        <f>SUM(C21:C23)</f>
        <v>9360797</v>
      </c>
      <c r="D24" s="158">
        <f>SUM(D21:D23)</f>
        <v>9699209</v>
      </c>
      <c r="E24" s="158">
        <f>+D24-C24</f>
        <v>338412</v>
      </c>
      <c r="F24" s="159">
        <f>IF(C24=0,0,E24/C24)</f>
        <v>3.6152049873531066E-2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0</v>
      </c>
      <c r="D27" s="157">
        <v>0</v>
      </c>
      <c r="E27" s="157">
        <f>+D27-C27</f>
        <v>0</v>
      </c>
      <c r="F27" s="161">
        <f>IF(C27=0,0,E27/C27)</f>
        <v>0</v>
      </c>
    </row>
    <row r="28" spans="1:6" ht="15" customHeight="1" x14ac:dyDescent="0.2">
      <c r="A28" s="147">
        <v>2</v>
      </c>
      <c r="B28" s="160" t="s">
        <v>167</v>
      </c>
      <c r="C28" s="157">
        <v>3728005</v>
      </c>
      <c r="D28" s="157">
        <v>4225295</v>
      </c>
      <c r="E28" s="157">
        <f>+D28-C28</f>
        <v>497290</v>
      </c>
      <c r="F28" s="161">
        <f>IF(C28=0,0,E28/C28)</f>
        <v>0.13339306143634463</v>
      </c>
    </row>
    <row r="29" spans="1:6" ht="15" customHeight="1" x14ac:dyDescent="0.2">
      <c r="A29" s="147">
        <v>3</v>
      </c>
      <c r="B29" s="160" t="s">
        <v>168</v>
      </c>
      <c r="C29" s="157">
        <v>0</v>
      </c>
      <c r="D29" s="157">
        <v>0</v>
      </c>
      <c r="E29" s="157">
        <f>+D29-C29</f>
        <v>0</v>
      </c>
      <c r="F29" s="161">
        <f>IF(C29=0,0,E29/C29)</f>
        <v>0</v>
      </c>
    </row>
    <row r="30" spans="1:6" ht="15.75" customHeight="1" x14ac:dyDescent="0.25">
      <c r="A30" s="147"/>
      <c r="B30" s="162" t="s">
        <v>169</v>
      </c>
      <c r="C30" s="158">
        <f>SUM(C27:C29)</f>
        <v>3728005</v>
      </c>
      <c r="D30" s="158">
        <f>SUM(D27:D29)</f>
        <v>4225295</v>
      </c>
      <c r="E30" s="158">
        <f>+D30-C30</f>
        <v>497290</v>
      </c>
      <c r="F30" s="159">
        <f>IF(C30=0,0,E30/C30)</f>
        <v>0.13339306143634463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8410877</v>
      </c>
      <c r="D33" s="157">
        <v>8171482</v>
      </c>
      <c r="E33" s="157">
        <f>+D33-C33</f>
        <v>-239395</v>
      </c>
      <c r="F33" s="161">
        <f>IF(C33=0,0,E33/C33)</f>
        <v>-2.8462549149155313E-2</v>
      </c>
    </row>
    <row r="34" spans="1:6" ht="15" customHeight="1" x14ac:dyDescent="0.2">
      <c r="A34" s="147">
        <v>2</v>
      </c>
      <c r="B34" s="160" t="s">
        <v>173</v>
      </c>
      <c r="C34" s="157">
        <v>1365544</v>
      </c>
      <c r="D34" s="157">
        <v>1383955</v>
      </c>
      <c r="E34" s="157">
        <f>+D34-C34</f>
        <v>18411</v>
      </c>
      <c r="F34" s="161">
        <f>IF(C34=0,0,E34/C34)</f>
        <v>1.3482538827016926E-2</v>
      </c>
    </row>
    <row r="35" spans="1:6" ht="15.75" customHeight="1" x14ac:dyDescent="0.25">
      <c r="A35" s="147"/>
      <c r="B35" s="162" t="s">
        <v>174</v>
      </c>
      <c r="C35" s="158">
        <f>SUM(C33:C34)</f>
        <v>9776421</v>
      </c>
      <c r="D35" s="158">
        <f>SUM(D33:D34)</f>
        <v>9555437</v>
      </c>
      <c r="E35" s="158">
        <f>+D35-C35</f>
        <v>-220984</v>
      </c>
      <c r="F35" s="159">
        <f>IF(C35=0,0,E35/C35)</f>
        <v>-2.2603772893986459E-2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1783192</v>
      </c>
      <c r="D38" s="157">
        <v>1935607</v>
      </c>
      <c r="E38" s="157">
        <f>+D38-C38</f>
        <v>152415</v>
      </c>
      <c r="F38" s="161">
        <f>IF(C38=0,0,E38/C38)</f>
        <v>8.5473129085370497E-2</v>
      </c>
    </row>
    <row r="39" spans="1:6" ht="15" customHeight="1" x14ac:dyDescent="0.2">
      <c r="A39" s="147">
        <v>2</v>
      </c>
      <c r="B39" s="160" t="s">
        <v>178</v>
      </c>
      <c r="C39" s="157">
        <v>1458133</v>
      </c>
      <c r="D39" s="157">
        <v>1163621</v>
      </c>
      <c r="E39" s="157">
        <f>+D39-C39</f>
        <v>-294512</v>
      </c>
      <c r="F39" s="161">
        <f>IF(C39=0,0,E39/C39)</f>
        <v>-0.20197883183495607</v>
      </c>
    </row>
    <row r="40" spans="1:6" ht="15" customHeight="1" x14ac:dyDescent="0.2">
      <c r="A40" s="147">
        <v>3</v>
      </c>
      <c r="B40" s="160" t="s">
        <v>179</v>
      </c>
      <c r="C40" s="157">
        <v>39689</v>
      </c>
      <c r="D40" s="157">
        <v>39689</v>
      </c>
      <c r="E40" s="157">
        <f>+D40-C40</f>
        <v>0</v>
      </c>
      <c r="F40" s="161">
        <f>IF(C40=0,0,E40/C40)</f>
        <v>0</v>
      </c>
    </row>
    <row r="41" spans="1:6" ht="15.75" customHeight="1" x14ac:dyDescent="0.25">
      <c r="A41" s="147"/>
      <c r="B41" s="162" t="s">
        <v>180</v>
      </c>
      <c r="C41" s="158">
        <f>SUM(C38:C40)</f>
        <v>3281014</v>
      </c>
      <c r="D41" s="158">
        <f>SUM(D38:D40)</f>
        <v>3138917</v>
      </c>
      <c r="E41" s="158">
        <f>+D41-C41</f>
        <v>-142097</v>
      </c>
      <c r="F41" s="159">
        <f>IF(C41=0,0,E41/C41)</f>
        <v>-4.3308867319676175E-2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689882</v>
      </c>
      <c r="D47" s="157">
        <v>697473</v>
      </c>
      <c r="E47" s="157">
        <f>+D47-C47</f>
        <v>7591</v>
      </c>
      <c r="F47" s="161">
        <f>IF(C47=0,0,E47/C47)</f>
        <v>1.1003331004432642E-2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1033082</v>
      </c>
      <c r="D50" s="157">
        <v>1134624</v>
      </c>
      <c r="E50" s="157">
        <f>+D50-C50</f>
        <v>101542</v>
      </c>
      <c r="F50" s="161">
        <f>IF(C50=0,0,E50/C50)</f>
        <v>9.8290358364582872E-2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66454</v>
      </c>
      <c r="D53" s="157">
        <v>72280</v>
      </c>
      <c r="E53" s="157">
        <f t="shared" ref="E53:E59" si="0">+D53-C53</f>
        <v>5826</v>
      </c>
      <c r="F53" s="161">
        <f t="shared" ref="F53:F59" si="1">IF(C53=0,0,E53/C53)</f>
        <v>8.7669666235290572E-2</v>
      </c>
    </row>
    <row r="54" spans="1:6" ht="15" customHeight="1" x14ac:dyDescent="0.2">
      <c r="A54" s="147">
        <v>2</v>
      </c>
      <c r="B54" s="160" t="s">
        <v>189</v>
      </c>
      <c r="C54" s="157">
        <v>331907</v>
      </c>
      <c r="D54" s="157">
        <v>193223</v>
      </c>
      <c r="E54" s="157">
        <f t="shared" si="0"/>
        <v>-138684</v>
      </c>
      <c r="F54" s="161">
        <f t="shared" si="1"/>
        <v>-0.41783993709081158</v>
      </c>
    </row>
    <row r="55" spans="1:6" ht="15" customHeight="1" x14ac:dyDescent="0.2">
      <c r="A55" s="147">
        <v>3</v>
      </c>
      <c r="B55" s="160" t="s">
        <v>190</v>
      </c>
      <c r="C55" s="157">
        <v>61375</v>
      </c>
      <c r="D55" s="157">
        <v>20504</v>
      </c>
      <c r="E55" s="157">
        <f t="shared" si="0"/>
        <v>-40871</v>
      </c>
      <c r="F55" s="161">
        <f t="shared" si="1"/>
        <v>-0.66592260692464356</v>
      </c>
    </row>
    <row r="56" spans="1:6" ht="15" customHeight="1" x14ac:dyDescent="0.2">
      <c r="A56" s="147">
        <v>4</v>
      </c>
      <c r="B56" s="160" t="s">
        <v>191</v>
      </c>
      <c r="C56" s="157">
        <v>663923</v>
      </c>
      <c r="D56" s="157">
        <v>554418</v>
      </c>
      <c r="E56" s="157">
        <f t="shared" si="0"/>
        <v>-109505</v>
      </c>
      <c r="F56" s="161">
        <f t="shared" si="1"/>
        <v>-0.16493629532340345</v>
      </c>
    </row>
    <row r="57" spans="1:6" ht="15" customHeight="1" x14ac:dyDescent="0.2">
      <c r="A57" s="147">
        <v>5</v>
      </c>
      <c r="B57" s="160" t="s">
        <v>192</v>
      </c>
      <c r="C57" s="157">
        <v>233795</v>
      </c>
      <c r="D57" s="157">
        <v>299152</v>
      </c>
      <c r="E57" s="157">
        <f t="shared" si="0"/>
        <v>65357</v>
      </c>
      <c r="F57" s="161">
        <f t="shared" si="1"/>
        <v>0.27954832224812337</v>
      </c>
    </row>
    <row r="58" spans="1:6" ht="15" customHeight="1" x14ac:dyDescent="0.2">
      <c r="A58" s="147">
        <v>6</v>
      </c>
      <c r="B58" s="160" t="s">
        <v>193</v>
      </c>
      <c r="C58" s="157">
        <v>36400</v>
      </c>
      <c r="D58" s="157">
        <v>49168</v>
      </c>
      <c r="E58" s="157">
        <f t="shared" si="0"/>
        <v>12768</v>
      </c>
      <c r="F58" s="161">
        <f t="shared" si="1"/>
        <v>0.35076923076923078</v>
      </c>
    </row>
    <row r="59" spans="1:6" ht="15.75" customHeight="1" x14ac:dyDescent="0.25">
      <c r="A59" s="147"/>
      <c r="B59" s="162" t="s">
        <v>194</v>
      </c>
      <c r="C59" s="158">
        <f>SUM(C53:C58)</f>
        <v>1393854</v>
      </c>
      <c r="D59" s="158">
        <f>SUM(D53:D58)</f>
        <v>1188745</v>
      </c>
      <c r="E59" s="158">
        <f t="shared" si="0"/>
        <v>-205109</v>
      </c>
      <c r="F59" s="159">
        <f t="shared" si="1"/>
        <v>-0.14715242772915957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128703</v>
      </c>
      <c r="D62" s="157">
        <v>118539</v>
      </c>
      <c r="E62" s="157">
        <f t="shared" ref="E62:E90" si="2">+D62-C62</f>
        <v>-10164</v>
      </c>
      <c r="F62" s="161">
        <f t="shared" ref="F62:F90" si="3">IF(C62=0,0,E62/C62)</f>
        <v>-7.8972518123120672E-2</v>
      </c>
    </row>
    <row r="63" spans="1:6" ht="15" customHeight="1" x14ac:dyDescent="0.2">
      <c r="A63" s="147">
        <v>2</v>
      </c>
      <c r="B63" s="160" t="s">
        <v>198</v>
      </c>
      <c r="C63" s="157">
        <v>148880</v>
      </c>
      <c r="D63" s="157">
        <v>143791</v>
      </c>
      <c r="E63" s="157">
        <f t="shared" si="2"/>
        <v>-5089</v>
      </c>
      <c r="F63" s="161">
        <f t="shared" si="3"/>
        <v>-3.4181891456206343E-2</v>
      </c>
    </row>
    <row r="64" spans="1:6" ht="15" customHeight="1" x14ac:dyDescent="0.2">
      <c r="A64" s="147">
        <v>3</v>
      </c>
      <c r="B64" s="160" t="s">
        <v>199</v>
      </c>
      <c r="C64" s="157">
        <v>513903</v>
      </c>
      <c r="D64" s="157">
        <v>465165</v>
      </c>
      <c r="E64" s="157">
        <f t="shared" si="2"/>
        <v>-48738</v>
      </c>
      <c r="F64" s="161">
        <f t="shared" si="3"/>
        <v>-9.4838909288328735E-2</v>
      </c>
    </row>
    <row r="65" spans="1:6" ht="15" customHeight="1" x14ac:dyDescent="0.2">
      <c r="A65" s="147">
        <v>4</v>
      </c>
      <c r="B65" s="160" t="s">
        <v>200</v>
      </c>
      <c r="C65" s="157">
        <v>109803</v>
      </c>
      <c r="D65" s="157">
        <v>120084</v>
      </c>
      <c r="E65" s="157">
        <f t="shared" si="2"/>
        <v>10281</v>
      </c>
      <c r="F65" s="161">
        <f t="shared" si="3"/>
        <v>9.3631321548591565E-2</v>
      </c>
    </row>
    <row r="66" spans="1:6" ht="15" customHeight="1" x14ac:dyDescent="0.2">
      <c r="A66" s="147">
        <v>5</v>
      </c>
      <c r="B66" s="160" t="s">
        <v>201</v>
      </c>
      <c r="C66" s="157">
        <v>255423</v>
      </c>
      <c r="D66" s="157">
        <v>166375</v>
      </c>
      <c r="E66" s="157">
        <f t="shared" si="2"/>
        <v>-89048</v>
      </c>
      <c r="F66" s="161">
        <f t="shared" si="3"/>
        <v>-0.34862952827270843</v>
      </c>
    </row>
    <row r="67" spans="1:6" ht="15" customHeight="1" x14ac:dyDescent="0.2">
      <c r="A67" s="147">
        <v>6</v>
      </c>
      <c r="B67" s="160" t="s">
        <v>202</v>
      </c>
      <c r="C67" s="157">
        <v>1002169</v>
      </c>
      <c r="D67" s="157">
        <v>992099</v>
      </c>
      <c r="E67" s="157">
        <f t="shared" si="2"/>
        <v>-10070</v>
      </c>
      <c r="F67" s="161">
        <f t="shared" si="3"/>
        <v>-1.0048205442395444E-2</v>
      </c>
    </row>
    <row r="68" spans="1:6" ht="15" customHeight="1" x14ac:dyDescent="0.2">
      <c r="A68" s="147">
        <v>7</v>
      </c>
      <c r="B68" s="160" t="s">
        <v>203</v>
      </c>
      <c r="C68" s="157">
        <v>294096</v>
      </c>
      <c r="D68" s="157">
        <v>242948</v>
      </c>
      <c r="E68" s="157">
        <f t="shared" si="2"/>
        <v>-51148</v>
      </c>
      <c r="F68" s="161">
        <f t="shared" si="3"/>
        <v>-0.17391600021761602</v>
      </c>
    </row>
    <row r="69" spans="1:6" ht="15" customHeight="1" x14ac:dyDescent="0.2">
      <c r="A69" s="147">
        <v>8</v>
      </c>
      <c r="B69" s="160" t="s">
        <v>204</v>
      </c>
      <c r="C69" s="157">
        <v>146481</v>
      </c>
      <c r="D69" s="157">
        <v>138082</v>
      </c>
      <c r="E69" s="157">
        <f t="shared" si="2"/>
        <v>-8399</v>
      </c>
      <c r="F69" s="161">
        <f t="shared" si="3"/>
        <v>-5.7338494412244589E-2</v>
      </c>
    </row>
    <row r="70" spans="1:6" ht="15" customHeight="1" x14ac:dyDescent="0.2">
      <c r="A70" s="147">
        <v>9</v>
      </c>
      <c r="B70" s="160" t="s">
        <v>205</v>
      </c>
      <c r="C70" s="157">
        <v>18964</v>
      </c>
      <c r="D70" s="157">
        <v>31554</v>
      </c>
      <c r="E70" s="157">
        <f t="shared" si="2"/>
        <v>12590</v>
      </c>
      <c r="F70" s="161">
        <f t="shared" si="3"/>
        <v>0.66388947479434723</v>
      </c>
    </row>
    <row r="71" spans="1:6" ht="15" customHeight="1" x14ac:dyDescent="0.2">
      <c r="A71" s="147">
        <v>10</v>
      </c>
      <c r="B71" s="160" t="s">
        <v>206</v>
      </c>
      <c r="C71" s="157">
        <v>5525</v>
      </c>
      <c r="D71" s="157">
        <v>2049</v>
      </c>
      <c r="E71" s="157">
        <f t="shared" si="2"/>
        <v>-3476</v>
      </c>
      <c r="F71" s="161">
        <f t="shared" si="3"/>
        <v>-0.62914027149321272</v>
      </c>
    </row>
    <row r="72" spans="1:6" ht="15" customHeight="1" x14ac:dyDescent="0.2">
      <c r="A72" s="147">
        <v>11</v>
      </c>
      <c r="B72" s="160" t="s">
        <v>207</v>
      </c>
      <c r="C72" s="157">
        <v>0</v>
      </c>
      <c r="D72" s="157">
        <v>0</v>
      </c>
      <c r="E72" s="157">
        <f t="shared" si="2"/>
        <v>0</v>
      </c>
      <c r="F72" s="161">
        <f t="shared" si="3"/>
        <v>0</v>
      </c>
    </row>
    <row r="73" spans="1:6" ht="15" customHeight="1" x14ac:dyDescent="0.2">
      <c r="A73" s="147">
        <v>12</v>
      </c>
      <c r="B73" s="160" t="s">
        <v>208</v>
      </c>
      <c r="C73" s="157">
        <v>408428</v>
      </c>
      <c r="D73" s="157">
        <v>357432</v>
      </c>
      <c r="E73" s="157">
        <f t="shared" si="2"/>
        <v>-50996</v>
      </c>
      <c r="F73" s="161">
        <f t="shared" si="3"/>
        <v>-0.12485921631229985</v>
      </c>
    </row>
    <row r="74" spans="1:6" ht="15" customHeight="1" x14ac:dyDescent="0.2">
      <c r="A74" s="147">
        <v>13</v>
      </c>
      <c r="B74" s="160" t="s">
        <v>209</v>
      </c>
      <c r="C74" s="157">
        <v>117704</v>
      </c>
      <c r="D74" s="157">
        <v>104617</v>
      </c>
      <c r="E74" s="157">
        <f t="shared" si="2"/>
        <v>-13087</v>
      </c>
      <c r="F74" s="161">
        <f t="shared" si="3"/>
        <v>-0.11118568612791409</v>
      </c>
    </row>
    <row r="75" spans="1:6" ht="15" customHeight="1" x14ac:dyDescent="0.2">
      <c r="A75" s="147">
        <v>14</v>
      </c>
      <c r="B75" s="160" t="s">
        <v>210</v>
      </c>
      <c r="C75" s="157">
        <v>68576</v>
      </c>
      <c r="D75" s="157">
        <v>73086</v>
      </c>
      <c r="E75" s="157">
        <f t="shared" si="2"/>
        <v>4510</v>
      </c>
      <c r="F75" s="161">
        <f t="shared" si="3"/>
        <v>6.5766448903406438E-2</v>
      </c>
    </row>
    <row r="76" spans="1:6" ht="15" customHeight="1" x14ac:dyDescent="0.2">
      <c r="A76" s="147">
        <v>15</v>
      </c>
      <c r="B76" s="160" t="s">
        <v>211</v>
      </c>
      <c r="C76" s="157">
        <v>419758</v>
      </c>
      <c r="D76" s="157">
        <v>173843</v>
      </c>
      <c r="E76" s="157">
        <f t="shared" si="2"/>
        <v>-245915</v>
      </c>
      <c r="F76" s="161">
        <f t="shared" si="3"/>
        <v>-0.58584946564449036</v>
      </c>
    </row>
    <row r="77" spans="1:6" ht="15" customHeight="1" x14ac:dyDescent="0.2">
      <c r="A77" s="147">
        <v>16</v>
      </c>
      <c r="B77" s="160" t="s">
        <v>212</v>
      </c>
      <c r="C77" s="157">
        <v>0</v>
      </c>
      <c r="D77" s="157">
        <v>0</v>
      </c>
      <c r="E77" s="157">
        <f t="shared" si="2"/>
        <v>0</v>
      </c>
      <c r="F77" s="161">
        <f t="shared" si="3"/>
        <v>0</v>
      </c>
    </row>
    <row r="78" spans="1:6" ht="15" customHeight="1" x14ac:dyDescent="0.2">
      <c r="A78" s="147">
        <v>17</v>
      </c>
      <c r="B78" s="160" t="s">
        <v>213</v>
      </c>
      <c r="C78" s="157">
        <v>1139673</v>
      </c>
      <c r="D78" s="157">
        <v>1589662</v>
      </c>
      <c r="E78" s="157">
        <f t="shared" si="2"/>
        <v>449989</v>
      </c>
      <c r="F78" s="161">
        <f t="shared" si="3"/>
        <v>0.39484044984833366</v>
      </c>
    </row>
    <row r="79" spans="1:6" ht="15" customHeight="1" x14ac:dyDescent="0.2">
      <c r="A79" s="147">
        <v>18</v>
      </c>
      <c r="B79" s="160" t="s">
        <v>214</v>
      </c>
      <c r="C79" s="157">
        <v>0</v>
      </c>
      <c r="D79" s="157">
        <v>0</v>
      </c>
      <c r="E79" s="157">
        <f t="shared" si="2"/>
        <v>0</v>
      </c>
      <c r="F79" s="161">
        <f t="shared" si="3"/>
        <v>0</v>
      </c>
    </row>
    <row r="80" spans="1:6" ht="15" customHeight="1" x14ac:dyDescent="0.2">
      <c r="A80" s="147">
        <v>19</v>
      </c>
      <c r="B80" s="160" t="s">
        <v>215</v>
      </c>
      <c r="C80" s="157">
        <v>505407</v>
      </c>
      <c r="D80" s="157">
        <v>384288</v>
      </c>
      <c r="E80" s="157">
        <f t="shared" si="2"/>
        <v>-121119</v>
      </c>
      <c r="F80" s="161">
        <f t="shared" si="3"/>
        <v>-0.23964646314752269</v>
      </c>
    </row>
    <row r="81" spans="1:6" ht="15" customHeight="1" x14ac:dyDescent="0.2">
      <c r="A81" s="147">
        <v>20</v>
      </c>
      <c r="B81" s="160" t="s">
        <v>216</v>
      </c>
      <c r="C81" s="157">
        <v>436465</v>
      </c>
      <c r="D81" s="157">
        <v>265988</v>
      </c>
      <c r="E81" s="157">
        <f t="shared" si="2"/>
        <v>-170477</v>
      </c>
      <c r="F81" s="161">
        <f t="shared" si="3"/>
        <v>-0.39058572852347839</v>
      </c>
    </row>
    <row r="82" spans="1:6" ht="15" customHeight="1" x14ac:dyDescent="0.2">
      <c r="A82" s="147">
        <v>21</v>
      </c>
      <c r="B82" s="160" t="s">
        <v>217</v>
      </c>
      <c r="C82" s="157">
        <v>362037</v>
      </c>
      <c r="D82" s="157">
        <v>257497</v>
      </c>
      <c r="E82" s="157">
        <f t="shared" si="2"/>
        <v>-104540</v>
      </c>
      <c r="F82" s="161">
        <f t="shared" si="3"/>
        <v>-0.28875501675243137</v>
      </c>
    </row>
    <row r="83" spans="1:6" ht="15" customHeight="1" x14ac:dyDescent="0.2">
      <c r="A83" s="147">
        <v>22</v>
      </c>
      <c r="B83" s="160" t="s">
        <v>218</v>
      </c>
      <c r="C83" s="157">
        <v>167977</v>
      </c>
      <c r="D83" s="157">
        <v>138656</v>
      </c>
      <c r="E83" s="157">
        <f t="shared" si="2"/>
        <v>-29321</v>
      </c>
      <c r="F83" s="161">
        <f t="shared" si="3"/>
        <v>-0.17455365913190496</v>
      </c>
    </row>
    <row r="84" spans="1:6" ht="15" customHeight="1" x14ac:dyDescent="0.2">
      <c r="A84" s="147">
        <v>23</v>
      </c>
      <c r="B84" s="160" t="s">
        <v>219</v>
      </c>
      <c r="C84" s="157">
        <v>366004</v>
      </c>
      <c r="D84" s="157">
        <v>327515</v>
      </c>
      <c r="E84" s="157">
        <f t="shared" si="2"/>
        <v>-38489</v>
      </c>
      <c r="F84" s="161">
        <f t="shared" si="3"/>
        <v>-0.10516005289559677</v>
      </c>
    </row>
    <row r="85" spans="1:6" ht="15" customHeight="1" x14ac:dyDescent="0.2">
      <c r="A85" s="147">
        <v>24</v>
      </c>
      <c r="B85" s="160" t="s">
        <v>220</v>
      </c>
      <c r="C85" s="157">
        <v>0</v>
      </c>
      <c r="D85" s="157">
        <v>0</v>
      </c>
      <c r="E85" s="157">
        <f t="shared" si="2"/>
        <v>0</v>
      </c>
      <c r="F85" s="161">
        <f t="shared" si="3"/>
        <v>0</v>
      </c>
    </row>
    <row r="86" spans="1:6" ht="15" customHeight="1" x14ac:dyDescent="0.2">
      <c r="A86" s="147">
        <v>25</v>
      </c>
      <c r="B86" s="160" t="s">
        <v>221</v>
      </c>
      <c r="C86" s="157">
        <v>114215</v>
      </c>
      <c r="D86" s="157">
        <v>82324</v>
      </c>
      <c r="E86" s="157">
        <f t="shared" si="2"/>
        <v>-31891</v>
      </c>
      <c r="F86" s="161">
        <f t="shared" si="3"/>
        <v>-0.27921901676662436</v>
      </c>
    </row>
    <row r="87" spans="1:6" ht="15" customHeight="1" x14ac:dyDescent="0.2">
      <c r="A87" s="147">
        <v>26</v>
      </c>
      <c r="B87" s="160" t="s">
        <v>222</v>
      </c>
      <c r="C87" s="157">
        <v>1106841</v>
      </c>
      <c r="D87" s="157">
        <v>1035496</v>
      </c>
      <c r="E87" s="157">
        <f t="shared" si="2"/>
        <v>-71345</v>
      </c>
      <c r="F87" s="161">
        <f t="shared" si="3"/>
        <v>-6.4458219382910464E-2</v>
      </c>
    </row>
    <row r="88" spans="1:6" ht="15" customHeight="1" x14ac:dyDescent="0.2">
      <c r="A88" s="147">
        <v>27</v>
      </c>
      <c r="B88" s="160" t="s">
        <v>223</v>
      </c>
      <c r="C88" s="157">
        <v>1429722</v>
      </c>
      <c r="D88" s="157">
        <v>761156</v>
      </c>
      <c r="E88" s="157">
        <f t="shared" si="2"/>
        <v>-668566</v>
      </c>
      <c r="F88" s="161">
        <f t="shared" si="3"/>
        <v>-0.46761957919091962</v>
      </c>
    </row>
    <row r="89" spans="1:6" ht="15" customHeight="1" x14ac:dyDescent="0.2">
      <c r="A89" s="147">
        <v>28</v>
      </c>
      <c r="B89" s="160" t="s">
        <v>224</v>
      </c>
      <c r="C89" s="157">
        <v>1106748</v>
      </c>
      <c r="D89" s="157">
        <v>540639</v>
      </c>
      <c r="E89" s="157">
        <f t="shared" si="2"/>
        <v>-566109</v>
      </c>
      <c r="F89" s="161">
        <f t="shared" si="3"/>
        <v>-0.51150668444849234</v>
      </c>
    </row>
    <row r="90" spans="1:6" ht="15.75" customHeight="1" x14ac:dyDescent="0.25">
      <c r="A90" s="147"/>
      <c r="B90" s="162" t="s">
        <v>225</v>
      </c>
      <c r="C90" s="158">
        <f>SUM(C62:C89)</f>
        <v>10373502</v>
      </c>
      <c r="D90" s="158">
        <f>SUM(D62:D89)</f>
        <v>8512885</v>
      </c>
      <c r="E90" s="158">
        <f t="shared" si="2"/>
        <v>-1860617</v>
      </c>
      <c r="F90" s="159">
        <f t="shared" si="3"/>
        <v>-0.17936247566154612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62845</v>
      </c>
      <c r="D93" s="157">
        <v>36772</v>
      </c>
      <c r="E93" s="157">
        <f>+D93-C93</f>
        <v>-26073</v>
      </c>
      <c r="F93" s="161">
        <f>IF(C93=0,0,E93/C93)</f>
        <v>-0.41487787413477606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72159655</v>
      </c>
      <c r="D95" s="158">
        <f>+D93+D90+D59+D50+D47+D44+D41+D35+D30+D24+D18</f>
        <v>68867915</v>
      </c>
      <c r="E95" s="158">
        <f>+D95-C95</f>
        <v>-3291740</v>
      </c>
      <c r="F95" s="159">
        <f>IF(C95=0,0,E95/C95)</f>
        <v>-4.5617457566835648E-2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1228601</v>
      </c>
      <c r="D103" s="157">
        <v>1310284</v>
      </c>
      <c r="E103" s="157">
        <f t="shared" ref="E103:E121" si="4">D103-C103</f>
        <v>81683</v>
      </c>
      <c r="F103" s="161">
        <f t="shared" ref="F103:F121" si="5">IF(C103=0,0,E103/C103)</f>
        <v>6.6484562522739279E-2</v>
      </c>
    </row>
    <row r="104" spans="1:6" ht="15" customHeight="1" x14ac:dyDescent="0.2">
      <c r="A104" s="147">
        <v>2</v>
      </c>
      <c r="B104" s="169" t="s">
        <v>234</v>
      </c>
      <c r="C104" s="157">
        <v>1128305</v>
      </c>
      <c r="D104" s="157">
        <v>976304</v>
      </c>
      <c r="E104" s="157">
        <f t="shared" si="4"/>
        <v>-152001</v>
      </c>
      <c r="F104" s="161">
        <f t="shared" si="5"/>
        <v>-0.13471623364249916</v>
      </c>
    </row>
    <row r="105" spans="1:6" ht="15" customHeight="1" x14ac:dyDescent="0.2">
      <c r="A105" s="147">
        <v>3</v>
      </c>
      <c r="B105" s="169" t="s">
        <v>235</v>
      </c>
      <c r="C105" s="157">
        <v>1128966</v>
      </c>
      <c r="D105" s="157">
        <v>1547686</v>
      </c>
      <c r="E105" s="157">
        <f t="shared" si="4"/>
        <v>418720</v>
      </c>
      <c r="F105" s="161">
        <f t="shared" si="5"/>
        <v>0.37088805154451066</v>
      </c>
    </row>
    <row r="106" spans="1:6" ht="15" customHeight="1" x14ac:dyDescent="0.2">
      <c r="A106" s="147">
        <v>4</v>
      </c>
      <c r="B106" s="169" t="s">
        <v>236</v>
      </c>
      <c r="C106" s="157">
        <v>463342</v>
      </c>
      <c r="D106" s="157">
        <v>387133</v>
      </c>
      <c r="E106" s="157">
        <f t="shared" si="4"/>
        <v>-76209</v>
      </c>
      <c r="F106" s="161">
        <f t="shared" si="5"/>
        <v>-0.1644767795710296</v>
      </c>
    </row>
    <row r="107" spans="1:6" ht="15" customHeight="1" x14ac:dyDescent="0.2">
      <c r="A107" s="147">
        <v>5</v>
      </c>
      <c r="B107" s="169" t="s">
        <v>237</v>
      </c>
      <c r="C107" s="157">
        <v>2320599</v>
      </c>
      <c r="D107" s="157">
        <v>2884479</v>
      </c>
      <c r="E107" s="157">
        <f t="shared" si="4"/>
        <v>563880</v>
      </c>
      <c r="F107" s="161">
        <f t="shared" si="5"/>
        <v>0.24298898689519388</v>
      </c>
    </row>
    <row r="108" spans="1:6" ht="15" customHeight="1" x14ac:dyDescent="0.2">
      <c r="A108" s="147">
        <v>6</v>
      </c>
      <c r="B108" s="169" t="s">
        <v>238</v>
      </c>
      <c r="C108" s="157">
        <v>571731</v>
      </c>
      <c r="D108" s="157">
        <v>352067</v>
      </c>
      <c r="E108" s="157">
        <f t="shared" si="4"/>
        <v>-219664</v>
      </c>
      <c r="F108" s="161">
        <f t="shared" si="5"/>
        <v>-0.38420865756798217</v>
      </c>
    </row>
    <row r="109" spans="1:6" ht="15" customHeight="1" x14ac:dyDescent="0.2">
      <c r="A109" s="147">
        <v>7</v>
      </c>
      <c r="B109" s="169" t="s">
        <v>239</v>
      </c>
      <c r="C109" s="157">
        <v>7680157</v>
      </c>
      <c r="D109" s="157">
        <v>7940648</v>
      </c>
      <c r="E109" s="157">
        <f t="shared" si="4"/>
        <v>260491</v>
      </c>
      <c r="F109" s="161">
        <f t="shared" si="5"/>
        <v>3.391740559470334E-2</v>
      </c>
    </row>
    <row r="110" spans="1:6" ht="15" customHeight="1" x14ac:dyDescent="0.2">
      <c r="A110" s="147">
        <v>8</v>
      </c>
      <c r="B110" s="169" t="s">
        <v>240</v>
      </c>
      <c r="C110" s="157">
        <v>193163</v>
      </c>
      <c r="D110" s="157">
        <v>158794</v>
      </c>
      <c r="E110" s="157">
        <f t="shared" si="4"/>
        <v>-34369</v>
      </c>
      <c r="F110" s="161">
        <f t="shared" si="5"/>
        <v>-0.17792744987394066</v>
      </c>
    </row>
    <row r="111" spans="1:6" ht="15" customHeight="1" x14ac:dyDescent="0.2">
      <c r="A111" s="147">
        <v>9</v>
      </c>
      <c r="B111" s="169" t="s">
        <v>241</v>
      </c>
      <c r="C111" s="157">
        <v>335827</v>
      </c>
      <c r="D111" s="157">
        <v>486020</v>
      </c>
      <c r="E111" s="157">
        <f t="shared" si="4"/>
        <v>150193</v>
      </c>
      <c r="F111" s="161">
        <f t="shared" si="5"/>
        <v>0.44723324807117948</v>
      </c>
    </row>
    <row r="112" spans="1:6" ht="15" customHeight="1" x14ac:dyDescent="0.2">
      <c r="A112" s="147">
        <v>10</v>
      </c>
      <c r="B112" s="169" t="s">
        <v>242</v>
      </c>
      <c r="C112" s="157">
        <v>1091624</v>
      </c>
      <c r="D112" s="157">
        <v>952812</v>
      </c>
      <c r="E112" s="157">
        <f t="shared" si="4"/>
        <v>-138812</v>
      </c>
      <c r="F112" s="161">
        <f t="shared" si="5"/>
        <v>-0.12716100049101156</v>
      </c>
    </row>
    <row r="113" spans="1:6" ht="15" customHeight="1" x14ac:dyDescent="0.2">
      <c r="A113" s="147">
        <v>11</v>
      </c>
      <c r="B113" s="169" t="s">
        <v>243</v>
      </c>
      <c r="C113" s="157">
        <v>895355</v>
      </c>
      <c r="D113" s="157">
        <v>844573</v>
      </c>
      <c r="E113" s="157">
        <f t="shared" si="4"/>
        <v>-50782</v>
      </c>
      <c r="F113" s="161">
        <f t="shared" si="5"/>
        <v>-5.6717168050661466E-2</v>
      </c>
    </row>
    <row r="114" spans="1:6" ht="15" customHeight="1" x14ac:dyDescent="0.2">
      <c r="A114" s="147">
        <v>12</v>
      </c>
      <c r="B114" s="169" t="s">
        <v>244</v>
      </c>
      <c r="C114" s="157">
        <v>343194</v>
      </c>
      <c r="D114" s="157">
        <v>316713</v>
      </c>
      <c r="E114" s="157">
        <f t="shared" si="4"/>
        <v>-26481</v>
      </c>
      <c r="F114" s="161">
        <f t="shared" si="5"/>
        <v>-7.7160439867829861E-2</v>
      </c>
    </row>
    <row r="115" spans="1:6" ht="15" customHeight="1" x14ac:dyDescent="0.2">
      <c r="A115" s="147">
        <v>13</v>
      </c>
      <c r="B115" s="169" t="s">
        <v>245</v>
      </c>
      <c r="C115" s="157">
        <v>1097500</v>
      </c>
      <c r="D115" s="157">
        <v>977318</v>
      </c>
      <c r="E115" s="157">
        <f t="shared" si="4"/>
        <v>-120182</v>
      </c>
      <c r="F115" s="161">
        <f t="shared" si="5"/>
        <v>-0.10950523917995444</v>
      </c>
    </row>
    <row r="116" spans="1:6" ht="15" customHeight="1" x14ac:dyDescent="0.2">
      <c r="A116" s="147">
        <v>14</v>
      </c>
      <c r="B116" s="169" t="s">
        <v>246</v>
      </c>
      <c r="C116" s="157">
        <v>393018</v>
      </c>
      <c r="D116" s="157">
        <v>327837</v>
      </c>
      <c r="E116" s="157">
        <f t="shared" si="4"/>
        <v>-65181</v>
      </c>
      <c r="F116" s="161">
        <f t="shared" si="5"/>
        <v>-0.16584736576950673</v>
      </c>
    </row>
    <row r="117" spans="1:6" ht="15" customHeight="1" x14ac:dyDescent="0.2">
      <c r="A117" s="147">
        <v>15</v>
      </c>
      <c r="B117" s="169" t="s">
        <v>203</v>
      </c>
      <c r="C117" s="157">
        <v>873657</v>
      </c>
      <c r="D117" s="157">
        <v>776875</v>
      </c>
      <c r="E117" s="157">
        <f t="shared" si="4"/>
        <v>-96782</v>
      </c>
      <c r="F117" s="161">
        <f t="shared" si="5"/>
        <v>-0.11077802844823541</v>
      </c>
    </row>
    <row r="118" spans="1:6" ht="15" customHeight="1" x14ac:dyDescent="0.2">
      <c r="A118" s="147">
        <v>16</v>
      </c>
      <c r="B118" s="169" t="s">
        <v>247</v>
      </c>
      <c r="C118" s="157">
        <v>289764</v>
      </c>
      <c r="D118" s="157">
        <v>169357</v>
      </c>
      <c r="E118" s="157">
        <f t="shared" si="4"/>
        <v>-120407</v>
      </c>
      <c r="F118" s="161">
        <f t="shared" si="5"/>
        <v>-0.41553471100619815</v>
      </c>
    </row>
    <row r="119" spans="1:6" ht="15" customHeight="1" x14ac:dyDescent="0.2">
      <c r="A119" s="147">
        <v>17</v>
      </c>
      <c r="B119" s="169" t="s">
        <v>248</v>
      </c>
      <c r="C119" s="157">
        <v>1874163</v>
      </c>
      <c r="D119" s="157">
        <v>1931249</v>
      </c>
      <c r="E119" s="157">
        <f t="shared" si="4"/>
        <v>57086</v>
      </c>
      <c r="F119" s="161">
        <f t="shared" si="5"/>
        <v>3.0459463771294173E-2</v>
      </c>
    </row>
    <row r="120" spans="1:6" ht="15" customHeight="1" x14ac:dyDescent="0.2">
      <c r="A120" s="147">
        <v>18</v>
      </c>
      <c r="B120" s="169" t="s">
        <v>249</v>
      </c>
      <c r="C120" s="157">
        <v>8831830</v>
      </c>
      <c r="D120" s="157">
        <v>8256571</v>
      </c>
      <c r="E120" s="157">
        <f t="shared" si="4"/>
        <v>-575259</v>
      </c>
      <c r="F120" s="161">
        <f t="shared" si="5"/>
        <v>-6.5134745573680652E-2</v>
      </c>
    </row>
    <row r="121" spans="1:6" ht="15.75" customHeight="1" x14ac:dyDescent="0.25">
      <c r="A121" s="147"/>
      <c r="B121" s="165" t="s">
        <v>250</v>
      </c>
      <c r="C121" s="158">
        <f>SUM(C103:C120)</f>
        <v>30740796</v>
      </c>
      <c r="D121" s="158">
        <f>SUM(D103:D120)</f>
        <v>30596720</v>
      </c>
      <c r="E121" s="158">
        <f t="shared" si="4"/>
        <v>-144076</v>
      </c>
      <c r="F121" s="159">
        <f t="shared" si="5"/>
        <v>-4.6868012136055291E-3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1490487</v>
      </c>
      <c r="D124" s="157">
        <v>2297630</v>
      </c>
      <c r="E124" s="157">
        <f t="shared" ref="E124:E130" si="6">D124-C124</f>
        <v>807143</v>
      </c>
      <c r="F124" s="161">
        <f t="shared" ref="F124:F130" si="7">IF(C124=0,0,E124/C124)</f>
        <v>0.54152971478449663</v>
      </c>
    </row>
    <row r="125" spans="1:6" ht="15" customHeight="1" x14ac:dyDescent="0.2">
      <c r="A125" s="147">
        <v>2</v>
      </c>
      <c r="B125" s="169" t="s">
        <v>253</v>
      </c>
      <c r="C125" s="157">
        <v>30744</v>
      </c>
      <c r="D125" s="157">
        <v>52484</v>
      </c>
      <c r="E125" s="157">
        <f t="shared" si="6"/>
        <v>21740</v>
      </c>
      <c r="F125" s="161">
        <f t="shared" si="7"/>
        <v>0.70712984647410881</v>
      </c>
    </row>
    <row r="126" spans="1:6" ht="15" customHeight="1" x14ac:dyDescent="0.2">
      <c r="A126" s="147">
        <v>3</v>
      </c>
      <c r="B126" s="169" t="s">
        <v>254</v>
      </c>
      <c r="C126" s="157">
        <v>726838</v>
      </c>
      <c r="D126" s="157">
        <v>398818</v>
      </c>
      <c r="E126" s="157">
        <f t="shared" si="6"/>
        <v>-328020</v>
      </c>
      <c r="F126" s="161">
        <f t="shared" si="7"/>
        <v>-0.45129726293892175</v>
      </c>
    </row>
    <row r="127" spans="1:6" ht="15" customHeight="1" x14ac:dyDescent="0.2">
      <c r="A127" s="147">
        <v>4</v>
      </c>
      <c r="B127" s="169" t="s">
        <v>255</v>
      </c>
      <c r="C127" s="157">
        <v>903533</v>
      </c>
      <c r="D127" s="157">
        <v>883570</v>
      </c>
      <c r="E127" s="157">
        <f t="shared" si="6"/>
        <v>-19963</v>
      </c>
      <c r="F127" s="161">
        <f t="shared" si="7"/>
        <v>-2.2094378401231608E-2</v>
      </c>
    </row>
    <row r="128" spans="1:6" ht="15" customHeight="1" x14ac:dyDescent="0.2">
      <c r="A128" s="147">
        <v>5</v>
      </c>
      <c r="B128" s="169" t="s">
        <v>256</v>
      </c>
      <c r="C128" s="157">
        <v>42287</v>
      </c>
      <c r="D128" s="157">
        <v>35134</v>
      </c>
      <c r="E128" s="157">
        <f t="shared" si="6"/>
        <v>-7153</v>
      </c>
      <c r="F128" s="161">
        <f t="shared" si="7"/>
        <v>-0.16915364059876559</v>
      </c>
    </row>
    <row r="129" spans="1:6" ht="15" customHeight="1" x14ac:dyDescent="0.2">
      <c r="A129" s="147">
        <v>6</v>
      </c>
      <c r="B129" s="169" t="s">
        <v>257</v>
      </c>
      <c r="C129" s="157">
        <v>0</v>
      </c>
      <c r="D129" s="157">
        <v>0</v>
      </c>
      <c r="E129" s="157">
        <f t="shared" si="6"/>
        <v>0</v>
      </c>
      <c r="F129" s="161">
        <f t="shared" si="7"/>
        <v>0</v>
      </c>
    </row>
    <row r="130" spans="1:6" ht="15.75" customHeight="1" x14ac:dyDescent="0.25">
      <c r="A130" s="147"/>
      <c r="B130" s="165" t="s">
        <v>258</v>
      </c>
      <c r="C130" s="158">
        <f>SUM(C124:C129)</f>
        <v>3193889</v>
      </c>
      <c r="D130" s="158">
        <f>SUM(D124:D129)</f>
        <v>3667636</v>
      </c>
      <c r="E130" s="158">
        <f t="shared" si="6"/>
        <v>473747</v>
      </c>
      <c r="F130" s="159">
        <f t="shared" si="7"/>
        <v>0.14832919991897026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7697906</v>
      </c>
      <c r="D133" s="157">
        <v>7672509</v>
      </c>
      <c r="E133" s="157">
        <f t="shared" ref="E133:E167" si="8">D133-C133</f>
        <v>-25397</v>
      </c>
      <c r="F133" s="161">
        <f t="shared" ref="F133:F167" si="9">IF(C133=0,0,E133/C133)</f>
        <v>-3.2992089017454878E-3</v>
      </c>
    </row>
    <row r="134" spans="1:6" ht="15" customHeight="1" x14ac:dyDescent="0.2">
      <c r="A134" s="147">
        <v>2</v>
      </c>
      <c r="B134" s="169" t="s">
        <v>261</v>
      </c>
      <c r="C134" s="157">
        <v>384394</v>
      </c>
      <c r="D134" s="157">
        <v>378475</v>
      </c>
      <c r="E134" s="157">
        <f t="shared" si="8"/>
        <v>-5919</v>
      </c>
      <c r="F134" s="161">
        <f t="shared" si="9"/>
        <v>-1.5398263240321128E-2</v>
      </c>
    </row>
    <row r="135" spans="1:6" ht="15" customHeight="1" x14ac:dyDescent="0.2">
      <c r="A135" s="147">
        <v>3</v>
      </c>
      <c r="B135" s="169" t="s">
        <v>262</v>
      </c>
      <c r="C135" s="157">
        <v>182546</v>
      </c>
      <c r="D135" s="157">
        <v>147334</v>
      </c>
      <c r="E135" s="157">
        <f t="shared" si="8"/>
        <v>-35212</v>
      </c>
      <c r="F135" s="161">
        <f t="shared" si="9"/>
        <v>-0.19289384593472331</v>
      </c>
    </row>
    <row r="136" spans="1:6" ht="15" customHeight="1" x14ac:dyDescent="0.2">
      <c r="A136" s="147">
        <v>4</v>
      </c>
      <c r="B136" s="169" t="s">
        <v>263</v>
      </c>
      <c r="C136" s="157">
        <v>283860</v>
      </c>
      <c r="D136" s="157">
        <v>287903</v>
      </c>
      <c r="E136" s="157">
        <f t="shared" si="8"/>
        <v>4043</v>
      </c>
      <c r="F136" s="161">
        <f t="shared" si="9"/>
        <v>1.4242936658916367E-2</v>
      </c>
    </row>
    <row r="137" spans="1:6" ht="15" customHeight="1" x14ac:dyDescent="0.2">
      <c r="A137" s="147">
        <v>5</v>
      </c>
      <c r="B137" s="169" t="s">
        <v>264</v>
      </c>
      <c r="C137" s="157">
        <v>3998658</v>
      </c>
      <c r="D137" s="157">
        <v>3864381</v>
      </c>
      <c r="E137" s="157">
        <f t="shared" si="8"/>
        <v>-134277</v>
      </c>
      <c r="F137" s="161">
        <f t="shared" si="9"/>
        <v>-3.3580516263206309E-2</v>
      </c>
    </row>
    <row r="138" spans="1:6" ht="15" customHeight="1" x14ac:dyDescent="0.2">
      <c r="A138" s="147">
        <v>6</v>
      </c>
      <c r="B138" s="169" t="s">
        <v>265</v>
      </c>
      <c r="C138" s="157">
        <v>503373</v>
      </c>
      <c r="D138" s="157">
        <v>315864</v>
      </c>
      <c r="E138" s="157">
        <f t="shared" si="8"/>
        <v>-187509</v>
      </c>
      <c r="F138" s="161">
        <f t="shared" si="9"/>
        <v>-0.37250508072542626</v>
      </c>
    </row>
    <row r="139" spans="1:6" ht="15" customHeight="1" x14ac:dyDescent="0.2">
      <c r="A139" s="147">
        <v>7</v>
      </c>
      <c r="B139" s="169" t="s">
        <v>266</v>
      </c>
      <c r="C139" s="157">
        <v>0</v>
      </c>
      <c r="D139" s="157">
        <v>0</v>
      </c>
      <c r="E139" s="157">
        <f t="shared" si="8"/>
        <v>0</v>
      </c>
      <c r="F139" s="161">
        <f t="shared" si="9"/>
        <v>0</v>
      </c>
    </row>
    <row r="140" spans="1:6" ht="15" customHeight="1" x14ac:dyDescent="0.2">
      <c r="A140" s="147">
        <v>8</v>
      </c>
      <c r="B140" s="169" t="s">
        <v>267</v>
      </c>
      <c r="C140" s="157">
        <v>362859</v>
      </c>
      <c r="D140" s="157">
        <v>303807</v>
      </c>
      <c r="E140" s="157">
        <f t="shared" si="8"/>
        <v>-59052</v>
      </c>
      <c r="F140" s="161">
        <f t="shared" si="9"/>
        <v>-0.16274089935760172</v>
      </c>
    </row>
    <row r="141" spans="1:6" ht="15" customHeight="1" x14ac:dyDescent="0.2">
      <c r="A141" s="147">
        <v>9</v>
      </c>
      <c r="B141" s="169" t="s">
        <v>268</v>
      </c>
      <c r="C141" s="157">
        <v>277311</v>
      </c>
      <c r="D141" s="157">
        <v>290528</v>
      </c>
      <c r="E141" s="157">
        <f t="shared" si="8"/>
        <v>13217</v>
      </c>
      <c r="F141" s="161">
        <f t="shared" si="9"/>
        <v>4.7661290031769388E-2</v>
      </c>
    </row>
    <row r="142" spans="1:6" ht="15" customHeight="1" x14ac:dyDescent="0.2">
      <c r="A142" s="147">
        <v>10</v>
      </c>
      <c r="B142" s="169" t="s">
        <v>269</v>
      </c>
      <c r="C142" s="157">
        <v>2531500</v>
      </c>
      <c r="D142" s="157">
        <v>2372965</v>
      </c>
      <c r="E142" s="157">
        <f t="shared" si="8"/>
        <v>-158535</v>
      </c>
      <c r="F142" s="161">
        <f t="shared" si="9"/>
        <v>-6.2624925933241163E-2</v>
      </c>
    </row>
    <row r="143" spans="1:6" ht="15" customHeight="1" x14ac:dyDescent="0.2">
      <c r="A143" s="147">
        <v>11</v>
      </c>
      <c r="B143" s="169" t="s">
        <v>270</v>
      </c>
      <c r="C143" s="157">
        <v>0</v>
      </c>
      <c r="D143" s="157">
        <v>0</v>
      </c>
      <c r="E143" s="157">
        <f t="shared" si="8"/>
        <v>0</v>
      </c>
      <c r="F143" s="161">
        <f t="shared" si="9"/>
        <v>0</v>
      </c>
    </row>
    <row r="144" spans="1:6" ht="15" customHeight="1" x14ac:dyDescent="0.2">
      <c r="A144" s="147">
        <v>12</v>
      </c>
      <c r="B144" s="169" t="s">
        <v>271</v>
      </c>
      <c r="C144" s="157">
        <v>1383318</v>
      </c>
      <c r="D144" s="157">
        <v>1291233</v>
      </c>
      <c r="E144" s="157">
        <f t="shared" si="8"/>
        <v>-92085</v>
      </c>
      <c r="F144" s="161">
        <f t="shared" si="9"/>
        <v>-6.6568207743989458E-2</v>
      </c>
    </row>
    <row r="145" spans="1:6" ht="15" customHeight="1" x14ac:dyDescent="0.2">
      <c r="A145" s="147">
        <v>13</v>
      </c>
      <c r="B145" s="169" t="s">
        <v>272</v>
      </c>
      <c r="C145" s="157">
        <v>91327</v>
      </c>
      <c r="D145" s="157">
        <v>93419</v>
      </c>
      <c r="E145" s="157">
        <f t="shared" si="8"/>
        <v>2092</v>
      </c>
      <c r="F145" s="161">
        <f t="shared" si="9"/>
        <v>2.2906697909709069E-2</v>
      </c>
    </row>
    <row r="146" spans="1:6" ht="15" customHeight="1" x14ac:dyDescent="0.2">
      <c r="A146" s="147">
        <v>14</v>
      </c>
      <c r="B146" s="169" t="s">
        <v>273</v>
      </c>
      <c r="C146" s="157">
        <v>21820</v>
      </c>
      <c r="D146" s="157">
        <v>29529</v>
      </c>
      <c r="E146" s="157">
        <f t="shared" si="8"/>
        <v>7709</v>
      </c>
      <c r="F146" s="161">
        <f t="shared" si="9"/>
        <v>0.35329972502291473</v>
      </c>
    </row>
    <row r="147" spans="1:6" ht="15" customHeight="1" x14ac:dyDescent="0.2">
      <c r="A147" s="147">
        <v>15</v>
      </c>
      <c r="B147" s="169" t="s">
        <v>274</v>
      </c>
      <c r="C147" s="157">
        <v>0</v>
      </c>
      <c r="D147" s="157">
        <v>0</v>
      </c>
      <c r="E147" s="157">
        <f t="shared" si="8"/>
        <v>0</v>
      </c>
      <c r="F147" s="161">
        <f t="shared" si="9"/>
        <v>0</v>
      </c>
    </row>
    <row r="148" spans="1:6" ht="15" customHeight="1" x14ac:dyDescent="0.2">
      <c r="A148" s="147">
        <v>16</v>
      </c>
      <c r="B148" s="169" t="s">
        <v>275</v>
      </c>
      <c r="C148" s="157">
        <v>47062</v>
      </c>
      <c r="D148" s="157">
        <v>44908</v>
      </c>
      <c r="E148" s="157">
        <f t="shared" si="8"/>
        <v>-2154</v>
      </c>
      <c r="F148" s="161">
        <f t="shared" si="9"/>
        <v>-4.5769410564786873E-2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0</v>
      </c>
      <c r="D150" s="157">
        <v>0</v>
      </c>
      <c r="E150" s="157">
        <f t="shared" si="8"/>
        <v>0</v>
      </c>
      <c r="F150" s="161">
        <f t="shared" si="9"/>
        <v>0</v>
      </c>
    </row>
    <row r="151" spans="1:6" ht="15" customHeight="1" x14ac:dyDescent="0.2">
      <c r="A151" s="147">
        <v>19</v>
      </c>
      <c r="B151" s="169" t="s">
        <v>278</v>
      </c>
      <c r="C151" s="157">
        <v>0</v>
      </c>
      <c r="D151" s="157">
        <v>0</v>
      </c>
      <c r="E151" s="157">
        <f t="shared" si="8"/>
        <v>0</v>
      </c>
      <c r="F151" s="161">
        <f t="shared" si="9"/>
        <v>0</v>
      </c>
    </row>
    <row r="152" spans="1:6" ht="15" customHeight="1" x14ac:dyDescent="0.2">
      <c r="A152" s="147">
        <v>20</v>
      </c>
      <c r="B152" s="169" t="s">
        <v>279</v>
      </c>
      <c r="C152" s="157">
        <v>0</v>
      </c>
      <c r="D152" s="157">
        <v>0</v>
      </c>
      <c r="E152" s="157">
        <f t="shared" si="8"/>
        <v>0</v>
      </c>
      <c r="F152" s="161">
        <f t="shared" si="9"/>
        <v>0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0</v>
      </c>
      <c r="D154" s="157">
        <v>0</v>
      </c>
      <c r="E154" s="157">
        <f t="shared" si="8"/>
        <v>0</v>
      </c>
      <c r="F154" s="161">
        <f t="shared" si="9"/>
        <v>0</v>
      </c>
    </row>
    <row r="155" spans="1:6" ht="15" customHeight="1" x14ac:dyDescent="0.2">
      <c r="A155" s="147">
        <v>23</v>
      </c>
      <c r="B155" s="169" t="s">
        <v>282</v>
      </c>
      <c r="C155" s="157">
        <v>104707</v>
      </c>
      <c r="D155" s="157">
        <v>107513</v>
      </c>
      <c r="E155" s="157">
        <f t="shared" si="8"/>
        <v>2806</v>
      </c>
      <c r="F155" s="161">
        <f t="shared" si="9"/>
        <v>2.6798590352125454E-2</v>
      </c>
    </row>
    <row r="156" spans="1:6" ht="15" customHeight="1" x14ac:dyDescent="0.2">
      <c r="A156" s="147">
        <v>24</v>
      </c>
      <c r="B156" s="169" t="s">
        <v>283</v>
      </c>
      <c r="C156" s="157">
        <v>7793052</v>
      </c>
      <c r="D156" s="157">
        <v>6424688</v>
      </c>
      <c r="E156" s="157">
        <f t="shared" si="8"/>
        <v>-1368364</v>
      </c>
      <c r="F156" s="161">
        <f t="shared" si="9"/>
        <v>-0.17558769016298106</v>
      </c>
    </row>
    <row r="157" spans="1:6" ht="15" customHeight="1" x14ac:dyDescent="0.2">
      <c r="A157" s="147">
        <v>25</v>
      </c>
      <c r="B157" s="169" t="s">
        <v>284</v>
      </c>
      <c r="C157" s="157">
        <v>172210</v>
      </c>
      <c r="D157" s="157">
        <v>169166</v>
      </c>
      <c r="E157" s="157">
        <f t="shared" si="8"/>
        <v>-3044</v>
      </c>
      <c r="F157" s="161">
        <f t="shared" si="9"/>
        <v>-1.7676093142093955E-2</v>
      </c>
    </row>
    <row r="158" spans="1:6" ht="15" customHeight="1" x14ac:dyDescent="0.2">
      <c r="A158" s="147">
        <v>26</v>
      </c>
      <c r="B158" s="169" t="s">
        <v>285</v>
      </c>
      <c r="C158" s="157">
        <v>0</v>
      </c>
      <c r="D158" s="157">
        <v>0</v>
      </c>
      <c r="E158" s="157">
        <f t="shared" si="8"/>
        <v>0</v>
      </c>
      <c r="F158" s="161">
        <f t="shared" si="9"/>
        <v>0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996900</v>
      </c>
      <c r="D160" s="157">
        <v>1050505</v>
      </c>
      <c r="E160" s="157">
        <f t="shared" si="8"/>
        <v>53605</v>
      </c>
      <c r="F160" s="161">
        <f t="shared" si="9"/>
        <v>5.3771692245962482E-2</v>
      </c>
    </row>
    <row r="161" spans="1:6" ht="15" customHeight="1" x14ac:dyDescent="0.2">
      <c r="A161" s="147">
        <v>29</v>
      </c>
      <c r="B161" s="169" t="s">
        <v>288</v>
      </c>
      <c r="C161" s="157">
        <v>0</v>
      </c>
      <c r="D161" s="157">
        <v>0</v>
      </c>
      <c r="E161" s="157">
        <f t="shared" si="8"/>
        <v>0</v>
      </c>
      <c r="F161" s="161">
        <f t="shared" si="9"/>
        <v>0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0</v>
      </c>
      <c r="D163" s="157">
        <v>0</v>
      </c>
      <c r="E163" s="157">
        <f t="shared" si="8"/>
        <v>0</v>
      </c>
      <c r="F163" s="161">
        <f t="shared" si="9"/>
        <v>0</v>
      </c>
    </row>
    <row r="164" spans="1:6" ht="15" customHeight="1" x14ac:dyDescent="0.2">
      <c r="A164" s="147">
        <v>32</v>
      </c>
      <c r="B164" s="169" t="s">
        <v>291</v>
      </c>
      <c r="C164" s="157">
        <v>1013283</v>
      </c>
      <c r="D164" s="157">
        <v>999320</v>
      </c>
      <c r="E164" s="157">
        <f t="shared" si="8"/>
        <v>-13963</v>
      </c>
      <c r="F164" s="161">
        <f t="shared" si="9"/>
        <v>-1.3779960780946685E-2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1270014</v>
      </c>
      <c r="D166" s="157">
        <v>893692</v>
      </c>
      <c r="E166" s="157">
        <f t="shared" si="8"/>
        <v>-376322</v>
      </c>
      <c r="F166" s="161">
        <f t="shared" si="9"/>
        <v>-0.29631326898758598</v>
      </c>
    </row>
    <row r="167" spans="1:6" ht="15.75" customHeight="1" x14ac:dyDescent="0.25">
      <c r="A167" s="147"/>
      <c r="B167" s="165" t="s">
        <v>294</v>
      </c>
      <c r="C167" s="158">
        <f>SUM(C133:C166)</f>
        <v>29116100</v>
      </c>
      <c r="D167" s="158">
        <f>SUM(D133:D166)</f>
        <v>26737739</v>
      </c>
      <c r="E167" s="158">
        <f t="shared" si="8"/>
        <v>-2378361</v>
      </c>
      <c r="F167" s="159">
        <f t="shared" si="9"/>
        <v>-8.1685424902373599E-2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5694300</v>
      </c>
      <c r="D170" s="157">
        <v>4713282</v>
      </c>
      <c r="E170" s="157">
        <f t="shared" ref="E170:E183" si="10">D170-C170</f>
        <v>-981018</v>
      </c>
      <c r="F170" s="161">
        <f t="shared" ref="F170:F183" si="11">IF(C170=0,0,E170/C170)</f>
        <v>-0.17228070175438598</v>
      </c>
    </row>
    <row r="171" spans="1:6" ht="15" customHeight="1" x14ac:dyDescent="0.2">
      <c r="A171" s="147">
        <v>2</v>
      </c>
      <c r="B171" s="169" t="s">
        <v>297</v>
      </c>
      <c r="C171" s="157">
        <v>2271006</v>
      </c>
      <c r="D171" s="157">
        <v>2070330</v>
      </c>
      <c r="E171" s="157">
        <f t="shared" si="10"/>
        <v>-200676</v>
      </c>
      <c r="F171" s="161">
        <f t="shared" si="11"/>
        <v>-8.8364363634442181E-2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0</v>
      </c>
      <c r="D173" s="157">
        <v>0</v>
      </c>
      <c r="E173" s="157">
        <f t="shared" si="10"/>
        <v>0</v>
      </c>
      <c r="F173" s="161">
        <f t="shared" si="11"/>
        <v>0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0</v>
      </c>
      <c r="D175" s="157">
        <v>0</v>
      </c>
      <c r="E175" s="157">
        <f t="shared" si="10"/>
        <v>0</v>
      </c>
      <c r="F175" s="161">
        <f t="shared" si="11"/>
        <v>0</v>
      </c>
    </row>
    <row r="176" spans="1:6" ht="15" customHeight="1" x14ac:dyDescent="0.2">
      <c r="A176" s="147">
        <v>7</v>
      </c>
      <c r="B176" s="169" t="s">
        <v>302</v>
      </c>
      <c r="C176" s="157">
        <v>0</v>
      </c>
      <c r="D176" s="157">
        <v>0</v>
      </c>
      <c r="E176" s="157">
        <f t="shared" si="10"/>
        <v>0</v>
      </c>
      <c r="F176" s="161">
        <f t="shared" si="11"/>
        <v>0</v>
      </c>
    </row>
    <row r="177" spans="1:6" ht="15" customHeight="1" x14ac:dyDescent="0.2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">
      <c r="A178" s="147">
        <v>9</v>
      </c>
      <c r="B178" s="169" t="s">
        <v>304</v>
      </c>
      <c r="C178" s="157">
        <v>0</v>
      </c>
      <c r="D178" s="157">
        <v>0</v>
      </c>
      <c r="E178" s="157">
        <f t="shared" si="10"/>
        <v>0</v>
      </c>
      <c r="F178" s="161">
        <f t="shared" si="11"/>
        <v>0</v>
      </c>
    </row>
    <row r="179" spans="1:6" ht="15" customHeight="1" x14ac:dyDescent="0.2">
      <c r="A179" s="147">
        <v>10</v>
      </c>
      <c r="B179" s="169" t="s">
        <v>305</v>
      </c>
      <c r="C179" s="157">
        <v>542263</v>
      </c>
      <c r="D179" s="157">
        <v>524929</v>
      </c>
      <c r="E179" s="157">
        <f t="shared" si="10"/>
        <v>-17334</v>
      </c>
      <c r="F179" s="161">
        <f t="shared" si="11"/>
        <v>-3.1966038619636594E-2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0</v>
      </c>
      <c r="D181" s="157">
        <v>0</v>
      </c>
      <c r="E181" s="157">
        <f t="shared" si="10"/>
        <v>0</v>
      </c>
      <c r="F181" s="161">
        <f t="shared" si="11"/>
        <v>0</v>
      </c>
    </row>
    <row r="182" spans="1:6" ht="15" customHeight="1" x14ac:dyDescent="0.2">
      <c r="A182" s="147">
        <v>13</v>
      </c>
      <c r="B182" s="169" t="s">
        <v>308</v>
      </c>
      <c r="C182" s="157">
        <v>601301</v>
      </c>
      <c r="D182" s="157">
        <v>557279</v>
      </c>
      <c r="E182" s="157">
        <f t="shared" si="10"/>
        <v>-44022</v>
      </c>
      <c r="F182" s="161">
        <f t="shared" si="11"/>
        <v>-7.3211253598447365E-2</v>
      </c>
    </row>
    <row r="183" spans="1:6" ht="15.75" customHeight="1" x14ac:dyDescent="0.25">
      <c r="A183" s="147"/>
      <c r="B183" s="165" t="s">
        <v>309</v>
      </c>
      <c r="C183" s="158">
        <f>SUM(C170:C182)</f>
        <v>9108870</v>
      </c>
      <c r="D183" s="158">
        <f>SUM(D170:D182)</f>
        <v>7865820</v>
      </c>
      <c r="E183" s="158">
        <f t="shared" si="10"/>
        <v>-1243050</v>
      </c>
      <c r="F183" s="159">
        <f t="shared" si="11"/>
        <v>-0.13646588435228518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0</v>
      </c>
      <c r="D186" s="157">
        <v>0</v>
      </c>
      <c r="E186" s="157">
        <f>D186-C186</f>
        <v>0</v>
      </c>
      <c r="F186" s="161">
        <f>IF(C186=0,0,E186/C186)</f>
        <v>0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72159655</v>
      </c>
      <c r="D188" s="158">
        <f>+D186+D183+D167+D130+D121</f>
        <v>68867915</v>
      </c>
      <c r="E188" s="158">
        <f>D188-C188</f>
        <v>-3291740</v>
      </c>
      <c r="F188" s="159">
        <f>IF(C188=0,0,E188/C188)</f>
        <v>-4.5617457566835648E-2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scale="74" fitToHeight="0" orientation="portrait" horizontalDpi="1200" verticalDpi="1200" r:id="rId1"/>
  <headerFooter>
    <oddHeader>&amp;LOFFICE OF HEALTH CARE ACCESS&amp;CTWELVE MONTHS ACTUAL FILING&amp;RROCKVILLE GENERAL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zoomScale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68910644</v>
      </c>
      <c r="D11" s="183">
        <v>68528682</v>
      </c>
      <c r="E11" s="76">
        <v>63002481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6078316</v>
      </c>
      <c r="D12" s="185">
        <v>6391666</v>
      </c>
      <c r="E12" s="185">
        <v>2225773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74988960</v>
      </c>
      <c r="D13" s="76">
        <f>+D11+D12</f>
        <v>74920348</v>
      </c>
      <c r="E13" s="76">
        <f>+E11+E12</f>
        <v>65228254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71670098</v>
      </c>
      <c r="D14" s="185">
        <v>72159655</v>
      </c>
      <c r="E14" s="185">
        <v>68867915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3318862</v>
      </c>
      <c r="D15" s="76">
        <f>+D13-D14</f>
        <v>2760693</v>
      </c>
      <c r="E15" s="76">
        <f>+E13-E14</f>
        <v>-3639661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-660236</v>
      </c>
      <c r="D16" s="185">
        <v>-378564</v>
      </c>
      <c r="E16" s="185">
        <v>-546692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2658626</v>
      </c>
      <c r="D17" s="76">
        <f>D15+D16</f>
        <v>2382129</v>
      </c>
      <c r="E17" s="76">
        <f>E15+E16</f>
        <v>-4186353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4.4651136483925109E-2</v>
      </c>
      <c r="D20" s="189">
        <f>IF(+D27=0,0,+D24/+D27)</f>
        <v>3.7035510177754805E-2</v>
      </c>
      <c r="E20" s="189">
        <f>IF(+E27=0,0,+E24/+E27)</f>
        <v>-5.6270456177295161E-2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-8.8826494586399726E-3</v>
      </c>
      <c r="D21" s="189">
        <f>IF(D27=0,0,+D26/D27)</f>
        <v>-5.0785476237059203E-3</v>
      </c>
      <c r="E21" s="189">
        <f>IF(E27=0,0,+E26/E27)</f>
        <v>-8.4520531523342001E-3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3.5768487025285137E-2</v>
      </c>
      <c r="D22" s="189">
        <f>IF(D27=0,0,+D28/D27)</f>
        <v>3.1956962554048882E-2</v>
      </c>
      <c r="E22" s="189">
        <f>IF(E27=0,0,+E28/E27)</f>
        <v>-6.4722509329629363E-2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3318862</v>
      </c>
      <c r="D24" s="76">
        <f>+D15</f>
        <v>2760693</v>
      </c>
      <c r="E24" s="76">
        <f>+E15</f>
        <v>-3639661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74988960</v>
      </c>
      <c r="D25" s="76">
        <f>+D13</f>
        <v>74920348</v>
      </c>
      <c r="E25" s="76">
        <f>+E13</f>
        <v>65228254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-660236</v>
      </c>
      <c r="D26" s="76">
        <f>+D16</f>
        <v>-378564</v>
      </c>
      <c r="E26" s="76">
        <f>+E16</f>
        <v>-546692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74328724</v>
      </c>
      <c r="D27" s="76">
        <f>+D25+D26</f>
        <v>74541784</v>
      </c>
      <c r="E27" s="76">
        <f>+E25+E26</f>
        <v>64681562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2658626</v>
      </c>
      <c r="D28" s="76">
        <f>+D17</f>
        <v>2382129</v>
      </c>
      <c r="E28" s="76">
        <f>+E17</f>
        <v>-4186353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26773989</v>
      </c>
      <c r="D31" s="76">
        <v>24211838</v>
      </c>
      <c r="E31" s="76">
        <v>14969087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31052463</v>
      </c>
      <c r="D32" s="76">
        <v>28334302</v>
      </c>
      <c r="E32" s="76">
        <v>18878910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9737452</v>
      </c>
      <c r="D33" s="76">
        <f>+D32-C32</f>
        <v>-2718161</v>
      </c>
      <c r="E33" s="76">
        <f>+E32-D32</f>
        <v>-9455392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1.4568000000000001</v>
      </c>
      <c r="D34" s="193">
        <f>IF(C32=0,0,+D33/C32)</f>
        <v>-8.753447351342146E-2</v>
      </c>
      <c r="E34" s="193">
        <f>IF(D32=0,0,+E33/D32)</f>
        <v>-0.33370830874887969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0.3133215685114204</v>
      </c>
      <c r="D38" s="195">
        <f>IF((D40+D41)=0,0,+D39/(D40+D41))</f>
        <v>0.30878136992588073</v>
      </c>
      <c r="E38" s="195">
        <f>IF((E40+E41)=0,0,+E39/(E40+E41))</f>
        <v>0.29978711075331749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71670098</v>
      </c>
      <c r="D39" s="76">
        <v>72159655</v>
      </c>
      <c r="E39" s="196">
        <v>68867915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222664628</v>
      </c>
      <c r="D40" s="76">
        <v>227300072</v>
      </c>
      <c r="E40" s="196">
        <v>227496962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6078316</v>
      </c>
      <c r="D41" s="76">
        <v>6391666</v>
      </c>
      <c r="E41" s="196">
        <v>2225773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1.4787409139183127</v>
      </c>
      <c r="D43" s="197">
        <f>IF(D38=0,0,IF((D46-D47)=0,0,((+D44-D45)/(D46-D47)/D38)))</f>
        <v>1.4800565940928627</v>
      </c>
      <c r="E43" s="197">
        <f>IF(E38=0,0,IF((E46-E47)=0,0,((+E44-E45)/(E46-E47)/E38)))</f>
        <v>1.5022495149560098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35414192</v>
      </c>
      <c r="D44" s="76">
        <v>37081867</v>
      </c>
      <c r="E44" s="196">
        <v>33861022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177307</v>
      </c>
      <c r="D45" s="76">
        <v>247104</v>
      </c>
      <c r="E45" s="196">
        <v>196689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81627015</v>
      </c>
      <c r="D46" s="76">
        <v>84821383</v>
      </c>
      <c r="E46" s="196">
        <v>78292359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5574229</v>
      </c>
      <c r="D47" s="76">
        <v>4222603</v>
      </c>
      <c r="E47" s="76">
        <v>3541707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0.82695748202529296</v>
      </c>
      <c r="D49" s="198">
        <f>IF(D38=0,0,IF(D51=0,0,(D50/D51)/D38))</f>
        <v>0.80757859787691044</v>
      </c>
      <c r="E49" s="198">
        <f>IF(E38=0,0,IF(E51=0,0,(E50/E51)/E38))</f>
        <v>0.76704817809502013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26977415</v>
      </c>
      <c r="D50" s="199">
        <v>24930464</v>
      </c>
      <c r="E50" s="199">
        <v>23688610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104118250</v>
      </c>
      <c r="D51" s="199">
        <v>99975704</v>
      </c>
      <c r="E51" s="199">
        <v>103015833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0.6539222924883562</v>
      </c>
      <c r="D53" s="198">
        <f>IF(D38=0,0,IF(D55=0,0,(D54/D55)/D38))</f>
        <v>0.58656213035281446</v>
      </c>
      <c r="E53" s="198">
        <f>IF(E38=0,0,IF(E55=0,0,(E54/E55)/E38))</f>
        <v>0.55392553605571315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7390717</v>
      </c>
      <c r="D54" s="199">
        <v>7446367</v>
      </c>
      <c r="E54" s="199">
        <v>7431042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36071993</v>
      </c>
      <c r="D55" s="199">
        <v>41113015</v>
      </c>
      <c r="E55" s="199">
        <v>44749210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1691617.1952833571</v>
      </c>
      <c r="D57" s="88">
        <f>+D60*D38</f>
        <v>1231983.9380458971</v>
      </c>
      <c r="E57" s="88">
        <f>+E60*E38</f>
        <v>1321458.586329516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1271767</v>
      </c>
      <c r="D58" s="199">
        <v>1188543</v>
      </c>
      <c r="E58" s="199">
        <v>797362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4127214</v>
      </c>
      <c r="D59" s="199">
        <v>2801283</v>
      </c>
      <c r="E59" s="199">
        <v>3610628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5398981</v>
      </c>
      <c r="D60" s="76">
        <v>3989826</v>
      </c>
      <c r="E60" s="201">
        <v>4407990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2.3602830782837175E-2</v>
      </c>
      <c r="D62" s="202">
        <f>IF(D63=0,0,+D57/D63)</f>
        <v>1.7073029770526164E-2</v>
      </c>
      <c r="E62" s="202">
        <f>IF(E63=0,0,+E57/E63)</f>
        <v>1.918830541522153E-2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71670098</v>
      </c>
      <c r="D63" s="199">
        <v>72159655</v>
      </c>
      <c r="E63" s="199">
        <v>68867915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1.3141824537748927</v>
      </c>
      <c r="D67" s="203">
        <f>IF(D69=0,0,D68/D69)</f>
        <v>1.588127546839212</v>
      </c>
      <c r="E67" s="203">
        <f>IF(E69=0,0,E68/E69)</f>
        <v>1.4656346243411695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13879554</v>
      </c>
      <c r="D68" s="204">
        <v>14737641</v>
      </c>
      <c r="E68" s="204">
        <v>12917979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10561360</v>
      </c>
      <c r="D69" s="204">
        <v>9279885</v>
      </c>
      <c r="E69" s="204">
        <v>8813915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5.6771231133213629</v>
      </c>
      <c r="D71" s="203">
        <f>IF((D77/365)=0,0,+D74/(D77/365))</f>
        <v>9.3938270355827722</v>
      </c>
      <c r="E71" s="203">
        <f>IF((E77/365)=0,0,+E74/(E77/365))</f>
        <v>11.83103924693938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1059290</v>
      </c>
      <c r="D72" s="183">
        <v>1772696</v>
      </c>
      <c r="E72" s="183">
        <v>2130527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0</v>
      </c>
      <c r="D73" s="206">
        <v>0</v>
      </c>
      <c r="E73" s="206">
        <v>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1059290</v>
      </c>
      <c r="D74" s="204">
        <f>+D72+D73</f>
        <v>1772696</v>
      </c>
      <c r="E74" s="204">
        <f>+E72+E73</f>
        <v>2130527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71670098</v>
      </c>
      <c r="D75" s="204">
        <f>+D14</f>
        <v>72159655</v>
      </c>
      <c r="E75" s="204">
        <f>+E14</f>
        <v>68867915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3565031</v>
      </c>
      <c r="D76" s="204">
        <v>3281014</v>
      </c>
      <c r="E76" s="204">
        <v>3138917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68105067</v>
      </c>
      <c r="D77" s="204">
        <f>+D75-D76</f>
        <v>68878641</v>
      </c>
      <c r="E77" s="204">
        <f>+E75-E76</f>
        <v>65728998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50.922855836320437</v>
      </c>
      <c r="D79" s="203">
        <f>IF((D84/365)=0,0,+D83/(D84/365))</f>
        <v>52.818838030476059</v>
      </c>
      <c r="E79" s="203">
        <f>IF((E84/365)=0,0,+E83/(E84/365))</f>
        <v>46.199770529671682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10269970</v>
      </c>
      <c r="D80" s="212">
        <v>10900702</v>
      </c>
      <c r="E80" s="212">
        <v>8279947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384274</v>
      </c>
      <c r="D81" s="212">
        <v>148435</v>
      </c>
      <c r="E81" s="212">
        <v>751256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1040198</v>
      </c>
      <c r="D82" s="212">
        <v>1132410</v>
      </c>
      <c r="E82" s="212">
        <v>1056682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9614046</v>
      </c>
      <c r="D83" s="212">
        <f>+D80+D81-D82</f>
        <v>9916727</v>
      </c>
      <c r="E83" s="212">
        <f>+E80+E81-E82</f>
        <v>7974521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68910644</v>
      </c>
      <c r="D84" s="204">
        <f>+D11</f>
        <v>68528682</v>
      </c>
      <c r="E84" s="204">
        <f>+E11</f>
        <v>63002481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56.602196720546509</v>
      </c>
      <c r="D86" s="203">
        <f>IF((D90/365)=0,0,+D87/(D90/365))</f>
        <v>49.175738310516316</v>
      </c>
      <c r="E86" s="203">
        <f>IF((E90/365)=0,0,+E87/(E90/365))</f>
        <v>48.94459177667671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10561360</v>
      </c>
      <c r="D87" s="76">
        <f>+D69</f>
        <v>9279885</v>
      </c>
      <c r="E87" s="76">
        <f>+E69</f>
        <v>8813915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71670098</v>
      </c>
      <c r="D88" s="76">
        <f t="shared" si="0"/>
        <v>72159655</v>
      </c>
      <c r="E88" s="76">
        <f t="shared" si="0"/>
        <v>68867915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3565031</v>
      </c>
      <c r="D89" s="201">
        <f t="shared" si="0"/>
        <v>3281014</v>
      </c>
      <c r="E89" s="201">
        <f t="shared" si="0"/>
        <v>3138917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68105067</v>
      </c>
      <c r="D90" s="76">
        <f>+D88-D89</f>
        <v>68878641</v>
      </c>
      <c r="E90" s="76">
        <f>+E88-E89</f>
        <v>65728998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40.568198983030044</v>
      </c>
      <c r="D94" s="214">
        <f>IF(D96=0,0,(D95/D96)*100)</f>
        <v>37.886695331651801</v>
      </c>
      <c r="E94" s="214">
        <f>IF(E96=0,0,(E95/E96)*100)</f>
        <v>28.516700792766247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31052463</v>
      </c>
      <c r="D95" s="76">
        <f>+D32</f>
        <v>28334302</v>
      </c>
      <c r="E95" s="76">
        <f>+E32</f>
        <v>18878910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76543854</v>
      </c>
      <c r="D96" s="76">
        <v>74786945</v>
      </c>
      <c r="E96" s="76">
        <v>66202995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18.261575334294154</v>
      </c>
      <c r="D98" s="214">
        <f>IF(D104=0,0,(D101/D104)*100)</f>
        <v>17.333219719900651</v>
      </c>
      <c r="E98" s="214">
        <f>IF(E104=0,0,(E101/E104)*100)</f>
        <v>-3.3482270078706202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2658626</v>
      </c>
      <c r="D99" s="76">
        <f>+D28</f>
        <v>2382129</v>
      </c>
      <c r="E99" s="76">
        <f>+E28</f>
        <v>-4186353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3565031</v>
      </c>
      <c r="D100" s="201">
        <f>+D76</f>
        <v>3281014</v>
      </c>
      <c r="E100" s="201">
        <f>+E76</f>
        <v>3138917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6223657</v>
      </c>
      <c r="D101" s="76">
        <f>+D99+D100</f>
        <v>5663143</v>
      </c>
      <c r="E101" s="76">
        <f>+E99+E100</f>
        <v>-1047436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10561360</v>
      </c>
      <c r="D102" s="204">
        <f>+D69</f>
        <v>9279885</v>
      </c>
      <c r="E102" s="204">
        <f>+E69</f>
        <v>8813915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23519254</v>
      </c>
      <c r="D103" s="216">
        <v>23392308</v>
      </c>
      <c r="E103" s="216">
        <v>22469388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34080614</v>
      </c>
      <c r="D104" s="204">
        <f>+D102+D103</f>
        <v>32672193</v>
      </c>
      <c r="E104" s="204">
        <f>+E102+E103</f>
        <v>31283303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43.097881637112501</v>
      </c>
      <c r="D106" s="214">
        <f>IF(D109=0,0,(D107/D109)*100)</f>
        <v>45.222967443642645</v>
      </c>
      <c r="E106" s="214">
        <f>IF(E109=0,0,(E107/E109)*100)</f>
        <v>54.341748238343449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23519254</v>
      </c>
      <c r="D107" s="204">
        <f>+D103</f>
        <v>23392308</v>
      </c>
      <c r="E107" s="204">
        <f>+E103</f>
        <v>22469388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31052463</v>
      </c>
      <c r="D108" s="204">
        <f>+D32</f>
        <v>28334302</v>
      </c>
      <c r="E108" s="204">
        <f>+E32</f>
        <v>18878910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54571717</v>
      </c>
      <c r="D109" s="204">
        <f>+D107+D108</f>
        <v>51726610</v>
      </c>
      <c r="E109" s="204">
        <f>+E107+E108</f>
        <v>41348298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3.5257543585928954</v>
      </c>
      <c r="D111" s="214">
        <f>IF((+D113+D115)=0,0,((+D112+D113+D114)/(+D113+D115)))</f>
        <v>4.0601932626493085</v>
      </c>
      <c r="E111" s="214">
        <f>IF((+E113+E115)=0,0,((+E112+E113+E114)/(+E113+E115)))</f>
        <v>-0.2110751374244422</v>
      </c>
    </row>
    <row r="112" spans="1:6" ht="24" customHeight="1" x14ac:dyDescent="0.2">
      <c r="A112" s="85">
        <v>16</v>
      </c>
      <c r="B112" s="75" t="s">
        <v>373</v>
      </c>
      <c r="C112" s="218">
        <f>+C17</f>
        <v>2658626</v>
      </c>
      <c r="D112" s="76">
        <f>+D17</f>
        <v>2382129</v>
      </c>
      <c r="E112" s="76">
        <f>+E17</f>
        <v>-4186353</v>
      </c>
    </row>
    <row r="113" spans="1:8" ht="24" customHeight="1" x14ac:dyDescent="0.2">
      <c r="A113" s="85">
        <v>17</v>
      </c>
      <c r="B113" s="75" t="s">
        <v>88</v>
      </c>
      <c r="C113" s="218">
        <v>682298</v>
      </c>
      <c r="D113" s="76">
        <v>689882</v>
      </c>
      <c r="E113" s="76">
        <v>697473</v>
      </c>
    </row>
    <row r="114" spans="1:8" ht="24" customHeight="1" x14ac:dyDescent="0.2">
      <c r="A114" s="85">
        <v>18</v>
      </c>
      <c r="B114" s="75" t="s">
        <v>374</v>
      </c>
      <c r="C114" s="218">
        <v>3565031</v>
      </c>
      <c r="D114" s="76">
        <v>3281014</v>
      </c>
      <c r="E114" s="76">
        <v>3138917</v>
      </c>
    </row>
    <row r="115" spans="1:8" ht="24" customHeight="1" x14ac:dyDescent="0.2">
      <c r="A115" s="85">
        <v>19</v>
      </c>
      <c r="B115" s="75" t="s">
        <v>104</v>
      </c>
      <c r="C115" s="218">
        <v>1276419</v>
      </c>
      <c r="D115" s="76">
        <v>874828</v>
      </c>
      <c r="E115" s="76">
        <v>960529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16.288979534820314</v>
      </c>
      <c r="D119" s="214">
        <f>IF(+D121=0,0,(+D120)/(+D121))</f>
        <v>18.701221939315101</v>
      </c>
      <c r="E119" s="214">
        <f>IF(+E121=0,0,(+E120)/(+E121))</f>
        <v>20.530429444295596</v>
      </c>
    </row>
    <row r="120" spans="1:8" ht="24" customHeight="1" x14ac:dyDescent="0.2">
      <c r="A120" s="85">
        <v>21</v>
      </c>
      <c r="B120" s="75" t="s">
        <v>378</v>
      </c>
      <c r="C120" s="218">
        <v>58070717</v>
      </c>
      <c r="D120" s="218">
        <v>61358971</v>
      </c>
      <c r="E120" s="218">
        <v>64443314</v>
      </c>
    </row>
    <row r="121" spans="1:8" ht="24" customHeight="1" x14ac:dyDescent="0.2">
      <c r="A121" s="85">
        <v>22</v>
      </c>
      <c r="B121" s="75" t="s">
        <v>374</v>
      </c>
      <c r="C121" s="218">
        <v>3565031</v>
      </c>
      <c r="D121" s="218">
        <v>3281014</v>
      </c>
      <c r="E121" s="218">
        <v>3138917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12325</v>
      </c>
      <c r="D124" s="218">
        <v>11155</v>
      </c>
      <c r="E124" s="218">
        <v>9873</v>
      </c>
    </row>
    <row r="125" spans="1:8" ht="24" customHeight="1" x14ac:dyDescent="0.2">
      <c r="A125" s="85">
        <v>2</v>
      </c>
      <c r="B125" s="75" t="s">
        <v>381</v>
      </c>
      <c r="C125" s="218">
        <v>2567</v>
      </c>
      <c r="D125" s="218">
        <v>2341</v>
      </c>
      <c r="E125" s="218">
        <v>2112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4.8013245033112586</v>
      </c>
      <c r="D126" s="219">
        <f>IF(D125=0,0,D124/D125)</f>
        <v>4.7650576676633918</v>
      </c>
      <c r="E126" s="219">
        <f>IF(E125=0,0,E124/E125)</f>
        <v>4.6747159090909092</v>
      </c>
    </row>
    <row r="127" spans="1:8" ht="24" customHeight="1" x14ac:dyDescent="0.2">
      <c r="A127" s="85">
        <v>4</v>
      </c>
      <c r="B127" s="75" t="s">
        <v>383</v>
      </c>
      <c r="C127" s="218">
        <v>47</v>
      </c>
      <c r="D127" s="218">
        <v>47</v>
      </c>
      <c r="E127" s="218">
        <v>47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118</v>
      </c>
      <c r="E128" s="218">
        <v>118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118</v>
      </c>
      <c r="D129" s="218">
        <v>118</v>
      </c>
      <c r="E129" s="218">
        <v>118</v>
      </c>
    </row>
    <row r="130" spans="1:7" ht="24" customHeight="1" x14ac:dyDescent="0.2">
      <c r="A130" s="85">
        <v>7</v>
      </c>
      <c r="B130" s="75" t="s">
        <v>386</v>
      </c>
      <c r="C130" s="193">
        <v>0.71840000000000004</v>
      </c>
      <c r="D130" s="193">
        <v>0.6502</v>
      </c>
      <c r="E130" s="193">
        <v>0.57550000000000001</v>
      </c>
    </row>
    <row r="131" spans="1:7" ht="24" customHeight="1" x14ac:dyDescent="0.2">
      <c r="A131" s="85">
        <v>8</v>
      </c>
      <c r="B131" s="75" t="s">
        <v>387</v>
      </c>
      <c r="C131" s="193">
        <v>0.28610000000000002</v>
      </c>
      <c r="D131" s="193">
        <v>0.25890000000000002</v>
      </c>
      <c r="E131" s="193">
        <v>0.22919999999999999</v>
      </c>
    </row>
    <row r="132" spans="1:7" ht="24" customHeight="1" x14ac:dyDescent="0.2">
      <c r="A132" s="85">
        <v>9</v>
      </c>
      <c r="B132" s="75" t="s">
        <v>388</v>
      </c>
      <c r="C132" s="219">
        <v>378.3</v>
      </c>
      <c r="D132" s="219">
        <v>422.7</v>
      </c>
      <c r="E132" s="219">
        <v>381.1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0.34155755533833598</v>
      </c>
      <c r="D135" s="227">
        <f>IF(D149=0,0,D143/D149)</f>
        <v>0.35459196862902886</v>
      </c>
      <c r="E135" s="227">
        <f>IF(E149=0,0,E143/E149)</f>
        <v>0.3285786822946673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0.46760121234882446</v>
      </c>
      <c r="D136" s="227">
        <f>IF(D149=0,0,D144/D149)</f>
        <v>0.43984017743733933</v>
      </c>
      <c r="E136" s="227">
        <f>IF(E149=0,0,E144/E149)</f>
        <v>0.45282289527892683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0.16200145179772335</v>
      </c>
      <c r="D137" s="227">
        <f>IF(D149=0,0,D145/D149)</f>
        <v>0.18087550363820387</v>
      </c>
      <c r="E137" s="227">
        <f>IF(E149=0,0,E145/E149)</f>
        <v>0.19670245091009173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0</v>
      </c>
      <c r="D138" s="227">
        <f>IF(D149=0,0,D146/D149)</f>
        <v>0</v>
      </c>
      <c r="E138" s="227">
        <f>IF(E149=0,0,E146/E149)</f>
        <v>0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2.5034191780115161E-2</v>
      </c>
      <c r="D139" s="227">
        <f>IF(D149=0,0,D147/D149)</f>
        <v>1.8577218048571494E-2</v>
      </c>
      <c r="E139" s="227">
        <f>IF(E149=0,0,E147/E149)</f>
        <v>1.5568150751832897E-2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3.8055887350010526E-3</v>
      </c>
      <c r="D140" s="227">
        <f>IF(D149=0,0,D148/D149)</f>
        <v>6.1151322468564811E-3</v>
      </c>
      <c r="E140" s="227">
        <f>IF(E149=0,0,E148/E149)</f>
        <v>6.3278207644812418E-3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1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76052786</v>
      </c>
      <c r="D143" s="229">
        <f>+D46-D147</f>
        <v>80598780</v>
      </c>
      <c r="E143" s="229">
        <f>+E46-E147</f>
        <v>74750652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104118250</v>
      </c>
      <c r="D144" s="229">
        <f>+D51</f>
        <v>99975704</v>
      </c>
      <c r="E144" s="229">
        <f>+E51</f>
        <v>103015833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36071993</v>
      </c>
      <c r="D145" s="229">
        <f>+D55</f>
        <v>41113015</v>
      </c>
      <c r="E145" s="229">
        <f>+E55</f>
        <v>44749210</v>
      </c>
    </row>
    <row r="146" spans="1:7" ht="20.100000000000001" customHeight="1" x14ac:dyDescent="0.2">
      <c r="A146" s="226">
        <v>11</v>
      </c>
      <c r="B146" s="224" t="s">
        <v>400</v>
      </c>
      <c r="C146" s="228">
        <v>0</v>
      </c>
      <c r="D146" s="229">
        <v>0</v>
      </c>
      <c r="E146" s="229">
        <v>0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5574229</v>
      </c>
      <c r="D147" s="229">
        <f>+D47</f>
        <v>4222603</v>
      </c>
      <c r="E147" s="229">
        <f>+E47</f>
        <v>3541707</v>
      </c>
    </row>
    <row r="148" spans="1:7" ht="20.100000000000001" customHeight="1" x14ac:dyDescent="0.2">
      <c r="A148" s="226">
        <v>13</v>
      </c>
      <c r="B148" s="224" t="s">
        <v>402</v>
      </c>
      <c r="C148" s="230">
        <v>847370</v>
      </c>
      <c r="D148" s="229">
        <v>1389970</v>
      </c>
      <c r="E148" s="229">
        <v>1439560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222664628</v>
      </c>
      <c r="D149" s="229">
        <f>SUM(D143:D148)</f>
        <v>227300072</v>
      </c>
      <c r="E149" s="229">
        <f>SUM(E143:E148)</f>
        <v>227496962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0.5031258887849851</v>
      </c>
      <c r="D152" s="227">
        <f>IF(D166=0,0,D160/D166)</f>
        <v>0.52807916108806141</v>
      </c>
      <c r="E152" s="227">
        <f>IF(E166=0,0,E160/E166)</f>
        <v>0.51627896719401978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0.38519397781604098</v>
      </c>
      <c r="D153" s="227">
        <f>IF(D166=0,0,D161/D166)</f>
        <v>0.35741396014021093</v>
      </c>
      <c r="E153" s="227">
        <f>IF(E166=0,0,E161/E166)</f>
        <v>0.36329046249221481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0.10552751922831143</v>
      </c>
      <c r="D154" s="227">
        <f>IF(D166=0,0,D162/D166)</f>
        <v>0.1067543515486668</v>
      </c>
      <c r="E154" s="227">
        <f>IF(E166=0,0,E162/E166)</f>
        <v>0.1139630685371186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0</v>
      </c>
      <c r="D155" s="227">
        <f>IF(D166=0,0,D163/D166)</f>
        <v>0</v>
      </c>
      <c r="E155" s="227">
        <f>IF(E166=0,0,E163/E166)</f>
        <v>0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2.5316580044688784E-3</v>
      </c>
      <c r="D156" s="227">
        <f>IF(D166=0,0,D164/D166)</f>
        <v>3.5425902705415622E-3</v>
      </c>
      <c r="E156" s="227">
        <f>IF(E166=0,0,E164/E166)</f>
        <v>3.0164386081383094E-3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3.6209561661936307E-3</v>
      </c>
      <c r="D157" s="227">
        <f>IF(D166=0,0,D165/D166)</f>
        <v>4.2099369525193499E-3</v>
      </c>
      <c r="E157" s="227">
        <f>IF(E166=0,0,E165/E166)</f>
        <v>3.4510631685084354E-3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1.0000000000000002</v>
      </c>
      <c r="E158" s="227">
        <f>SUM(E152:E157)</f>
        <v>0.99999999999999989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35236885</v>
      </c>
      <c r="D160" s="229">
        <f>+D44-D164</f>
        <v>36834763</v>
      </c>
      <c r="E160" s="229">
        <f>+E44-E164</f>
        <v>33664333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26977415</v>
      </c>
      <c r="D161" s="229">
        <f>+D50</f>
        <v>24930464</v>
      </c>
      <c r="E161" s="229">
        <f>+E50</f>
        <v>23688610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7390717</v>
      </c>
      <c r="D162" s="229">
        <f>+D54</f>
        <v>7446367</v>
      </c>
      <c r="E162" s="229">
        <f>+E54</f>
        <v>7431042</v>
      </c>
    </row>
    <row r="163" spans="1:6" ht="20.100000000000001" customHeight="1" x14ac:dyDescent="0.2">
      <c r="A163" s="226">
        <v>11</v>
      </c>
      <c r="B163" s="224" t="s">
        <v>415</v>
      </c>
      <c r="C163" s="228">
        <v>0</v>
      </c>
      <c r="D163" s="229">
        <v>0</v>
      </c>
      <c r="E163" s="229">
        <v>0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177307</v>
      </c>
      <c r="D164" s="229">
        <f>+D45</f>
        <v>247104</v>
      </c>
      <c r="E164" s="229">
        <f>+E45</f>
        <v>196689</v>
      </c>
    </row>
    <row r="165" spans="1:6" ht="20.100000000000001" customHeight="1" x14ac:dyDescent="0.2">
      <c r="A165" s="226">
        <v>13</v>
      </c>
      <c r="B165" s="224" t="s">
        <v>417</v>
      </c>
      <c r="C165" s="230">
        <v>253597</v>
      </c>
      <c r="D165" s="229">
        <v>293653</v>
      </c>
      <c r="E165" s="229">
        <v>225029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70035921</v>
      </c>
      <c r="D166" s="229">
        <f>SUM(D160:D165)</f>
        <v>69752351</v>
      </c>
      <c r="E166" s="229">
        <f>SUM(E160:E165)</f>
        <v>65205703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561</v>
      </c>
      <c r="D169" s="218">
        <v>489</v>
      </c>
      <c r="E169" s="218">
        <v>409</v>
      </c>
    </row>
    <row r="170" spans="1:6" ht="20.100000000000001" customHeight="1" x14ac:dyDescent="0.2">
      <c r="A170" s="226">
        <v>2</v>
      </c>
      <c r="B170" s="224" t="s">
        <v>420</v>
      </c>
      <c r="C170" s="218">
        <v>1707</v>
      </c>
      <c r="D170" s="218">
        <v>1524</v>
      </c>
      <c r="E170" s="218">
        <v>1428</v>
      </c>
    </row>
    <row r="171" spans="1:6" ht="20.100000000000001" customHeight="1" x14ac:dyDescent="0.2">
      <c r="A171" s="226">
        <v>3</v>
      </c>
      <c r="B171" s="224" t="s">
        <v>421</v>
      </c>
      <c r="C171" s="218">
        <v>292</v>
      </c>
      <c r="D171" s="218">
        <v>317</v>
      </c>
      <c r="E171" s="218">
        <v>266</v>
      </c>
    </row>
    <row r="172" spans="1:6" ht="20.100000000000001" customHeight="1" x14ac:dyDescent="0.2">
      <c r="A172" s="226">
        <v>4</v>
      </c>
      <c r="B172" s="224" t="s">
        <v>422</v>
      </c>
      <c r="C172" s="218">
        <v>292</v>
      </c>
      <c r="D172" s="218">
        <v>317</v>
      </c>
      <c r="E172" s="218">
        <v>266</v>
      </c>
    </row>
    <row r="173" spans="1:6" ht="20.100000000000001" customHeight="1" x14ac:dyDescent="0.2">
      <c r="A173" s="226">
        <v>5</v>
      </c>
      <c r="B173" s="224" t="s">
        <v>423</v>
      </c>
      <c r="C173" s="218">
        <v>0</v>
      </c>
      <c r="D173" s="218">
        <v>0</v>
      </c>
      <c r="E173" s="218">
        <v>0</v>
      </c>
    </row>
    <row r="174" spans="1:6" ht="20.100000000000001" customHeight="1" x14ac:dyDescent="0.2">
      <c r="A174" s="226">
        <v>6</v>
      </c>
      <c r="B174" s="224" t="s">
        <v>424</v>
      </c>
      <c r="C174" s="218">
        <v>7</v>
      </c>
      <c r="D174" s="218">
        <v>11</v>
      </c>
      <c r="E174" s="218">
        <v>9</v>
      </c>
    </row>
    <row r="175" spans="1:6" ht="20.100000000000001" customHeight="1" x14ac:dyDescent="0.2">
      <c r="A175" s="226">
        <v>7</v>
      </c>
      <c r="B175" s="224" t="s">
        <v>425</v>
      </c>
      <c r="C175" s="218">
        <v>48</v>
      </c>
      <c r="D175" s="218">
        <v>26</v>
      </c>
      <c r="E175" s="218">
        <v>16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2567</v>
      </c>
      <c r="D176" s="218">
        <f>+D169+D170+D171+D174</f>
        <v>2341</v>
      </c>
      <c r="E176" s="218">
        <f>+E169+E170+E171+E174</f>
        <v>2112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1.67222</v>
      </c>
      <c r="D179" s="231">
        <v>1.61446</v>
      </c>
      <c r="E179" s="231">
        <v>1.77478</v>
      </c>
    </row>
    <row r="180" spans="1:6" ht="20.100000000000001" customHeight="1" x14ac:dyDescent="0.2">
      <c r="A180" s="226">
        <v>2</v>
      </c>
      <c r="B180" s="224" t="s">
        <v>420</v>
      </c>
      <c r="C180" s="231">
        <v>1.5663100000000001</v>
      </c>
      <c r="D180" s="231">
        <v>1.5733299999999999</v>
      </c>
      <c r="E180" s="231">
        <v>1.7138199999999999</v>
      </c>
    </row>
    <row r="181" spans="1:6" ht="20.100000000000001" customHeight="1" x14ac:dyDescent="0.2">
      <c r="A181" s="226">
        <v>3</v>
      </c>
      <c r="B181" s="224" t="s">
        <v>421</v>
      </c>
      <c r="C181" s="231">
        <v>1.42516</v>
      </c>
      <c r="D181" s="231">
        <v>1.3605</v>
      </c>
      <c r="E181" s="231">
        <v>1.5228200000000001</v>
      </c>
    </row>
    <row r="182" spans="1:6" ht="20.100000000000001" customHeight="1" x14ac:dyDescent="0.2">
      <c r="A182" s="226">
        <v>4</v>
      </c>
      <c r="B182" s="224" t="s">
        <v>422</v>
      </c>
      <c r="C182" s="231">
        <v>1.42516</v>
      </c>
      <c r="D182" s="231">
        <v>1.3605</v>
      </c>
      <c r="E182" s="231">
        <v>1.5228200000000001</v>
      </c>
    </row>
    <row r="183" spans="1:6" ht="20.100000000000001" customHeight="1" x14ac:dyDescent="0.2">
      <c r="A183" s="226">
        <v>5</v>
      </c>
      <c r="B183" s="224" t="s">
        <v>423</v>
      </c>
      <c r="C183" s="231">
        <v>0</v>
      </c>
      <c r="D183" s="231">
        <v>0</v>
      </c>
      <c r="E183" s="231">
        <v>0</v>
      </c>
    </row>
    <row r="184" spans="1:6" ht="20.100000000000001" customHeight="1" x14ac:dyDescent="0.2">
      <c r="A184" s="226">
        <v>6</v>
      </c>
      <c r="B184" s="224" t="s">
        <v>424</v>
      </c>
      <c r="C184" s="231">
        <v>1.70347</v>
      </c>
      <c r="D184" s="231">
        <v>1.3385899999999999</v>
      </c>
      <c r="E184" s="231">
        <v>1.0293000000000001</v>
      </c>
    </row>
    <row r="185" spans="1:6" ht="20.100000000000001" customHeight="1" x14ac:dyDescent="0.2">
      <c r="A185" s="226">
        <v>7</v>
      </c>
      <c r="B185" s="224" t="s">
        <v>425</v>
      </c>
      <c r="C185" s="231">
        <v>1.1844399999999999</v>
      </c>
      <c r="D185" s="231">
        <v>1.0972500000000001</v>
      </c>
      <c r="E185" s="231">
        <v>1.05498</v>
      </c>
    </row>
    <row r="186" spans="1:6" ht="20.100000000000001" customHeight="1" x14ac:dyDescent="0.2">
      <c r="A186" s="226">
        <v>8</v>
      </c>
      <c r="B186" s="224" t="s">
        <v>429</v>
      </c>
      <c r="C186" s="231">
        <v>1.5737730000000001</v>
      </c>
      <c r="D186" s="231">
        <v>1.551998</v>
      </c>
      <c r="E186" s="231">
        <v>1.6986520000000001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2465</v>
      </c>
      <c r="D189" s="218">
        <v>2089</v>
      </c>
      <c r="E189" s="218">
        <v>1893</v>
      </c>
    </row>
    <row r="190" spans="1:6" ht="20.100000000000001" customHeight="1" x14ac:dyDescent="0.2">
      <c r="A190" s="226">
        <v>2</v>
      </c>
      <c r="B190" s="224" t="s">
        <v>433</v>
      </c>
      <c r="C190" s="218">
        <v>22671</v>
      </c>
      <c r="D190" s="218">
        <v>19262</v>
      </c>
      <c r="E190" s="218">
        <v>18996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25136</v>
      </c>
      <c r="D191" s="218">
        <f>+D190+D189</f>
        <v>21351</v>
      </c>
      <c r="E191" s="218">
        <f>+E190+E189</f>
        <v>20889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scale="75" fitToHeight="0" orientation="portrait" horizontalDpi="1200" verticalDpi="1200" r:id="rId1"/>
  <headerFooter>
    <oddHeader>&amp;LOFFICE OF HEALTH CARE ACCESS&amp;CTWELVE MONTHS ACTUAL FILING&amp;RROCKVILLE GENERAL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802" t="s">
        <v>0</v>
      </c>
      <c r="B2" s="802"/>
      <c r="C2" s="802"/>
      <c r="D2" s="802"/>
      <c r="E2" s="802"/>
      <c r="F2" s="802"/>
    </row>
    <row r="3" spans="1:7" ht="20.25" customHeight="1" x14ac:dyDescent="0.3">
      <c r="A3" s="802" t="s">
        <v>1</v>
      </c>
      <c r="B3" s="802"/>
      <c r="C3" s="802"/>
      <c r="D3" s="802"/>
      <c r="E3" s="802"/>
      <c r="F3" s="802"/>
    </row>
    <row r="4" spans="1:7" ht="20.25" customHeight="1" x14ac:dyDescent="0.3">
      <c r="A4" s="802" t="s">
        <v>2</v>
      </c>
      <c r="B4" s="802"/>
      <c r="C4" s="802"/>
      <c r="D4" s="802"/>
      <c r="E4" s="802"/>
      <c r="F4" s="802"/>
    </row>
    <row r="5" spans="1:7" ht="20.25" customHeight="1" x14ac:dyDescent="0.3">
      <c r="A5" s="802" t="s">
        <v>435</v>
      </c>
      <c r="B5" s="802"/>
      <c r="C5" s="802"/>
      <c r="D5" s="802"/>
      <c r="E5" s="802"/>
      <c r="F5" s="802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803"/>
      <c r="D9" s="804"/>
      <c r="E9" s="804"/>
      <c r="F9" s="805"/>
      <c r="G9" s="245"/>
    </row>
    <row r="10" spans="1:7" ht="20.25" customHeight="1" x14ac:dyDescent="0.3">
      <c r="A10" s="806" t="s">
        <v>12</v>
      </c>
      <c r="B10" s="786" t="s">
        <v>114</v>
      </c>
      <c r="C10" s="788"/>
      <c r="D10" s="789"/>
      <c r="E10" s="789"/>
      <c r="F10" s="790"/>
    </row>
    <row r="11" spans="1:7" ht="20.25" customHeight="1" x14ac:dyDescent="0.3">
      <c r="A11" s="795"/>
      <c r="B11" s="787"/>
      <c r="C11" s="791"/>
      <c r="D11" s="792"/>
      <c r="E11" s="792"/>
      <c r="F11" s="793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112649</v>
      </c>
      <c r="D14" s="258">
        <v>124911</v>
      </c>
      <c r="E14" s="258">
        <f t="shared" ref="E14:E24" si="0">D14-C14</f>
        <v>12262</v>
      </c>
      <c r="F14" s="259">
        <f t="shared" ref="F14:F24" si="1">IF(C14=0,0,E14/C14)</f>
        <v>0.10885138793952898</v>
      </c>
    </row>
    <row r="15" spans="1:7" ht="20.25" customHeight="1" x14ac:dyDescent="0.3">
      <c r="A15" s="256">
        <v>2</v>
      </c>
      <c r="B15" s="257" t="s">
        <v>442</v>
      </c>
      <c r="C15" s="258">
        <v>27268</v>
      </c>
      <c r="D15" s="258">
        <v>23928</v>
      </c>
      <c r="E15" s="258">
        <f t="shared" si="0"/>
        <v>-3340</v>
      </c>
      <c r="F15" s="259">
        <f t="shared" si="1"/>
        <v>-0.12248789790230306</v>
      </c>
    </row>
    <row r="16" spans="1:7" ht="20.25" customHeight="1" x14ac:dyDescent="0.3">
      <c r="A16" s="256">
        <v>3</v>
      </c>
      <c r="B16" s="257" t="s">
        <v>443</v>
      </c>
      <c r="C16" s="258">
        <v>229904</v>
      </c>
      <c r="D16" s="258">
        <v>240947</v>
      </c>
      <c r="E16" s="258">
        <f t="shared" si="0"/>
        <v>11043</v>
      </c>
      <c r="F16" s="259">
        <f t="shared" si="1"/>
        <v>4.8033092073213164E-2</v>
      </c>
    </row>
    <row r="17" spans="1:6" ht="20.25" customHeight="1" x14ac:dyDescent="0.3">
      <c r="A17" s="256">
        <v>4</v>
      </c>
      <c r="B17" s="257" t="s">
        <v>444</v>
      </c>
      <c r="C17" s="258">
        <v>57511</v>
      </c>
      <c r="D17" s="258">
        <v>31322</v>
      </c>
      <c r="E17" s="258">
        <f t="shared" si="0"/>
        <v>-26189</v>
      </c>
      <c r="F17" s="259">
        <f t="shared" si="1"/>
        <v>-0.4553737545860792</v>
      </c>
    </row>
    <row r="18" spans="1:6" ht="20.25" customHeight="1" x14ac:dyDescent="0.3">
      <c r="A18" s="256">
        <v>5</v>
      </c>
      <c r="B18" s="257" t="s">
        <v>381</v>
      </c>
      <c r="C18" s="260">
        <v>3</v>
      </c>
      <c r="D18" s="260">
        <v>3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19</v>
      </c>
      <c r="D19" s="260">
        <v>9</v>
      </c>
      <c r="E19" s="260">
        <f t="shared" si="0"/>
        <v>-10</v>
      </c>
      <c r="F19" s="259">
        <f t="shared" si="1"/>
        <v>-0.52631578947368418</v>
      </c>
    </row>
    <row r="20" spans="1:6" ht="20.25" customHeight="1" x14ac:dyDescent="0.3">
      <c r="A20" s="256">
        <v>7</v>
      </c>
      <c r="B20" s="257" t="s">
        <v>445</v>
      </c>
      <c r="C20" s="260">
        <v>191</v>
      </c>
      <c r="D20" s="260">
        <v>172</v>
      </c>
      <c r="E20" s="260">
        <f t="shared" si="0"/>
        <v>-19</v>
      </c>
      <c r="F20" s="259">
        <f t="shared" si="1"/>
        <v>-9.947643979057591E-2</v>
      </c>
    </row>
    <row r="21" spans="1:6" ht="20.25" customHeight="1" x14ac:dyDescent="0.3">
      <c r="A21" s="256">
        <v>8</v>
      </c>
      <c r="B21" s="257" t="s">
        <v>446</v>
      </c>
      <c r="C21" s="260">
        <v>19</v>
      </c>
      <c r="D21" s="260">
        <v>28</v>
      </c>
      <c r="E21" s="260">
        <f t="shared" si="0"/>
        <v>9</v>
      </c>
      <c r="F21" s="259">
        <f t="shared" si="1"/>
        <v>0.47368421052631576</v>
      </c>
    </row>
    <row r="22" spans="1:6" ht="20.25" customHeight="1" x14ac:dyDescent="0.3">
      <c r="A22" s="256">
        <v>9</v>
      </c>
      <c r="B22" s="257" t="s">
        <v>447</v>
      </c>
      <c r="C22" s="260">
        <v>3</v>
      </c>
      <c r="D22" s="260">
        <v>2</v>
      </c>
      <c r="E22" s="260">
        <f t="shared" si="0"/>
        <v>-1</v>
      </c>
      <c r="F22" s="259">
        <f t="shared" si="1"/>
        <v>-0.33333333333333331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342553</v>
      </c>
      <c r="D23" s="263">
        <f>+D14+D16</f>
        <v>365858</v>
      </c>
      <c r="E23" s="263">
        <f t="shared" si="0"/>
        <v>23305</v>
      </c>
      <c r="F23" s="264">
        <f t="shared" si="1"/>
        <v>6.8033267844683887E-2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84779</v>
      </c>
      <c r="D24" s="263">
        <f>+D15+D17</f>
        <v>55250</v>
      </c>
      <c r="E24" s="263">
        <f t="shared" si="0"/>
        <v>-29529</v>
      </c>
      <c r="F24" s="264">
        <f t="shared" si="1"/>
        <v>-0.34830559454581911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7555638</v>
      </c>
      <c r="D40" s="258">
        <v>7307611</v>
      </c>
      <c r="E40" s="258">
        <f t="shared" ref="E40:E50" si="4">D40-C40</f>
        <v>-248027</v>
      </c>
      <c r="F40" s="259">
        <f t="shared" ref="F40:F50" si="5">IF(C40=0,0,E40/C40)</f>
        <v>-3.2826744743461769E-2</v>
      </c>
    </row>
    <row r="41" spans="1:6" ht="20.25" customHeight="1" x14ac:dyDescent="0.3">
      <c r="A41" s="256">
        <v>2</v>
      </c>
      <c r="B41" s="257" t="s">
        <v>442</v>
      </c>
      <c r="C41" s="258">
        <v>2133894</v>
      </c>
      <c r="D41" s="258">
        <v>2052423</v>
      </c>
      <c r="E41" s="258">
        <f t="shared" si="4"/>
        <v>-81471</v>
      </c>
      <c r="F41" s="259">
        <f t="shared" si="5"/>
        <v>-3.8179497200891893E-2</v>
      </c>
    </row>
    <row r="42" spans="1:6" ht="20.25" customHeight="1" x14ac:dyDescent="0.3">
      <c r="A42" s="256">
        <v>3</v>
      </c>
      <c r="B42" s="257" t="s">
        <v>443</v>
      </c>
      <c r="C42" s="258">
        <v>7006405</v>
      </c>
      <c r="D42" s="258">
        <v>7414437</v>
      </c>
      <c r="E42" s="258">
        <f t="shared" si="4"/>
        <v>408032</v>
      </c>
      <c r="F42" s="259">
        <f t="shared" si="5"/>
        <v>5.8236998860328515E-2</v>
      </c>
    </row>
    <row r="43" spans="1:6" ht="20.25" customHeight="1" x14ac:dyDescent="0.3">
      <c r="A43" s="256">
        <v>4</v>
      </c>
      <c r="B43" s="257" t="s">
        <v>444</v>
      </c>
      <c r="C43" s="258">
        <v>1397369</v>
      </c>
      <c r="D43" s="258">
        <v>1426504</v>
      </c>
      <c r="E43" s="258">
        <f t="shared" si="4"/>
        <v>29135</v>
      </c>
      <c r="F43" s="259">
        <f t="shared" si="5"/>
        <v>2.0849897199665943E-2</v>
      </c>
    </row>
    <row r="44" spans="1:6" ht="20.25" customHeight="1" x14ac:dyDescent="0.3">
      <c r="A44" s="256">
        <v>5</v>
      </c>
      <c r="B44" s="257" t="s">
        <v>381</v>
      </c>
      <c r="C44" s="260">
        <v>207</v>
      </c>
      <c r="D44" s="260">
        <v>207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6</v>
      </c>
      <c r="B45" s="257" t="s">
        <v>380</v>
      </c>
      <c r="C45" s="260">
        <v>1201</v>
      </c>
      <c r="D45" s="260">
        <v>934</v>
      </c>
      <c r="E45" s="260">
        <f t="shared" si="4"/>
        <v>-267</v>
      </c>
      <c r="F45" s="259">
        <f t="shared" si="5"/>
        <v>-0.22231473771856786</v>
      </c>
    </row>
    <row r="46" spans="1:6" ht="20.25" customHeight="1" x14ac:dyDescent="0.3">
      <c r="A46" s="256">
        <v>7</v>
      </c>
      <c r="B46" s="257" t="s">
        <v>445</v>
      </c>
      <c r="C46" s="260">
        <v>4761</v>
      </c>
      <c r="D46" s="260">
        <v>5145</v>
      </c>
      <c r="E46" s="260">
        <f t="shared" si="4"/>
        <v>384</v>
      </c>
      <c r="F46" s="259">
        <f t="shared" si="5"/>
        <v>8.0655324511657217E-2</v>
      </c>
    </row>
    <row r="47" spans="1:6" ht="20.25" customHeight="1" x14ac:dyDescent="0.3">
      <c r="A47" s="256">
        <v>8</v>
      </c>
      <c r="B47" s="257" t="s">
        <v>446</v>
      </c>
      <c r="C47" s="260">
        <v>394</v>
      </c>
      <c r="D47" s="260">
        <v>419</v>
      </c>
      <c r="E47" s="260">
        <f t="shared" si="4"/>
        <v>25</v>
      </c>
      <c r="F47" s="259">
        <f t="shared" si="5"/>
        <v>6.3451776649746189E-2</v>
      </c>
    </row>
    <row r="48" spans="1:6" ht="20.25" customHeight="1" x14ac:dyDescent="0.3">
      <c r="A48" s="256">
        <v>9</v>
      </c>
      <c r="B48" s="257" t="s">
        <v>447</v>
      </c>
      <c r="C48" s="260">
        <v>200</v>
      </c>
      <c r="D48" s="260">
        <v>183</v>
      </c>
      <c r="E48" s="260">
        <f t="shared" si="4"/>
        <v>-17</v>
      </c>
      <c r="F48" s="259">
        <f t="shared" si="5"/>
        <v>-8.5000000000000006E-2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14562043</v>
      </c>
      <c r="D49" s="263">
        <f>+D40+D42</f>
        <v>14722048</v>
      </c>
      <c r="E49" s="263">
        <f t="shared" si="4"/>
        <v>160005</v>
      </c>
      <c r="F49" s="264">
        <f t="shared" si="5"/>
        <v>1.0987812630411818E-2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3531263</v>
      </c>
      <c r="D50" s="263">
        <f>+D41+D43</f>
        <v>3478927</v>
      </c>
      <c r="E50" s="263">
        <f t="shared" si="4"/>
        <v>-52336</v>
      </c>
      <c r="F50" s="264">
        <f t="shared" si="5"/>
        <v>-1.4820759597911569E-2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198752</v>
      </c>
      <c r="D66" s="258">
        <v>36595</v>
      </c>
      <c r="E66" s="258">
        <f t="shared" ref="E66:E76" si="8">D66-C66</f>
        <v>-162157</v>
      </c>
      <c r="F66" s="259">
        <f t="shared" ref="F66:F76" si="9">IF(C66=0,0,E66/C66)</f>
        <v>-0.81587606665593304</v>
      </c>
    </row>
    <row r="67" spans="1:6" ht="20.25" customHeight="1" x14ac:dyDescent="0.3">
      <c r="A67" s="256">
        <v>2</v>
      </c>
      <c r="B67" s="257" t="s">
        <v>442</v>
      </c>
      <c r="C67" s="258">
        <v>86720</v>
      </c>
      <c r="D67" s="258">
        <v>11649</v>
      </c>
      <c r="E67" s="258">
        <f t="shared" si="8"/>
        <v>-75071</v>
      </c>
      <c r="F67" s="259">
        <f t="shared" si="9"/>
        <v>-0.86567112546125458</v>
      </c>
    </row>
    <row r="68" spans="1:6" ht="20.25" customHeight="1" x14ac:dyDescent="0.3">
      <c r="A68" s="256">
        <v>3</v>
      </c>
      <c r="B68" s="257" t="s">
        <v>443</v>
      </c>
      <c r="C68" s="258">
        <v>39281</v>
      </c>
      <c r="D68" s="258">
        <v>123944</v>
      </c>
      <c r="E68" s="258">
        <f t="shared" si="8"/>
        <v>84663</v>
      </c>
      <c r="F68" s="259">
        <f t="shared" si="9"/>
        <v>2.1553168198365622</v>
      </c>
    </row>
    <row r="69" spans="1:6" ht="20.25" customHeight="1" x14ac:dyDescent="0.3">
      <c r="A69" s="256">
        <v>4</v>
      </c>
      <c r="B69" s="257" t="s">
        <v>444</v>
      </c>
      <c r="C69" s="258">
        <v>5679</v>
      </c>
      <c r="D69" s="258">
        <v>15427</v>
      </c>
      <c r="E69" s="258">
        <f t="shared" si="8"/>
        <v>9748</v>
      </c>
      <c r="F69" s="259">
        <f t="shared" si="9"/>
        <v>1.7164993836943123</v>
      </c>
    </row>
    <row r="70" spans="1:6" ht="20.25" customHeight="1" x14ac:dyDescent="0.3">
      <c r="A70" s="256">
        <v>5</v>
      </c>
      <c r="B70" s="257" t="s">
        <v>381</v>
      </c>
      <c r="C70" s="260">
        <v>5</v>
      </c>
      <c r="D70" s="260">
        <v>2</v>
      </c>
      <c r="E70" s="260">
        <f t="shared" si="8"/>
        <v>-3</v>
      </c>
      <c r="F70" s="259">
        <f t="shared" si="9"/>
        <v>-0.6</v>
      </c>
    </row>
    <row r="71" spans="1:6" ht="20.25" customHeight="1" x14ac:dyDescent="0.3">
      <c r="A71" s="256">
        <v>6</v>
      </c>
      <c r="B71" s="257" t="s">
        <v>380</v>
      </c>
      <c r="C71" s="260">
        <v>23</v>
      </c>
      <c r="D71" s="260">
        <v>6</v>
      </c>
      <c r="E71" s="260">
        <f t="shared" si="8"/>
        <v>-17</v>
      </c>
      <c r="F71" s="259">
        <f t="shared" si="9"/>
        <v>-0.73913043478260865</v>
      </c>
    </row>
    <row r="72" spans="1:6" ht="20.25" customHeight="1" x14ac:dyDescent="0.3">
      <c r="A72" s="256">
        <v>7</v>
      </c>
      <c r="B72" s="257" t="s">
        <v>445</v>
      </c>
      <c r="C72" s="260">
        <v>49</v>
      </c>
      <c r="D72" s="260">
        <v>31</v>
      </c>
      <c r="E72" s="260">
        <f t="shared" si="8"/>
        <v>-18</v>
      </c>
      <c r="F72" s="259">
        <f t="shared" si="9"/>
        <v>-0.36734693877551022</v>
      </c>
    </row>
    <row r="73" spans="1:6" ht="20.25" customHeight="1" x14ac:dyDescent="0.3">
      <c r="A73" s="256">
        <v>8</v>
      </c>
      <c r="B73" s="257" t="s">
        <v>446</v>
      </c>
      <c r="C73" s="260">
        <v>15</v>
      </c>
      <c r="D73" s="260">
        <v>19</v>
      </c>
      <c r="E73" s="260">
        <f t="shared" si="8"/>
        <v>4</v>
      </c>
      <c r="F73" s="259">
        <f t="shared" si="9"/>
        <v>0.26666666666666666</v>
      </c>
    </row>
    <row r="74" spans="1:6" ht="20.25" customHeight="1" x14ac:dyDescent="0.3">
      <c r="A74" s="256">
        <v>9</v>
      </c>
      <c r="B74" s="257" t="s">
        <v>447</v>
      </c>
      <c r="C74" s="260">
        <v>4</v>
      </c>
      <c r="D74" s="260">
        <v>2</v>
      </c>
      <c r="E74" s="260">
        <f t="shared" si="8"/>
        <v>-2</v>
      </c>
      <c r="F74" s="259">
        <f t="shared" si="9"/>
        <v>-0.5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238033</v>
      </c>
      <c r="D75" s="263">
        <f>+D66+D68</f>
        <v>160539</v>
      </c>
      <c r="E75" s="263">
        <f t="shared" si="8"/>
        <v>-77494</v>
      </c>
      <c r="F75" s="264">
        <f t="shared" si="9"/>
        <v>-0.32555990135821505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92399</v>
      </c>
      <c r="D76" s="263">
        <f>+D67+D69</f>
        <v>27076</v>
      </c>
      <c r="E76" s="263">
        <f t="shared" si="8"/>
        <v>-65323</v>
      </c>
      <c r="F76" s="264">
        <f t="shared" si="9"/>
        <v>-0.706966525611749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5010031</v>
      </c>
      <c r="D92" s="258">
        <v>3959469</v>
      </c>
      <c r="E92" s="258">
        <f t="shared" ref="E92:E102" si="12">D92-C92</f>
        <v>-1050562</v>
      </c>
      <c r="F92" s="259">
        <f t="shared" ref="F92:F102" si="13">IF(C92=0,0,E92/C92)</f>
        <v>-0.20969171647840104</v>
      </c>
    </row>
    <row r="93" spans="1:6" ht="20.25" customHeight="1" x14ac:dyDescent="0.3">
      <c r="A93" s="256">
        <v>2</v>
      </c>
      <c r="B93" s="257" t="s">
        <v>442</v>
      </c>
      <c r="C93" s="258">
        <v>1472897</v>
      </c>
      <c r="D93" s="258">
        <v>1014478</v>
      </c>
      <c r="E93" s="258">
        <f t="shared" si="12"/>
        <v>-458419</v>
      </c>
      <c r="F93" s="259">
        <f t="shared" si="13"/>
        <v>-0.31123629147184084</v>
      </c>
    </row>
    <row r="94" spans="1:6" ht="20.25" customHeight="1" x14ac:dyDescent="0.3">
      <c r="A94" s="256">
        <v>3</v>
      </c>
      <c r="B94" s="257" t="s">
        <v>443</v>
      </c>
      <c r="C94" s="258">
        <v>3369925</v>
      </c>
      <c r="D94" s="258">
        <v>3363847</v>
      </c>
      <c r="E94" s="258">
        <f t="shared" si="12"/>
        <v>-6078</v>
      </c>
      <c r="F94" s="259">
        <f t="shared" si="13"/>
        <v>-1.8036009703480047E-3</v>
      </c>
    </row>
    <row r="95" spans="1:6" ht="20.25" customHeight="1" x14ac:dyDescent="0.3">
      <c r="A95" s="256">
        <v>4</v>
      </c>
      <c r="B95" s="257" t="s">
        <v>444</v>
      </c>
      <c r="C95" s="258">
        <v>663507</v>
      </c>
      <c r="D95" s="258">
        <v>587950</v>
      </c>
      <c r="E95" s="258">
        <f t="shared" si="12"/>
        <v>-75557</v>
      </c>
      <c r="F95" s="259">
        <f t="shared" si="13"/>
        <v>-0.11387521156521332</v>
      </c>
    </row>
    <row r="96" spans="1:6" ht="20.25" customHeight="1" x14ac:dyDescent="0.3">
      <c r="A96" s="256">
        <v>5</v>
      </c>
      <c r="B96" s="257" t="s">
        <v>381</v>
      </c>
      <c r="C96" s="260">
        <v>127</v>
      </c>
      <c r="D96" s="260">
        <v>107</v>
      </c>
      <c r="E96" s="260">
        <f t="shared" si="12"/>
        <v>-20</v>
      </c>
      <c r="F96" s="259">
        <f t="shared" si="13"/>
        <v>-0.15748031496062992</v>
      </c>
    </row>
    <row r="97" spans="1:6" ht="20.25" customHeight="1" x14ac:dyDescent="0.3">
      <c r="A97" s="256">
        <v>6</v>
      </c>
      <c r="B97" s="257" t="s">
        <v>380</v>
      </c>
      <c r="C97" s="260">
        <v>723</v>
      </c>
      <c r="D97" s="260">
        <v>487</v>
      </c>
      <c r="E97" s="260">
        <f t="shared" si="12"/>
        <v>-236</v>
      </c>
      <c r="F97" s="259">
        <f t="shared" si="13"/>
        <v>-0.32641770401106501</v>
      </c>
    </row>
    <row r="98" spans="1:6" ht="20.25" customHeight="1" x14ac:dyDescent="0.3">
      <c r="A98" s="256">
        <v>7</v>
      </c>
      <c r="B98" s="257" t="s">
        <v>445</v>
      </c>
      <c r="C98" s="260">
        <v>1891</v>
      </c>
      <c r="D98" s="260">
        <v>1935</v>
      </c>
      <c r="E98" s="260">
        <f t="shared" si="12"/>
        <v>44</v>
      </c>
      <c r="F98" s="259">
        <f t="shared" si="13"/>
        <v>2.3268112109994712E-2</v>
      </c>
    </row>
    <row r="99" spans="1:6" ht="20.25" customHeight="1" x14ac:dyDescent="0.3">
      <c r="A99" s="256">
        <v>8</v>
      </c>
      <c r="B99" s="257" t="s">
        <v>446</v>
      </c>
      <c r="C99" s="260">
        <v>235</v>
      </c>
      <c r="D99" s="260">
        <v>237</v>
      </c>
      <c r="E99" s="260">
        <f t="shared" si="12"/>
        <v>2</v>
      </c>
      <c r="F99" s="259">
        <f t="shared" si="13"/>
        <v>8.5106382978723406E-3</v>
      </c>
    </row>
    <row r="100" spans="1:6" ht="20.25" customHeight="1" x14ac:dyDescent="0.3">
      <c r="A100" s="256">
        <v>9</v>
      </c>
      <c r="B100" s="257" t="s">
        <v>447</v>
      </c>
      <c r="C100" s="260">
        <v>118</v>
      </c>
      <c r="D100" s="260">
        <v>93</v>
      </c>
      <c r="E100" s="260">
        <f t="shared" si="12"/>
        <v>-25</v>
      </c>
      <c r="F100" s="259">
        <f t="shared" si="13"/>
        <v>-0.21186440677966101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8379956</v>
      </c>
      <c r="D101" s="263">
        <f>+D92+D94</f>
        <v>7323316</v>
      </c>
      <c r="E101" s="263">
        <f t="shared" si="12"/>
        <v>-1056640</v>
      </c>
      <c r="F101" s="264">
        <f t="shared" si="13"/>
        <v>-0.12609135417894796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2136404</v>
      </c>
      <c r="D102" s="263">
        <f>+D93+D95</f>
        <v>1602428</v>
      </c>
      <c r="E102" s="263">
        <f t="shared" si="12"/>
        <v>-533976</v>
      </c>
      <c r="F102" s="264">
        <f t="shared" si="13"/>
        <v>-0.24994149046715883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673775</v>
      </c>
      <c r="D105" s="258">
        <v>1791567</v>
      </c>
      <c r="E105" s="258">
        <f t="shared" ref="E105:E115" si="14">D105-C105</f>
        <v>1117792</v>
      </c>
      <c r="F105" s="259">
        <f t="shared" ref="F105:F115" si="15">IF(C105=0,0,E105/C105)</f>
        <v>1.6589989239731364</v>
      </c>
    </row>
    <row r="106" spans="1:6" ht="20.25" customHeight="1" x14ac:dyDescent="0.3">
      <c r="A106" s="256">
        <v>2</v>
      </c>
      <c r="B106" s="257" t="s">
        <v>442</v>
      </c>
      <c r="C106" s="258">
        <v>154222</v>
      </c>
      <c r="D106" s="258">
        <v>399117</v>
      </c>
      <c r="E106" s="258">
        <f t="shared" si="14"/>
        <v>244895</v>
      </c>
      <c r="F106" s="259">
        <f t="shared" si="15"/>
        <v>1.5879381670578776</v>
      </c>
    </row>
    <row r="107" spans="1:6" ht="20.25" customHeight="1" x14ac:dyDescent="0.3">
      <c r="A107" s="256">
        <v>3</v>
      </c>
      <c r="B107" s="257" t="s">
        <v>443</v>
      </c>
      <c r="C107" s="258">
        <v>1080739</v>
      </c>
      <c r="D107" s="258">
        <v>1431241</v>
      </c>
      <c r="E107" s="258">
        <f t="shared" si="14"/>
        <v>350502</v>
      </c>
      <c r="F107" s="259">
        <f t="shared" si="15"/>
        <v>0.32431697199786441</v>
      </c>
    </row>
    <row r="108" spans="1:6" ht="20.25" customHeight="1" x14ac:dyDescent="0.3">
      <c r="A108" s="256">
        <v>4</v>
      </c>
      <c r="B108" s="257" t="s">
        <v>444</v>
      </c>
      <c r="C108" s="258">
        <v>184874</v>
      </c>
      <c r="D108" s="258">
        <v>247017</v>
      </c>
      <c r="E108" s="258">
        <f t="shared" si="14"/>
        <v>62143</v>
      </c>
      <c r="F108" s="259">
        <f t="shared" si="15"/>
        <v>0.33613704468989691</v>
      </c>
    </row>
    <row r="109" spans="1:6" ht="20.25" customHeight="1" x14ac:dyDescent="0.3">
      <c r="A109" s="256">
        <v>5</v>
      </c>
      <c r="B109" s="257" t="s">
        <v>381</v>
      </c>
      <c r="C109" s="260">
        <v>25</v>
      </c>
      <c r="D109" s="260">
        <v>41</v>
      </c>
      <c r="E109" s="260">
        <f t="shared" si="14"/>
        <v>16</v>
      </c>
      <c r="F109" s="259">
        <f t="shared" si="15"/>
        <v>0.64</v>
      </c>
    </row>
    <row r="110" spans="1:6" ht="20.25" customHeight="1" x14ac:dyDescent="0.3">
      <c r="A110" s="256">
        <v>6</v>
      </c>
      <c r="B110" s="257" t="s">
        <v>380</v>
      </c>
      <c r="C110" s="260">
        <v>86</v>
      </c>
      <c r="D110" s="260">
        <v>245</v>
      </c>
      <c r="E110" s="260">
        <f t="shared" si="14"/>
        <v>159</v>
      </c>
      <c r="F110" s="259">
        <f t="shared" si="15"/>
        <v>1.8488372093023255</v>
      </c>
    </row>
    <row r="111" spans="1:6" ht="20.25" customHeight="1" x14ac:dyDescent="0.3">
      <c r="A111" s="256">
        <v>7</v>
      </c>
      <c r="B111" s="257" t="s">
        <v>445</v>
      </c>
      <c r="C111" s="260">
        <v>566</v>
      </c>
      <c r="D111" s="260">
        <v>748</v>
      </c>
      <c r="E111" s="260">
        <f t="shared" si="14"/>
        <v>182</v>
      </c>
      <c r="F111" s="259">
        <f t="shared" si="15"/>
        <v>0.32155477031802121</v>
      </c>
    </row>
    <row r="112" spans="1:6" ht="20.25" customHeight="1" x14ac:dyDescent="0.3">
      <c r="A112" s="256">
        <v>8</v>
      </c>
      <c r="B112" s="257" t="s">
        <v>446</v>
      </c>
      <c r="C112" s="260">
        <v>108</v>
      </c>
      <c r="D112" s="260">
        <v>124</v>
      </c>
      <c r="E112" s="260">
        <f t="shared" si="14"/>
        <v>16</v>
      </c>
      <c r="F112" s="259">
        <f t="shared" si="15"/>
        <v>0.14814814814814814</v>
      </c>
    </row>
    <row r="113" spans="1:6" ht="20.25" customHeight="1" x14ac:dyDescent="0.3">
      <c r="A113" s="256">
        <v>9</v>
      </c>
      <c r="B113" s="257" t="s">
        <v>447</v>
      </c>
      <c r="C113" s="260">
        <v>25</v>
      </c>
      <c r="D113" s="260">
        <v>36</v>
      </c>
      <c r="E113" s="260">
        <f t="shared" si="14"/>
        <v>11</v>
      </c>
      <c r="F113" s="259">
        <f t="shared" si="15"/>
        <v>0.44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1754514</v>
      </c>
      <c r="D114" s="263">
        <f>+D105+D107</f>
        <v>3222808</v>
      </c>
      <c r="E114" s="263">
        <f t="shared" si="14"/>
        <v>1468294</v>
      </c>
      <c r="F114" s="264">
        <f t="shared" si="15"/>
        <v>0.83686650548242991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339096</v>
      </c>
      <c r="D115" s="263">
        <f>+D106+D108</f>
        <v>646134</v>
      </c>
      <c r="E115" s="263">
        <f t="shared" si="14"/>
        <v>307038</v>
      </c>
      <c r="F115" s="264">
        <f t="shared" si="15"/>
        <v>0.90546040059452193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1015791</v>
      </c>
      <c r="D118" s="258">
        <v>1566276</v>
      </c>
      <c r="E118" s="258">
        <f t="shared" ref="E118:E128" si="16">D118-C118</f>
        <v>550485</v>
      </c>
      <c r="F118" s="259">
        <f t="shared" ref="F118:F128" si="17">IF(C118=0,0,E118/C118)</f>
        <v>0.54192742404687577</v>
      </c>
    </row>
    <row r="119" spans="1:6" ht="20.25" customHeight="1" x14ac:dyDescent="0.3">
      <c r="A119" s="256">
        <v>2</v>
      </c>
      <c r="B119" s="257" t="s">
        <v>442</v>
      </c>
      <c r="C119" s="258">
        <v>280573</v>
      </c>
      <c r="D119" s="258">
        <v>377787</v>
      </c>
      <c r="E119" s="258">
        <f t="shared" si="16"/>
        <v>97214</v>
      </c>
      <c r="F119" s="259">
        <f t="shared" si="17"/>
        <v>0.34648380278929192</v>
      </c>
    </row>
    <row r="120" spans="1:6" ht="20.25" customHeight="1" x14ac:dyDescent="0.3">
      <c r="A120" s="256">
        <v>3</v>
      </c>
      <c r="B120" s="257" t="s">
        <v>443</v>
      </c>
      <c r="C120" s="258">
        <v>1409443</v>
      </c>
      <c r="D120" s="258">
        <v>1958452</v>
      </c>
      <c r="E120" s="258">
        <f t="shared" si="16"/>
        <v>549009</v>
      </c>
      <c r="F120" s="259">
        <f t="shared" si="17"/>
        <v>0.38952196009345535</v>
      </c>
    </row>
    <row r="121" spans="1:6" ht="20.25" customHeight="1" x14ac:dyDescent="0.3">
      <c r="A121" s="256">
        <v>4</v>
      </c>
      <c r="B121" s="257" t="s">
        <v>444</v>
      </c>
      <c r="C121" s="258">
        <v>282311</v>
      </c>
      <c r="D121" s="258">
        <v>379223</v>
      </c>
      <c r="E121" s="258">
        <f t="shared" si="16"/>
        <v>96912</v>
      </c>
      <c r="F121" s="259">
        <f t="shared" si="17"/>
        <v>0.34328099153061692</v>
      </c>
    </row>
    <row r="122" spans="1:6" ht="20.25" customHeight="1" x14ac:dyDescent="0.3">
      <c r="A122" s="256">
        <v>5</v>
      </c>
      <c r="B122" s="257" t="s">
        <v>381</v>
      </c>
      <c r="C122" s="260">
        <v>36</v>
      </c>
      <c r="D122" s="260">
        <v>38</v>
      </c>
      <c r="E122" s="260">
        <f t="shared" si="16"/>
        <v>2</v>
      </c>
      <c r="F122" s="259">
        <f t="shared" si="17"/>
        <v>5.5555555555555552E-2</v>
      </c>
    </row>
    <row r="123" spans="1:6" ht="20.25" customHeight="1" x14ac:dyDescent="0.3">
      <c r="A123" s="256">
        <v>6</v>
      </c>
      <c r="B123" s="257" t="s">
        <v>380</v>
      </c>
      <c r="C123" s="260">
        <v>157</v>
      </c>
      <c r="D123" s="260">
        <v>199</v>
      </c>
      <c r="E123" s="260">
        <f t="shared" si="16"/>
        <v>42</v>
      </c>
      <c r="F123" s="259">
        <f t="shared" si="17"/>
        <v>0.26751592356687898</v>
      </c>
    </row>
    <row r="124" spans="1:6" ht="20.25" customHeight="1" x14ac:dyDescent="0.3">
      <c r="A124" s="256">
        <v>7</v>
      </c>
      <c r="B124" s="257" t="s">
        <v>445</v>
      </c>
      <c r="C124" s="260">
        <v>1104</v>
      </c>
      <c r="D124" s="260">
        <v>1567</v>
      </c>
      <c r="E124" s="260">
        <f t="shared" si="16"/>
        <v>463</v>
      </c>
      <c r="F124" s="259">
        <f t="shared" si="17"/>
        <v>0.41938405797101447</v>
      </c>
    </row>
    <row r="125" spans="1:6" ht="20.25" customHeight="1" x14ac:dyDescent="0.3">
      <c r="A125" s="256">
        <v>8</v>
      </c>
      <c r="B125" s="257" t="s">
        <v>446</v>
      </c>
      <c r="C125" s="260">
        <v>64</v>
      </c>
      <c r="D125" s="260">
        <v>124</v>
      </c>
      <c r="E125" s="260">
        <f t="shared" si="16"/>
        <v>60</v>
      </c>
      <c r="F125" s="259">
        <f t="shared" si="17"/>
        <v>0.9375</v>
      </c>
    </row>
    <row r="126" spans="1:6" ht="20.25" customHeight="1" x14ac:dyDescent="0.3">
      <c r="A126" s="256">
        <v>9</v>
      </c>
      <c r="B126" s="257" t="s">
        <v>447</v>
      </c>
      <c r="C126" s="260">
        <v>34</v>
      </c>
      <c r="D126" s="260">
        <v>33</v>
      </c>
      <c r="E126" s="260">
        <f t="shared" si="16"/>
        <v>-1</v>
      </c>
      <c r="F126" s="259">
        <f t="shared" si="17"/>
        <v>-2.9411764705882353E-2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2425234</v>
      </c>
      <c r="D127" s="263">
        <f>+D118+D120</f>
        <v>3524728</v>
      </c>
      <c r="E127" s="263">
        <f t="shared" si="16"/>
        <v>1099494</v>
      </c>
      <c r="F127" s="264">
        <f t="shared" si="17"/>
        <v>0.45335584112708299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562884</v>
      </c>
      <c r="D128" s="263">
        <f>+D119+D121</f>
        <v>757010</v>
      </c>
      <c r="E128" s="263">
        <f t="shared" si="16"/>
        <v>194126</v>
      </c>
      <c r="F128" s="264">
        <f t="shared" si="17"/>
        <v>0.34487745254794949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13986</v>
      </c>
      <c r="D131" s="258">
        <v>97857</v>
      </c>
      <c r="E131" s="258">
        <f t="shared" ref="E131:E141" si="18">D131-C131</f>
        <v>83871</v>
      </c>
      <c r="F131" s="259">
        <f t="shared" ref="F131:F141" si="19">IF(C131=0,0,E131/C131)</f>
        <v>5.9967824967824965</v>
      </c>
    </row>
    <row r="132" spans="1:6" ht="20.25" customHeight="1" x14ac:dyDescent="0.3">
      <c r="A132" s="256">
        <v>2</v>
      </c>
      <c r="B132" s="257" t="s">
        <v>442</v>
      </c>
      <c r="C132" s="258">
        <v>4240</v>
      </c>
      <c r="D132" s="258">
        <v>11030</v>
      </c>
      <c r="E132" s="258">
        <f t="shared" si="18"/>
        <v>6790</v>
      </c>
      <c r="F132" s="259">
        <f t="shared" si="19"/>
        <v>1.6014150943396226</v>
      </c>
    </row>
    <row r="133" spans="1:6" ht="20.25" customHeight="1" x14ac:dyDescent="0.3">
      <c r="A133" s="256">
        <v>3</v>
      </c>
      <c r="B133" s="257" t="s">
        <v>443</v>
      </c>
      <c r="C133" s="258">
        <v>71736</v>
      </c>
      <c r="D133" s="258">
        <v>37081</v>
      </c>
      <c r="E133" s="258">
        <f t="shared" si="18"/>
        <v>-34655</v>
      </c>
      <c r="F133" s="259">
        <f t="shared" si="19"/>
        <v>-0.48309077729452438</v>
      </c>
    </row>
    <row r="134" spans="1:6" ht="20.25" customHeight="1" x14ac:dyDescent="0.3">
      <c r="A134" s="256">
        <v>4</v>
      </c>
      <c r="B134" s="257" t="s">
        <v>444</v>
      </c>
      <c r="C134" s="258">
        <v>11714</v>
      </c>
      <c r="D134" s="258">
        <v>5750</v>
      </c>
      <c r="E134" s="258">
        <f t="shared" si="18"/>
        <v>-5964</v>
      </c>
      <c r="F134" s="259">
        <f t="shared" si="19"/>
        <v>-0.50913436913095445</v>
      </c>
    </row>
    <row r="135" spans="1:6" ht="20.25" customHeight="1" x14ac:dyDescent="0.3">
      <c r="A135" s="256">
        <v>5</v>
      </c>
      <c r="B135" s="257" t="s">
        <v>381</v>
      </c>
      <c r="C135" s="260">
        <v>1</v>
      </c>
      <c r="D135" s="260">
        <v>3</v>
      </c>
      <c r="E135" s="260">
        <f t="shared" si="18"/>
        <v>2</v>
      </c>
      <c r="F135" s="259">
        <f t="shared" si="19"/>
        <v>2</v>
      </c>
    </row>
    <row r="136" spans="1:6" ht="20.25" customHeight="1" x14ac:dyDescent="0.3">
      <c r="A136" s="256">
        <v>6</v>
      </c>
      <c r="B136" s="257" t="s">
        <v>380</v>
      </c>
      <c r="C136" s="260">
        <v>3</v>
      </c>
      <c r="D136" s="260">
        <v>14</v>
      </c>
      <c r="E136" s="260">
        <f t="shared" si="18"/>
        <v>11</v>
      </c>
      <c r="F136" s="259">
        <f t="shared" si="19"/>
        <v>3.6666666666666665</v>
      </c>
    </row>
    <row r="137" spans="1:6" ht="20.25" customHeight="1" x14ac:dyDescent="0.3">
      <c r="A137" s="256">
        <v>7</v>
      </c>
      <c r="B137" s="257" t="s">
        <v>445</v>
      </c>
      <c r="C137" s="260">
        <v>88</v>
      </c>
      <c r="D137" s="260">
        <v>118</v>
      </c>
      <c r="E137" s="260">
        <f t="shared" si="18"/>
        <v>30</v>
      </c>
      <c r="F137" s="259">
        <f t="shared" si="19"/>
        <v>0.34090909090909088</v>
      </c>
    </row>
    <row r="138" spans="1:6" ht="20.25" customHeight="1" x14ac:dyDescent="0.3">
      <c r="A138" s="256">
        <v>8</v>
      </c>
      <c r="B138" s="257" t="s">
        <v>446</v>
      </c>
      <c r="C138" s="260">
        <v>10</v>
      </c>
      <c r="D138" s="260">
        <v>6</v>
      </c>
      <c r="E138" s="260">
        <f t="shared" si="18"/>
        <v>-4</v>
      </c>
      <c r="F138" s="259">
        <f t="shared" si="19"/>
        <v>-0.4</v>
      </c>
    </row>
    <row r="139" spans="1:6" ht="20.25" customHeight="1" x14ac:dyDescent="0.3">
      <c r="A139" s="256">
        <v>9</v>
      </c>
      <c r="B139" s="257" t="s">
        <v>447</v>
      </c>
      <c r="C139" s="260">
        <v>1</v>
      </c>
      <c r="D139" s="260">
        <v>4</v>
      </c>
      <c r="E139" s="260">
        <f t="shared" si="18"/>
        <v>3</v>
      </c>
      <c r="F139" s="259">
        <f t="shared" si="19"/>
        <v>3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85722</v>
      </c>
      <c r="D140" s="263">
        <f>+D131+D133</f>
        <v>134938</v>
      </c>
      <c r="E140" s="263">
        <f t="shared" si="18"/>
        <v>49216</v>
      </c>
      <c r="F140" s="264">
        <f t="shared" si="19"/>
        <v>0.5741349945171601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15954</v>
      </c>
      <c r="D141" s="263">
        <f>+D132+D134</f>
        <v>16780</v>
      </c>
      <c r="E141" s="263">
        <f t="shared" si="18"/>
        <v>826</v>
      </c>
      <c r="F141" s="264">
        <f t="shared" si="19"/>
        <v>5.1773849818227406E-2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0</v>
      </c>
      <c r="D183" s="258">
        <v>0</v>
      </c>
      <c r="E183" s="258">
        <f t="shared" ref="E183:E193" si="26">D183-C183</f>
        <v>0</v>
      </c>
      <c r="F183" s="259">
        <f t="shared" ref="F183:F193" si="27">IF(C183=0,0,E183/C183)</f>
        <v>0</v>
      </c>
    </row>
    <row r="184" spans="1:6" ht="20.25" customHeight="1" x14ac:dyDescent="0.3">
      <c r="A184" s="256">
        <v>2</v>
      </c>
      <c r="B184" s="257" t="s">
        <v>442</v>
      </c>
      <c r="C184" s="258">
        <v>0</v>
      </c>
      <c r="D184" s="258">
        <v>0</v>
      </c>
      <c r="E184" s="258">
        <f t="shared" si="26"/>
        <v>0</v>
      </c>
      <c r="F184" s="259">
        <f t="shared" si="27"/>
        <v>0</v>
      </c>
    </row>
    <row r="185" spans="1:6" ht="20.25" customHeight="1" x14ac:dyDescent="0.3">
      <c r="A185" s="256">
        <v>3</v>
      </c>
      <c r="B185" s="257" t="s">
        <v>443</v>
      </c>
      <c r="C185" s="258">
        <v>0</v>
      </c>
      <c r="D185" s="258">
        <v>0</v>
      </c>
      <c r="E185" s="258">
        <f t="shared" si="26"/>
        <v>0</v>
      </c>
      <c r="F185" s="259">
        <f t="shared" si="27"/>
        <v>0</v>
      </c>
    </row>
    <row r="186" spans="1:6" ht="20.25" customHeight="1" x14ac:dyDescent="0.3">
      <c r="A186" s="256">
        <v>4</v>
      </c>
      <c r="B186" s="257" t="s">
        <v>444</v>
      </c>
      <c r="C186" s="258">
        <v>0</v>
      </c>
      <c r="D186" s="258">
        <v>0</v>
      </c>
      <c r="E186" s="258">
        <f t="shared" si="26"/>
        <v>0</v>
      </c>
      <c r="F186" s="259">
        <f t="shared" si="27"/>
        <v>0</v>
      </c>
    </row>
    <row r="187" spans="1:6" ht="20.25" customHeight="1" x14ac:dyDescent="0.3">
      <c r="A187" s="256">
        <v>5</v>
      </c>
      <c r="B187" s="257" t="s">
        <v>381</v>
      </c>
      <c r="C187" s="260">
        <v>0</v>
      </c>
      <c r="D187" s="260">
        <v>0</v>
      </c>
      <c r="E187" s="260">
        <f t="shared" si="26"/>
        <v>0</v>
      </c>
      <c r="F187" s="259">
        <f t="shared" si="27"/>
        <v>0</v>
      </c>
    </row>
    <row r="188" spans="1:6" ht="20.25" customHeight="1" x14ac:dyDescent="0.3">
      <c r="A188" s="256">
        <v>6</v>
      </c>
      <c r="B188" s="257" t="s">
        <v>380</v>
      </c>
      <c r="C188" s="260">
        <v>0</v>
      </c>
      <c r="D188" s="260">
        <v>0</v>
      </c>
      <c r="E188" s="260">
        <f t="shared" si="26"/>
        <v>0</v>
      </c>
      <c r="F188" s="259">
        <f t="shared" si="27"/>
        <v>0</v>
      </c>
    </row>
    <row r="189" spans="1:6" ht="20.25" customHeight="1" x14ac:dyDescent="0.3">
      <c r="A189" s="256">
        <v>7</v>
      </c>
      <c r="B189" s="257" t="s">
        <v>445</v>
      </c>
      <c r="C189" s="260">
        <v>0</v>
      </c>
      <c r="D189" s="260">
        <v>0</v>
      </c>
      <c r="E189" s="260">
        <f t="shared" si="26"/>
        <v>0</v>
      </c>
      <c r="F189" s="259">
        <f t="shared" si="27"/>
        <v>0</v>
      </c>
    </row>
    <row r="190" spans="1:6" ht="20.25" customHeight="1" x14ac:dyDescent="0.3">
      <c r="A190" s="256">
        <v>8</v>
      </c>
      <c r="B190" s="257" t="s">
        <v>446</v>
      </c>
      <c r="C190" s="260">
        <v>0</v>
      </c>
      <c r="D190" s="260">
        <v>0</v>
      </c>
      <c r="E190" s="260">
        <f t="shared" si="26"/>
        <v>0</v>
      </c>
      <c r="F190" s="259">
        <f t="shared" si="27"/>
        <v>0</v>
      </c>
    </row>
    <row r="191" spans="1:6" ht="20.25" customHeight="1" x14ac:dyDescent="0.3">
      <c r="A191" s="256">
        <v>9</v>
      </c>
      <c r="B191" s="257" t="s">
        <v>447</v>
      </c>
      <c r="C191" s="260">
        <v>0</v>
      </c>
      <c r="D191" s="260">
        <v>0</v>
      </c>
      <c r="E191" s="260">
        <f t="shared" si="26"/>
        <v>0</v>
      </c>
      <c r="F191" s="259">
        <f t="shared" si="27"/>
        <v>0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0</v>
      </c>
      <c r="D192" s="263">
        <f>+D183+D185</f>
        <v>0</v>
      </c>
      <c r="E192" s="263">
        <f t="shared" si="26"/>
        <v>0</v>
      </c>
      <c r="F192" s="264">
        <f t="shared" si="27"/>
        <v>0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0</v>
      </c>
      <c r="D193" s="263">
        <f>+D184+D186</f>
        <v>0</v>
      </c>
      <c r="E193" s="263">
        <f t="shared" si="26"/>
        <v>0</v>
      </c>
      <c r="F193" s="264">
        <f t="shared" si="27"/>
        <v>0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794" t="s">
        <v>44</v>
      </c>
      <c r="B195" s="796" t="s">
        <v>464</v>
      </c>
      <c r="C195" s="798"/>
      <c r="D195" s="799"/>
      <c r="E195" s="799"/>
      <c r="F195" s="800"/>
      <c r="G195" s="801"/>
      <c r="H195" s="801"/>
      <c r="I195" s="801"/>
    </row>
    <row r="196" spans="1:9" ht="20.25" customHeight="1" x14ac:dyDescent="0.3">
      <c r="A196" s="795"/>
      <c r="B196" s="797"/>
      <c r="C196" s="791"/>
      <c r="D196" s="792"/>
      <c r="E196" s="792"/>
      <c r="F196" s="793"/>
      <c r="G196" s="801"/>
      <c r="H196" s="801"/>
      <c r="I196" s="801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14580622</v>
      </c>
      <c r="D198" s="263">
        <f t="shared" si="28"/>
        <v>14884286</v>
      </c>
      <c r="E198" s="263">
        <f t="shared" ref="E198:E208" si="29">D198-C198</f>
        <v>303664</v>
      </c>
      <c r="F198" s="273">
        <f t="shared" ref="F198:F208" si="30">IF(C198=0,0,E198/C198)</f>
        <v>2.0826546357213017E-2</v>
      </c>
    </row>
    <row r="199" spans="1:9" ht="20.25" customHeight="1" x14ac:dyDescent="0.3">
      <c r="A199" s="271"/>
      <c r="B199" s="272" t="s">
        <v>466</v>
      </c>
      <c r="C199" s="263">
        <f t="shared" si="28"/>
        <v>4159814</v>
      </c>
      <c r="D199" s="263">
        <f t="shared" si="28"/>
        <v>3890412</v>
      </c>
      <c r="E199" s="263">
        <f t="shared" si="29"/>
        <v>-269402</v>
      </c>
      <c r="F199" s="273">
        <f t="shared" si="30"/>
        <v>-6.4762991806845208E-2</v>
      </c>
    </row>
    <row r="200" spans="1:9" ht="20.25" customHeight="1" x14ac:dyDescent="0.3">
      <c r="A200" s="271"/>
      <c r="B200" s="272" t="s">
        <v>467</v>
      </c>
      <c r="C200" s="263">
        <f t="shared" si="28"/>
        <v>13207433</v>
      </c>
      <c r="D200" s="263">
        <f t="shared" si="28"/>
        <v>14569949</v>
      </c>
      <c r="E200" s="263">
        <f t="shared" si="29"/>
        <v>1362516</v>
      </c>
      <c r="F200" s="273">
        <f t="shared" si="30"/>
        <v>0.10316281748315513</v>
      </c>
    </row>
    <row r="201" spans="1:9" ht="20.25" customHeight="1" x14ac:dyDescent="0.3">
      <c r="A201" s="271"/>
      <c r="B201" s="272" t="s">
        <v>468</v>
      </c>
      <c r="C201" s="263">
        <f t="shared" si="28"/>
        <v>2602965</v>
      </c>
      <c r="D201" s="263">
        <f t="shared" si="28"/>
        <v>2693193</v>
      </c>
      <c r="E201" s="263">
        <f t="shared" si="29"/>
        <v>90228</v>
      </c>
      <c r="F201" s="273">
        <f t="shared" si="30"/>
        <v>3.4663547147195599E-2</v>
      </c>
    </row>
    <row r="202" spans="1:9" ht="20.25" customHeight="1" x14ac:dyDescent="0.3">
      <c r="A202" s="271"/>
      <c r="B202" s="272" t="s">
        <v>138</v>
      </c>
      <c r="C202" s="274">
        <f t="shared" si="28"/>
        <v>404</v>
      </c>
      <c r="D202" s="274">
        <f t="shared" si="28"/>
        <v>401</v>
      </c>
      <c r="E202" s="274">
        <f t="shared" si="29"/>
        <v>-3</v>
      </c>
      <c r="F202" s="273">
        <f t="shared" si="30"/>
        <v>-7.4257425742574254E-3</v>
      </c>
    </row>
    <row r="203" spans="1:9" ht="20.25" customHeight="1" x14ac:dyDescent="0.3">
      <c r="A203" s="271"/>
      <c r="B203" s="272" t="s">
        <v>140</v>
      </c>
      <c r="C203" s="274">
        <f t="shared" si="28"/>
        <v>2212</v>
      </c>
      <c r="D203" s="274">
        <f t="shared" si="28"/>
        <v>1894</v>
      </c>
      <c r="E203" s="274">
        <f t="shared" si="29"/>
        <v>-318</v>
      </c>
      <c r="F203" s="273">
        <f t="shared" si="30"/>
        <v>-0.1437613019891501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8650</v>
      </c>
      <c r="D204" s="274">
        <f t="shared" si="28"/>
        <v>9716</v>
      </c>
      <c r="E204" s="274">
        <f t="shared" si="29"/>
        <v>1066</v>
      </c>
      <c r="F204" s="273">
        <f t="shared" si="30"/>
        <v>0.12323699421965317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845</v>
      </c>
      <c r="D205" s="274">
        <f t="shared" si="28"/>
        <v>957</v>
      </c>
      <c r="E205" s="274">
        <f t="shared" si="29"/>
        <v>112</v>
      </c>
      <c r="F205" s="273">
        <f t="shared" si="30"/>
        <v>0.13254437869822486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385</v>
      </c>
      <c r="D206" s="274">
        <f t="shared" si="28"/>
        <v>353</v>
      </c>
      <c r="E206" s="274">
        <f t="shared" si="29"/>
        <v>-32</v>
      </c>
      <c r="F206" s="273">
        <f t="shared" si="30"/>
        <v>-8.3116883116883117E-2</v>
      </c>
    </row>
    <row r="207" spans="1:9" ht="20.25" customHeight="1" x14ac:dyDescent="0.3">
      <c r="A207" s="271"/>
      <c r="B207" s="262" t="s">
        <v>471</v>
      </c>
      <c r="C207" s="263">
        <f>+C198+C200</f>
        <v>27788055</v>
      </c>
      <c r="D207" s="263">
        <f>+D198+D200</f>
        <v>29454235</v>
      </c>
      <c r="E207" s="263">
        <f t="shared" si="29"/>
        <v>1666180</v>
      </c>
      <c r="F207" s="273">
        <f t="shared" si="30"/>
        <v>5.996029588972672E-2</v>
      </c>
    </row>
    <row r="208" spans="1:9" ht="20.25" customHeight="1" x14ac:dyDescent="0.3">
      <c r="A208" s="271"/>
      <c r="B208" s="262" t="s">
        <v>472</v>
      </c>
      <c r="C208" s="263">
        <f>+C199+C201</f>
        <v>6762779</v>
      </c>
      <c r="D208" s="263">
        <f>+D199+D201</f>
        <v>6583605</v>
      </c>
      <c r="E208" s="263">
        <f t="shared" si="29"/>
        <v>-179174</v>
      </c>
      <c r="F208" s="273">
        <f t="shared" si="30"/>
        <v>-2.64941379867655E-2</v>
      </c>
    </row>
  </sheetData>
  <mergeCells count="12">
    <mergeCell ref="A2:F2"/>
    <mergeCell ref="A3:F3"/>
    <mergeCell ref="A4:F4"/>
    <mergeCell ref="A5:F5"/>
    <mergeCell ref="C9:F9"/>
    <mergeCell ref="A10:A11"/>
    <mergeCell ref="B10:B11"/>
    <mergeCell ref="C10:F11"/>
    <mergeCell ref="A195:A196"/>
    <mergeCell ref="B195:B196"/>
    <mergeCell ref="C195:F196"/>
    <mergeCell ref="G195:I196"/>
  </mergeCells>
  <pageMargins left="0.25" right="0.25" top="0.5" bottom="0.5" header="0.25" footer="0.25"/>
  <pageSetup scale="57" fitToHeight="0" orientation="portrait" horizontalDpi="1200" verticalDpi="1200" r:id="rId1"/>
  <headerFooter>
    <oddHeader>&amp;LOFFICE OF HEALTH CARE ACCESS&amp;CTWELVE MONTHS ACTUAL FILING&amp;RROCKVILLE GENERAL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802" t="s">
        <v>0</v>
      </c>
      <c r="B2" s="802"/>
      <c r="C2" s="802"/>
      <c r="D2" s="802"/>
      <c r="E2" s="802"/>
      <c r="F2" s="802"/>
    </row>
    <row r="3" spans="1:7" ht="20.25" customHeight="1" x14ac:dyDescent="0.3">
      <c r="A3" s="802" t="s">
        <v>1</v>
      </c>
      <c r="B3" s="802"/>
      <c r="C3" s="802"/>
      <c r="D3" s="802"/>
      <c r="E3" s="802"/>
      <c r="F3" s="802"/>
    </row>
    <row r="4" spans="1:7" ht="20.25" customHeight="1" x14ac:dyDescent="0.3">
      <c r="A4" s="802" t="s">
        <v>314</v>
      </c>
      <c r="B4" s="802"/>
      <c r="C4" s="802"/>
      <c r="D4" s="802"/>
      <c r="E4" s="802"/>
      <c r="F4" s="802"/>
    </row>
    <row r="5" spans="1:7" ht="20.25" customHeight="1" x14ac:dyDescent="0.3">
      <c r="A5" s="802" t="s">
        <v>473</v>
      </c>
      <c r="B5" s="802"/>
      <c r="C5" s="802"/>
      <c r="D5" s="802"/>
      <c r="E5" s="802"/>
      <c r="F5" s="802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794" t="s">
        <v>12</v>
      </c>
      <c r="B10" s="796" t="s">
        <v>116</v>
      </c>
      <c r="C10" s="798"/>
      <c r="D10" s="799"/>
      <c r="E10" s="799"/>
      <c r="F10" s="800"/>
    </row>
    <row r="11" spans="1:7" ht="20.25" customHeight="1" x14ac:dyDescent="0.3">
      <c r="A11" s="795"/>
      <c r="B11" s="797"/>
      <c r="C11" s="791"/>
      <c r="D11" s="792"/>
      <c r="E11" s="792"/>
      <c r="F11" s="793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794" t="s">
        <v>44</v>
      </c>
      <c r="B109" s="796" t="s">
        <v>490</v>
      </c>
      <c r="C109" s="798"/>
      <c r="D109" s="799"/>
      <c r="E109" s="799"/>
      <c r="F109" s="800"/>
      <c r="G109" s="245"/>
    </row>
    <row r="110" spans="1:7" ht="20.25" customHeight="1" x14ac:dyDescent="0.3">
      <c r="A110" s="795"/>
      <c r="B110" s="797"/>
      <c r="C110" s="791"/>
      <c r="D110" s="792"/>
      <c r="E110" s="792"/>
      <c r="F110" s="793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scale="57" fitToHeight="0" orientation="portrait" horizontalDpi="1200" verticalDpi="1200" r:id="rId1"/>
  <headerFooter>
    <oddHeader>&amp;LOFFICE OF HEALTH CARE ACCESS&amp;CTWELVE MONTHS ACTUAL FILING&amp;RROCKVILLE GENERAL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20733601</v>
      </c>
      <c r="D13" s="22">
        <v>16286829</v>
      </c>
      <c r="E13" s="22">
        <f t="shared" ref="E13:E22" si="0">D13-C13</f>
        <v>-4446772</v>
      </c>
      <c r="F13" s="306">
        <f t="shared" ref="F13:F22" si="1">IF(C13=0,0,E13/C13)</f>
        <v>-0.21447176493846873</v>
      </c>
    </row>
    <row r="14" spans="1:8" ht="24" customHeight="1" x14ac:dyDescent="0.2">
      <c r="A14" s="304">
        <v>2</v>
      </c>
      <c r="B14" s="305" t="s">
        <v>17</v>
      </c>
      <c r="C14" s="22">
        <v>0</v>
      </c>
      <c r="D14" s="22">
        <v>0</v>
      </c>
      <c r="E14" s="22">
        <f t="shared" si="0"/>
        <v>0</v>
      </c>
      <c r="F14" s="306">
        <f t="shared" si="1"/>
        <v>0</v>
      </c>
    </row>
    <row r="15" spans="1:8" ht="35.1" customHeight="1" x14ac:dyDescent="0.2">
      <c r="A15" s="304">
        <v>3</v>
      </c>
      <c r="B15" s="305" t="s">
        <v>18</v>
      </c>
      <c r="C15" s="22">
        <v>44610272</v>
      </c>
      <c r="D15" s="22">
        <v>41607499</v>
      </c>
      <c r="E15" s="22">
        <f t="shared" si="0"/>
        <v>-3002773</v>
      </c>
      <c r="F15" s="306">
        <f t="shared" si="1"/>
        <v>-6.7311246163215502E-2</v>
      </c>
    </row>
    <row r="16" spans="1:8" ht="35.1" customHeight="1" x14ac:dyDescent="0.2">
      <c r="A16" s="304">
        <v>4</v>
      </c>
      <c r="B16" s="305" t="s">
        <v>19</v>
      </c>
      <c r="C16" s="22">
        <v>1163916</v>
      </c>
      <c r="D16" s="22">
        <v>1097599</v>
      </c>
      <c r="E16" s="22">
        <f t="shared" si="0"/>
        <v>-66317</v>
      </c>
      <c r="F16" s="306">
        <f t="shared" si="1"/>
        <v>-5.6977479474463792E-2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3602585</v>
      </c>
      <c r="D18" s="22">
        <v>3573134</v>
      </c>
      <c r="E18" s="22">
        <f t="shared" si="0"/>
        <v>-29451</v>
      </c>
      <c r="F18" s="306">
        <f t="shared" si="1"/>
        <v>-8.1749632555512229E-3</v>
      </c>
    </row>
    <row r="19" spans="1:11" ht="24" customHeight="1" x14ac:dyDescent="0.2">
      <c r="A19" s="304">
        <v>7</v>
      </c>
      <c r="B19" s="305" t="s">
        <v>22</v>
      </c>
      <c r="C19" s="22">
        <v>5437285</v>
      </c>
      <c r="D19" s="22">
        <v>5553809</v>
      </c>
      <c r="E19" s="22">
        <f t="shared" si="0"/>
        <v>116524</v>
      </c>
      <c r="F19" s="306">
        <f t="shared" si="1"/>
        <v>2.143054851824026E-2</v>
      </c>
    </row>
    <row r="20" spans="1:11" ht="24" customHeight="1" x14ac:dyDescent="0.2">
      <c r="A20" s="304">
        <v>8</v>
      </c>
      <c r="B20" s="305" t="s">
        <v>23</v>
      </c>
      <c r="C20" s="22">
        <v>5686236</v>
      </c>
      <c r="D20" s="22">
        <v>6653091</v>
      </c>
      <c r="E20" s="22">
        <f t="shared" si="0"/>
        <v>966855</v>
      </c>
      <c r="F20" s="306">
        <f t="shared" si="1"/>
        <v>0.17003427223210574</v>
      </c>
    </row>
    <row r="21" spans="1:11" ht="24" customHeight="1" x14ac:dyDescent="0.2">
      <c r="A21" s="304">
        <v>9</v>
      </c>
      <c r="B21" s="305" t="s">
        <v>24</v>
      </c>
      <c r="C21" s="22">
        <v>0</v>
      </c>
      <c r="D21" s="22">
        <v>0</v>
      </c>
      <c r="E21" s="22">
        <f t="shared" si="0"/>
        <v>0</v>
      </c>
      <c r="F21" s="306">
        <f t="shared" si="1"/>
        <v>0</v>
      </c>
    </row>
    <row r="22" spans="1:11" ht="24" customHeight="1" x14ac:dyDescent="0.25">
      <c r="A22" s="307"/>
      <c r="B22" s="308" t="s">
        <v>25</v>
      </c>
      <c r="C22" s="309">
        <f>SUM(C13:C21)</f>
        <v>81233895</v>
      </c>
      <c r="D22" s="309">
        <f>SUM(D13:D21)</f>
        <v>74771961</v>
      </c>
      <c r="E22" s="309">
        <f t="shared" si="0"/>
        <v>-6461934</v>
      </c>
      <c r="F22" s="310">
        <f t="shared" si="1"/>
        <v>-7.954726287592144E-2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16980766</v>
      </c>
      <c r="D25" s="22">
        <v>15981754</v>
      </c>
      <c r="E25" s="22">
        <f>D25-C25</f>
        <v>-999012</v>
      </c>
      <c r="F25" s="306">
        <f>IF(C25=0,0,E25/C25)</f>
        <v>-5.8831974953308941E-2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49083777</v>
      </c>
      <c r="D28" s="22">
        <v>47693344</v>
      </c>
      <c r="E28" s="22">
        <f>D28-C28</f>
        <v>-1390433</v>
      </c>
      <c r="F28" s="306">
        <f>IF(C28=0,0,E28/C28)</f>
        <v>-2.8327750735237835E-2</v>
      </c>
    </row>
    <row r="29" spans="1:11" ht="35.1" customHeight="1" x14ac:dyDescent="0.25">
      <c r="A29" s="307"/>
      <c r="B29" s="308" t="s">
        <v>32</v>
      </c>
      <c r="C29" s="309">
        <f>SUM(C25:C28)</f>
        <v>66064543</v>
      </c>
      <c r="D29" s="309">
        <f>SUM(D25:D28)</f>
        <v>63675098</v>
      </c>
      <c r="E29" s="309">
        <f>D29-C29</f>
        <v>-2389445</v>
      </c>
      <c r="F29" s="310">
        <f>IF(C29=0,0,E29/C29)</f>
        <v>-3.6168342222544399E-2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24413166</v>
      </c>
      <c r="D32" s="22">
        <v>25309242</v>
      </c>
      <c r="E32" s="22">
        <f>D32-C32</f>
        <v>896076</v>
      </c>
      <c r="F32" s="306">
        <f>IF(C32=0,0,E32/C32)</f>
        <v>3.6704620777165894E-2</v>
      </c>
    </row>
    <row r="33" spans="1:8" ht="24" customHeight="1" x14ac:dyDescent="0.2">
      <c r="A33" s="304">
        <v>7</v>
      </c>
      <c r="B33" s="305" t="s">
        <v>35</v>
      </c>
      <c r="C33" s="22">
        <v>10310026</v>
      </c>
      <c r="D33" s="22">
        <v>8567926</v>
      </c>
      <c r="E33" s="22">
        <f>D33-C33</f>
        <v>-1742100</v>
      </c>
      <c r="F33" s="306">
        <f>IF(C33=0,0,E33/C33)</f>
        <v>-0.16897144585280385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309457919</v>
      </c>
      <c r="D36" s="22">
        <v>316413058</v>
      </c>
      <c r="E36" s="22">
        <f>D36-C36</f>
        <v>6955139</v>
      </c>
      <c r="F36" s="306">
        <f>IF(C36=0,0,E36/C36)</f>
        <v>2.247523353894201E-2</v>
      </c>
    </row>
    <row r="37" spans="1:8" ht="24" customHeight="1" x14ac:dyDescent="0.2">
      <c r="A37" s="304">
        <v>2</v>
      </c>
      <c r="B37" s="305" t="s">
        <v>39</v>
      </c>
      <c r="C37" s="22">
        <v>218033560</v>
      </c>
      <c r="D37" s="22">
        <v>229410757</v>
      </c>
      <c r="E37" s="22">
        <f>D37-C37</f>
        <v>11377197</v>
      </c>
      <c r="F37" s="22">
        <f>IF(C37=0,0,E37/C37)</f>
        <v>5.2180944071178764E-2</v>
      </c>
    </row>
    <row r="38" spans="1:8" ht="24" customHeight="1" x14ac:dyDescent="0.25">
      <c r="A38" s="307"/>
      <c r="B38" s="308" t="s">
        <v>40</v>
      </c>
      <c r="C38" s="309">
        <f>C36-C37</f>
        <v>91424359</v>
      </c>
      <c r="D38" s="309">
        <f>D36-D37</f>
        <v>87002301</v>
      </c>
      <c r="E38" s="309">
        <f>D38-C38</f>
        <v>-4422058</v>
      </c>
      <c r="F38" s="310">
        <f>IF(C38=0,0,E38/C38)</f>
        <v>-4.8368487877503197E-2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2641200</v>
      </c>
      <c r="D40" s="22">
        <v>1273117</v>
      </c>
      <c r="E40" s="22">
        <f>D40-C40</f>
        <v>-1368083</v>
      </c>
      <c r="F40" s="306">
        <f>IF(C40=0,0,E40/C40)</f>
        <v>-0.5179778131152506</v>
      </c>
    </row>
    <row r="41" spans="1:8" ht="24" customHeight="1" x14ac:dyDescent="0.25">
      <c r="A41" s="307"/>
      <c r="B41" s="308" t="s">
        <v>42</v>
      </c>
      <c r="C41" s="309">
        <f>+C38+C40</f>
        <v>94065559</v>
      </c>
      <c r="D41" s="309">
        <f>+D38+D40</f>
        <v>88275418</v>
      </c>
      <c r="E41" s="309">
        <f>D41-C41</f>
        <v>-5790141</v>
      </c>
      <c r="F41" s="310">
        <f>IF(C41=0,0,E41/C41)</f>
        <v>-6.1554314475503198E-2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276087189</v>
      </c>
      <c r="D43" s="309">
        <f>D22+D29+D31+D32+D33+D41</f>
        <v>260599645</v>
      </c>
      <c r="E43" s="309">
        <f>D43-C43</f>
        <v>-15487544</v>
      </c>
      <c r="F43" s="310">
        <f>IF(C43=0,0,E43/C43)</f>
        <v>-5.6096568827030943E-2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30917763</v>
      </c>
      <c r="D49" s="22">
        <v>27642500</v>
      </c>
      <c r="E49" s="22">
        <f t="shared" ref="E49:E56" si="2">D49-C49</f>
        <v>-3275263</v>
      </c>
      <c r="F49" s="306">
        <f t="shared" ref="F49:F56" si="3">IF(C49=0,0,E49/C49)</f>
        <v>-0.10593466933555316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5046852</v>
      </c>
      <c r="D50" s="22">
        <v>5787051</v>
      </c>
      <c r="E50" s="22">
        <f t="shared" si="2"/>
        <v>740199</v>
      </c>
      <c r="F50" s="306">
        <f t="shared" si="3"/>
        <v>0.14666548573249225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5743160</v>
      </c>
      <c r="D51" s="22">
        <v>3124803</v>
      </c>
      <c r="E51" s="22">
        <f t="shared" si="2"/>
        <v>-2618357</v>
      </c>
      <c r="F51" s="306">
        <f t="shared" si="3"/>
        <v>-0.45590876799531965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2523279</v>
      </c>
      <c r="D53" s="22">
        <v>2562000</v>
      </c>
      <c r="E53" s="22">
        <f t="shared" si="2"/>
        <v>38721</v>
      </c>
      <c r="F53" s="306">
        <f t="shared" si="3"/>
        <v>1.5345508760624568E-2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9541203</v>
      </c>
      <c r="D54" s="22">
        <v>8256708</v>
      </c>
      <c r="E54" s="22">
        <f t="shared" si="2"/>
        <v>-1284495</v>
      </c>
      <c r="F54" s="306">
        <f t="shared" si="3"/>
        <v>-0.13462610532445438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7180735</v>
      </c>
      <c r="D55" s="22">
        <v>4324901</v>
      </c>
      <c r="E55" s="22">
        <f t="shared" si="2"/>
        <v>-2855834</v>
      </c>
      <c r="F55" s="306">
        <f t="shared" si="3"/>
        <v>-0.39770775554313031</v>
      </c>
    </row>
    <row r="56" spans="1:6" ht="24" customHeight="1" x14ac:dyDescent="0.25">
      <c r="A56" s="307"/>
      <c r="B56" s="308" t="s">
        <v>54</v>
      </c>
      <c r="C56" s="309">
        <f>SUM(C49:C55)</f>
        <v>60952992</v>
      </c>
      <c r="D56" s="309">
        <f>SUM(D49:D55)</f>
        <v>51697963</v>
      </c>
      <c r="E56" s="309">
        <f t="shared" si="2"/>
        <v>-9255029</v>
      </c>
      <c r="F56" s="310">
        <f t="shared" si="3"/>
        <v>-0.1518387973473066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69571034</v>
      </c>
      <c r="D59" s="22">
        <v>66995612</v>
      </c>
      <c r="E59" s="22">
        <f>D59-C59</f>
        <v>-2575422</v>
      </c>
      <c r="F59" s="306">
        <f>IF(C59=0,0,E59/C59)</f>
        <v>-3.7018595986369841E-2</v>
      </c>
    </row>
    <row r="60" spans="1:6" ht="24" customHeight="1" x14ac:dyDescent="0.2">
      <c r="A60" s="304">
        <v>2</v>
      </c>
      <c r="B60" s="305" t="s">
        <v>57</v>
      </c>
      <c r="C60" s="22">
        <v>13024380</v>
      </c>
      <c r="D60" s="22">
        <v>13126634</v>
      </c>
      <c r="E60" s="22">
        <f>D60-C60</f>
        <v>102254</v>
      </c>
      <c r="F60" s="306">
        <f>IF(C60=0,0,E60/C60)</f>
        <v>7.8509687217356988E-3</v>
      </c>
    </row>
    <row r="61" spans="1:6" ht="24" customHeight="1" x14ac:dyDescent="0.25">
      <c r="A61" s="307"/>
      <c r="B61" s="308" t="s">
        <v>58</v>
      </c>
      <c r="C61" s="309">
        <f>SUM(C59:C60)</f>
        <v>82595414</v>
      </c>
      <c r="D61" s="309">
        <f>SUM(D59:D60)</f>
        <v>80122246</v>
      </c>
      <c r="E61" s="309">
        <f>D61-C61</f>
        <v>-2473168</v>
      </c>
      <c r="F61" s="310">
        <f>IF(C61=0,0,E61/C61)</f>
        <v>-2.9943163672501237E-2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44676486</v>
      </c>
      <c r="D63" s="22">
        <v>62407379</v>
      </c>
      <c r="E63" s="22">
        <f>D63-C63</f>
        <v>17730893</v>
      </c>
      <c r="F63" s="306">
        <f>IF(C63=0,0,E63/C63)</f>
        <v>0.39687304413332775</v>
      </c>
    </row>
    <row r="64" spans="1:6" ht="24" customHeight="1" x14ac:dyDescent="0.2">
      <c r="A64" s="304">
        <v>4</v>
      </c>
      <c r="B64" s="305" t="s">
        <v>60</v>
      </c>
      <c r="C64" s="22">
        <v>10168508</v>
      </c>
      <c r="D64" s="22">
        <v>7664508</v>
      </c>
      <c r="E64" s="22">
        <f>D64-C64</f>
        <v>-2504000</v>
      </c>
      <c r="F64" s="306">
        <f>IF(C64=0,0,E64/C64)</f>
        <v>-0.24625048237165176</v>
      </c>
    </row>
    <row r="65" spans="1:6" ht="24" customHeight="1" x14ac:dyDescent="0.25">
      <c r="A65" s="307"/>
      <c r="B65" s="308" t="s">
        <v>61</v>
      </c>
      <c r="C65" s="309">
        <f>SUM(C61:C64)</f>
        <v>137440408</v>
      </c>
      <c r="D65" s="309">
        <f>SUM(D61:D64)</f>
        <v>150194133</v>
      </c>
      <c r="E65" s="309">
        <f>D65-C65</f>
        <v>12753725</v>
      </c>
      <c r="F65" s="310">
        <f>IF(C65=0,0,E65/C65)</f>
        <v>9.279458047010454E-2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59544873</v>
      </c>
      <c r="D70" s="22">
        <v>42167565</v>
      </c>
      <c r="E70" s="22">
        <f>D70-C70</f>
        <v>-17377308</v>
      </c>
      <c r="F70" s="306">
        <f>IF(C70=0,0,E70/C70)</f>
        <v>-0.29183550362094146</v>
      </c>
    </row>
    <row r="71" spans="1:6" ht="24" customHeight="1" x14ac:dyDescent="0.2">
      <c r="A71" s="304">
        <v>2</v>
      </c>
      <c r="B71" s="305" t="s">
        <v>65</v>
      </c>
      <c r="C71" s="22">
        <v>2096313</v>
      </c>
      <c r="D71" s="22">
        <v>1486536</v>
      </c>
      <c r="E71" s="22">
        <f>D71-C71</f>
        <v>-609777</v>
      </c>
      <c r="F71" s="306">
        <f>IF(C71=0,0,E71/C71)</f>
        <v>-0.29088070340640926</v>
      </c>
    </row>
    <row r="72" spans="1:6" ht="24" customHeight="1" x14ac:dyDescent="0.2">
      <c r="A72" s="304">
        <v>3</v>
      </c>
      <c r="B72" s="305" t="s">
        <v>66</v>
      </c>
      <c r="C72" s="22">
        <v>16052603</v>
      </c>
      <c r="D72" s="22">
        <v>15053448</v>
      </c>
      <c r="E72" s="22">
        <f>D72-C72</f>
        <v>-999155</v>
      </c>
      <c r="F72" s="306">
        <f>IF(C72=0,0,E72/C72)</f>
        <v>-6.2242553435103327E-2</v>
      </c>
    </row>
    <row r="73" spans="1:6" ht="24" customHeight="1" x14ac:dyDescent="0.25">
      <c r="A73" s="304"/>
      <c r="B73" s="308" t="s">
        <v>67</v>
      </c>
      <c r="C73" s="309">
        <f>SUM(C70:C72)</f>
        <v>77693789</v>
      </c>
      <c r="D73" s="309">
        <f>SUM(D70:D72)</f>
        <v>58707549</v>
      </c>
      <c r="E73" s="309">
        <f>D73-C73</f>
        <v>-18986240</v>
      </c>
      <c r="F73" s="310">
        <f>IF(C73=0,0,E73/C73)</f>
        <v>-0.24437268724273442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276087189</v>
      </c>
      <c r="D75" s="309">
        <f>D56+D65+D67+D73</f>
        <v>260599645</v>
      </c>
      <c r="E75" s="309">
        <f>D75-C75</f>
        <v>-15487544</v>
      </c>
      <c r="F75" s="310">
        <f>IF(C75=0,0,E75/C75)</f>
        <v>-5.6096568827030943E-2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scale="70" fitToHeight="0" orientation="portrait" horizontalDpi="1200" verticalDpi="1200" r:id="rId1"/>
  <headerFooter>
    <oddHeader>&amp;LOFFICE OF HEALTH CARE ACCESS&amp;CTWELVE MONTHS ACTUAL FILING&amp;REASTERN CT HEALTH NETWORK , INC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925914801</v>
      </c>
      <c r="D11" s="76">
        <v>919633538</v>
      </c>
      <c r="E11" s="76">
        <f t="shared" ref="E11:E20" si="0">D11-C11</f>
        <v>-6281263</v>
      </c>
      <c r="F11" s="77">
        <f t="shared" ref="F11:F20" si="1">IF(C11=0,0,E11/C11)</f>
        <v>-6.7838455473615443E-3</v>
      </c>
    </row>
    <row r="12" spans="1:7" ht="23.1" customHeight="1" x14ac:dyDescent="0.2">
      <c r="A12" s="74">
        <v>2</v>
      </c>
      <c r="B12" s="75" t="s">
        <v>72</v>
      </c>
      <c r="C12" s="76">
        <v>612343685</v>
      </c>
      <c r="D12" s="76">
        <v>609939044</v>
      </c>
      <c r="E12" s="76">
        <f t="shared" si="0"/>
        <v>-2404641</v>
      </c>
      <c r="F12" s="77">
        <f t="shared" si="1"/>
        <v>-3.9269466786450158E-3</v>
      </c>
    </row>
    <row r="13" spans="1:7" ht="23.1" customHeight="1" x14ac:dyDescent="0.2">
      <c r="A13" s="74">
        <v>3</v>
      </c>
      <c r="B13" s="75" t="s">
        <v>73</v>
      </c>
      <c r="C13" s="76">
        <v>3599806</v>
      </c>
      <c r="D13" s="76">
        <v>1650100</v>
      </c>
      <c r="E13" s="76">
        <f t="shared" si="0"/>
        <v>-1949706</v>
      </c>
      <c r="F13" s="77">
        <f t="shared" si="1"/>
        <v>-0.54161418698674313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309971310</v>
      </c>
      <c r="D15" s="79">
        <f>D11-D12-D13-D14</f>
        <v>308044394</v>
      </c>
      <c r="E15" s="79">
        <f t="shared" si="0"/>
        <v>-1926916</v>
      </c>
      <c r="F15" s="80">
        <f t="shared" si="1"/>
        <v>-6.2164333853994419E-3</v>
      </c>
    </row>
    <row r="16" spans="1:7" ht="23.1" customHeight="1" x14ac:dyDescent="0.2">
      <c r="A16" s="74">
        <v>5</v>
      </c>
      <c r="B16" s="75" t="s">
        <v>76</v>
      </c>
      <c r="C16" s="76">
        <v>10216094</v>
      </c>
      <c r="D16" s="76">
        <v>10899289</v>
      </c>
      <c r="E16" s="76">
        <f t="shared" si="0"/>
        <v>683195</v>
      </c>
      <c r="F16" s="77">
        <f t="shared" si="1"/>
        <v>6.6874384671871651E-2</v>
      </c>
      <c r="G16" s="65"/>
    </row>
    <row r="17" spans="1:7" ht="31.5" customHeight="1" x14ac:dyDescent="0.25">
      <c r="A17" s="71"/>
      <c r="B17" s="81" t="s">
        <v>77</v>
      </c>
      <c r="C17" s="79">
        <f>C15-C16</f>
        <v>299755216</v>
      </c>
      <c r="D17" s="79">
        <f>D15-D16</f>
        <v>297145105</v>
      </c>
      <c r="E17" s="79">
        <f t="shared" si="0"/>
        <v>-2610111</v>
      </c>
      <c r="F17" s="80">
        <f t="shared" si="1"/>
        <v>-8.7074748350667568E-3</v>
      </c>
    </row>
    <row r="18" spans="1:7" ht="23.1" customHeight="1" x14ac:dyDescent="0.2">
      <c r="A18" s="74">
        <v>6</v>
      </c>
      <c r="B18" s="75" t="s">
        <v>78</v>
      </c>
      <c r="C18" s="76">
        <v>28166459</v>
      </c>
      <c r="D18" s="76">
        <v>17589913</v>
      </c>
      <c r="E18" s="76">
        <f t="shared" si="0"/>
        <v>-10576546</v>
      </c>
      <c r="F18" s="77">
        <f t="shared" si="1"/>
        <v>-0.37550144304614225</v>
      </c>
      <c r="G18" s="65"/>
    </row>
    <row r="19" spans="1:7" ht="33" customHeight="1" x14ac:dyDescent="0.2">
      <c r="A19" s="74">
        <v>7</v>
      </c>
      <c r="B19" s="82" t="s">
        <v>79</v>
      </c>
      <c r="C19" s="76">
        <v>833650</v>
      </c>
      <c r="D19" s="76">
        <v>832608</v>
      </c>
      <c r="E19" s="76">
        <f t="shared" si="0"/>
        <v>-1042</v>
      </c>
      <c r="F19" s="77">
        <f t="shared" si="1"/>
        <v>-1.2499250284891742E-3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328755325</v>
      </c>
      <c r="D20" s="79">
        <f>SUM(D17:D19)</f>
        <v>315567626</v>
      </c>
      <c r="E20" s="79">
        <f t="shared" si="0"/>
        <v>-13187699</v>
      </c>
      <c r="F20" s="80">
        <f t="shared" si="1"/>
        <v>-4.0114024008584499E-2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162727445</v>
      </c>
      <c r="D23" s="76">
        <v>156774464</v>
      </c>
      <c r="E23" s="76">
        <f t="shared" ref="E23:E32" si="2">D23-C23</f>
        <v>-5952981</v>
      </c>
      <c r="F23" s="77">
        <f t="shared" ref="F23:F32" si="3">IF(C23=0,0,E23/C23)</f>
        <v>-3.6582526076040831E-2</v>
      </c>
    </row>
    <row r="24" spans="1:7" ht="23.1" customHeight="1" x14ac:dyDescent="0.2">
      <c r="A24" s="74">
        <v>2</v>
      </c>
      <c r="B24" s="75" t="s">
        <v>83</v>
      </c>
      <c r="C24" s="76">
        <v>43859398</v>
      </c>
      <c r="D24" s="76">
        <v>44024084</v>
      </c>
      <c r="E24" s="76">
        <f t="shared" si="2"/>
        <v>164686</v>
      </c>
      <c r="F24" s="77">
        <f t="shared" si="3"/>
        <v>3.7548622988395784E-3</v>
      </c>
    </row>
    <row r="25" spans="1:7" ht="23.1" customHeight="1" x14ac:dyDescent="0.2">
      <c r="A25" s="74">
        <v>3</v>
      </c>
      <c r="B25" s="75" t="s">
        <v>84</v>
      </c>
      <c r="C25" s="76">
        <v>14478331</v>
      </c>
      <c r="D25" s="76">
        <v>15492872</v>
      </c>
      <c r="E25" s="76">
        <f t="shared" si="2"/>
        <v>1014541</v>
      </c>
      <c r="F25" s="77">
        <f t="shared" si="3"/>
        <v>7.0073062979427669E-2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34194649</v>
      </c>
      <c r="D26" s="76">
        <v>34144873</v>
      </c>
      <c r="E26" s="76">
        <f t="shared" si="2"/>
        <v>-49776</v>
      </c>
      <c r="F26" s="77">
        <f t="shared" si="3"/>
        <v>-1.455666352943117E-3</v>
      </c>
    </row>
    <row r="27" spans="1:7" ht="23.1" customHeight="1" x14ac:dyDescent="0.2">
      <c r="A27" s="74">
        <v>5</v>
      </c>
      <c r="B27" s="75" t="s">
        <v>86</v>
      </c>
      <c r="C27" s="76">
        <v>12196877</v>
      </c>
      <c r="D27" s="76">
        <v>11920720</v>
      </c>
      <c r="E27" s="76">
        <f t="shared" si="2"/>
        <v>-276157</v>
      </c>
      <c r="F27" s="77">
        <f t="shared" si="3"/>
        <v>-2.2641615554539085E-2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3764488</v>
      </c>
      <c r="D29" s="76">
        <v>3445934</v>
      </c>
      <c r="E29" s="76">
        <f t="shared" si="2"/>
        <v>-318554</v>
      </c>
      <c r="F29" s="77">
        <f t="shared" si="3"/>
        <v>-8.4620803679012924E-2</v>
      </c>
    </row>
    <row r="30" spans="1:7" ht="23.1" customHeight="1" x14ac:dyDescent="0.2">
      <c r="A30" s="74">
        <v>8</v>
      </c>
      <c r="B30" s="75" t="s">
        <v>89</v>
      </c>
      <c r="C30" s="76">
        <v>3807147</v>
      </c>
      <c r="D30" s="76">
        <v>3396254</v>
      </c>
      <c r="E30" s="76">
        <f t="shared" si="2"/>
        <v>-410893</v>
      </c>
      <c r="F30" s="77">
        <f t="shared" si="3"/>
        <v>-0.10792674934800259</v>
      </c>
    </row>
    <row r="31" spans="1:7" ht="23.1" customHeight="1" x14ac:dyDescent="0.2">
      <c r="A31" s="74">
        <v>9</v>
      </c>
      <c r="B31" s="75" t="s">
        <v>90</v>
      </c>
      <c r="C31" s="76">
        <v>51554269</v>
      </c>
      <c r="D31" s="76">
        <v>46648875</v>
      </c>
      <c r="E31" s="76">
        <f t="shared" si="2"/>
        <v>-4905394</v>
      </c>
      <c r="F31" s="77">
        <f t="shared" si="3"/>
        <v>-9.5150102894485805E-2</v>
      </c>
    </row>
    <row r="32" spans="1:7" ht="23.1" customHeight="1" x14ac:dyDescent="0.25">
      <c r="A32" s="71"/>
      <c r="B32" s="78" t="s">
        <v>91</v>
      </c>
      <c r="C32" s="79">
        <f>SUM(C23:C31)</f>
        <v>326582604</v>
      </c>
      <c r="D32" s="79">
        <f>SUM(D23:D31)</f>
        <v>315848076</v>
      </c>
      <c r="E32" s="79">
        <f t="shared" si="2"/>
        <v>-10734528</v>
      </c>
      <c r="F32" s="80">
        <f t="shared" si="3"/>
        <v>-3.2869258400548489E-2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2172721</v>
      </c>
      <c r="D34" s="79">
        <f>+D20-D32</f>
        <v>-280450</v>
      </c>
      <c r="E34" s="79">
        <f>D34-C34</f>
        <v>-2453171</v>
      </c>
      <c r="F34" s="80">
        <f>IF(C34=0,0,E34/C34)</f>
        <v>-1.1290777785090678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645</v>
      </c>
      <c r="D37" s="76">
        <v>0</v>
      </c>
      <c r="E37" s="76">
        <f>D37-C37</f>
        <v>-645</v>
      </c>
      <c r="F37" s="77">
        <f>IF(C37=0,0,E37/C37)</f>
        <v>-1</v>
      </c>
    </row>
    <row r="38" spans="1:6" ht="23.1" customHeight="1" x14ac:dyDescent="0.2">
      <c r="A38" s="85">
        <v>2</v>
      </c>
      <c r="B38" s="75" t="s">
        <v>95</v>
      </c>
      <c r="C38" s="76">
        <v>0</v>
      </c>
      <c r="D38" s="76">
        <v>0</v>
      </c>
      <c r="E38" s="76">
        <f>D38-C38</f>
        <v>0</v>
      </c>
      <c r="F38" s="77">
        <f>IF(C38=0,0,E38/C38)</f>
        <v>0</v>
      </c>
    </row>
    <row r="39" spans="1:6" ht="23.1" customHeight="1" x14ac:dyDescent="0.2">
      <c r="A39" s="85">
        <v>3</v>
      </c>
      <c r="B39" s="75" t="s">
        <v>96</v>
      </c>
      <c r="C39" s="76">
        <v>-2126396</v>
      </c>
      <c r="D39" s="76">
        <v>-2235410</v>
      </c>
      <c r="E39" s="76">
        <f>D39-C39</f>
        <v>-109014</v>
      </c>
      <c r="F39" s="77">
        <f>IF(C39=0,0,E39/C39)</f>
        <v>5.126702646167506E-2</v>
      </c>
    </row>
    <row r="40" spans="1:6" ht="23.1" customHeight="1" x14ac:dyDescent="0.25">
      <c r="A40" s="83"/>
      <c r="B40" s="78" t="s">
        <v>97</v>
      </c>
      <c r="C40" s="79">
        <f>SUM(C37:C39)</f>
        <v>-2125751</v>
      </c>
      <c r="D40" s="79">
        <f>SUM(D37:D39)</f>
        <v>-2235410</v>
      </c>
      <c r="E40" s="79">
        <f>D40-C40</f>
        <v>-109659</v>
      </c>
      <c r="F40" s="80">
        <f>IF(C40=0,0,E40/C40)</f>
        <v>5.1586004193341556E-2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46970</v>
      </c>
      <c r="D42" s="79">
        <f>D34+D40</f>
        <v>-2515860</v>
      </c>
      <c r="E42" s="79">
        <f>D42-C42</f>
        <v>-2562830</v>
      </c>
      <c r="F42" s="80">
        <f>IF(C42=0,0,E42/C42)</f>
        <v>-54.563125399190973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0</v>
      </c>
      <c r="D47" s="79">
        <f>SUM(D45:D46)</f>
        <v>0</v>
      </c>
      <c r="E47" s="79">
        <f>D47-C47</f>
        <v>0</v>
      </c>
      <c r="F47" s="80">
        <f>IF(C47=0,0,E47/C47)</f>
        <v>0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46970</v>
      </c>
      <c r="D49" s="79">
        <f>D42+D47</f>
        <v>-2515860</v>
      </c>
      <c r="E49" s="79">
        <f>D49-C49</f>
        <v>-2562830</v>
      </c>
      <c r="F49" s="80">
        <f>IF(C49=0,0,E49/C49)</f>
        <v>-54.563125399190973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scale="76" fitToHeight="0" orientation="portrait" horizontalDpi="1200" verticalDpi="1200" r:id="rId1"/>
  <headerFooter>
    <oddHeader>&amp;L&amp;8OFFICE OF HEALTH CARE ACCESS&amp;C&amp;8TWELVE MONTHS ACTUAL FILING&amp;R&amp;8EASTERN CT HEALTH NETWORK , INC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Foster, Tillman</cp:lastModifiedBy>
  <cp:lastPrinted>2016-07-21T17:04:04Z</cp:lastPrinted>
  <dcterms:created xsi:type="dcterms:W3CDTF">2016-07-21T16:57:47Z</dcterms:created>
  <dcterms:modified xsi:type="dcterms:W3CDTF">2016-07-27T14:54:27Z</dcterms:modified>
</cp:coreProperties>
</file>