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5AR12M\Excel downloads\"/>
    </mc:Choice>
  </mc:AlternateContent>
  <bookViews>
    <workbookView xWindow="0" yWindow="0" windowWidth="28800" windowHeight="142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D86" i="22"/>
  <c r="D88" i="22"/>
  <c r="C86" i="22"/>
  <c r="C88" i="22"/>
  <c r="E83" i="22"/>
  <c r="D83" i="22"/>
  <c r="C83" i="22"/>
  <c r="C101" i="22"/>
  <c r="E76" i="22"/>
  <c r="D76" i="22"/>
  <c r="C76" i="22"/>
  <c r="E75" i="22"/>
  <c r="E77" i="22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D21" i="21"/>
  <c r="C21" i="21"/>
  <c r="D19" i="21"/>
  <c r="C19" i="21"/>
  <c r="F17" i="21"/>
  <c r="E17" i="21"/>
  <c r="E15" i="21"/>
  <c r="F15" i="21"/>
  <c r="D45" i="20"/>
  <c r="E45" i="20"/>
  <c r="F45" i="20"/>
  <c r="C45" i="20"/>
  <c r="D44" i="20"/>
  <c r="C44" i="20"/>
  <c r="D43" i="20"/>
  <c r="D46" i="20"/>
  <c r="C43" i="20"/>
  <c r="C46" i="20"/>
  <c r="D36" i="20"/>
  <c r="D40" i="20"/>
  <c r="C36" i="20"/>
  <c r="E35" i="20"/>
  <c r="F35" i="20"/>
  <c r="F34" i="20"/>
  <c r="E34" i="20"/>
  <c r="E33" i="20"/>
  <c r="F33" i="20"/>
  <c r="E30" i="20"/>
  <c r="F30" i="20"/>
  <c r="E29" i="20"/>
  <c r="F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E22" i="20"/>
  <c r="F22" i="20"/>
  <c r="E25" i="20"/>
  <c r="F25" i="20"/>
  <c r="D19" i="20"/>
  <c r="D20" i="20"/>
  <c r="E20" i="20"/>
  <c r="C19" i="20"/>
  <c r="C20" i="20"/>
  <c r="F18" i="20"/>
  <c r="E18" i="20"/>
  <c r="D16" i="20"/>
  <c r="C16" i="20"/>
  <c r="F15" i="20"/>
  <c r="E15" i="20"/>
  <c r="E13" i="20"/>
  <c r="F13" i="20"/>
  <c r="F12" i="20"/>
  <c r="E12" i="20"/>
  <c r="C143" i="19"/>
  <c r="C115" i="19"/>
  <c r="C105" i="19"/>
  <c r="C137" i="19"/>
  <c r="C139" i="19"/>
  <c r="C96" i="19"/>
  <c r="C95" i="19"/>
  <c r="C89" i="19"/>
  <c r="C88" i="19"/>
  <c r="C83" i="19"/>
  <c r="C77" i="19"/>
  <c r="C78" i="19"/>
  <c r="C63" i="19"/>
  <c r="C59" i="19"/>
  <c r="C60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C293" i="18"/>
  <c r="D292" i="18"/>
  <c r="E292" i="18"/>
  <c r="C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D281" i="18"/>
  <c r="E281" i="18"/>
  <c r="C281" i="18"/>
  <c r="D280" i="18"/>
  <c r="C280" i="18"/>
  <c r="E280" i="18"/>
  <c r="D279" i="18"/>
  <c r="C279" i="18"/>
  <c r="D278" i="18"/>
  <c r="E278" i="18"/>
  <c r="C278" i="18"/>
  <c r="D277" i="18"/>
  <c r="C277" i="18"/>
  <c r="E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E251" i="18"/>
  <c r="C251" i="18"/>
  <c r="D233" i="18"/>
  <c r="C233" i="18"/>
  <c r="D232" i="18"/>
  <c r="C232" i="18"/>
  <c r="E232" i="18"/>
  <c r="D231" i="18"/>
  <c r="E231" i="18"/>
  <c r="C231" i="18"/>
  <c r="D230" i="18"/>
  <c r="E230" i="18"/>
  <c r="C230" i="18"/>
  <c r="D228" i="18"/>
  <c r="C228" i="18"/>
  <c r="D227" i="18"/>
  <c r="C227" i="18"/>
  <c r="E227" i="18"/>
  <c r="D221" i="18"/>
  <c r="D245" i="18"/>
  <c r="C221" i="18"/>
  <c r="C245" i="18"/>
  <c r="E245" i="18"/>
  <c r="D220" i="18"/>
  <c r="D244" i="18"/>
  <c r="C220" i="18"/>
  <c r="C244" i="18"/>
  <c r="D219" i="18"/>
  <c r="D243" i="18"/>
  <c r="C219" i="18"/>
  <c r="C243" i="18"/>
  <c r="D218" i="18"/>
  <c r="C218" i="18"/>
  <c r="C242" i="18"/>
  <c r="D216" i="18"/>
  <c r="D240" i="18"/>
  <c r="E240" i="18"/>
  <c r="C216" i="18"/>
  <c r="C240" i="18"/>
  <c r="D215" i="18"/>
  <c r="D239" i="18"/>
  <c r="E239" i="18"/>
  <c r="C215" i="18"/>
  <c r="C239" i="18"/>
  <c r="E209" i="18"/>
  <c r="E208" i="18"/>
  <c r="E207" i="18"/>
  <c r="E206" i="18"/>
  <c r="D205" i="18"/>
  <c r="C205" i="18"/>
  <c r="E204" i="18"/>
  <c r="E203" i="18"/>
  <c r="E197" i="18"/>
  <c r="E196" i="18"/>
  <c r="D195" i="18"/>
  <c r="C195" i="18"/>
  <c r="E194" i="18"/>
  <c r="E193" i="18"/>
  <c r="E192" i="18"/>
  <c r="E191" i="18"/>
  <c r="E190" i="18"/>
  <c r="D188" i="18"/>
  <c r="C188" i="18"/>
  <c r="E186" i="18"/>
  <c r="E185" i="18"/>
  <c r="D179" i="18"/>
  <c r="C179" i="18"/>
  <c r="E179" i="18"/>
  <c r="D178" i="18"/>
  <c r="C178" i="18"/>
  <c r="D177" i="18"/>
  <c r="C177" i="18"/>
  <c r="D176" i="18"/>
  <c r="C176" i="18"/>
  <c r="E176" i="18"/>
  <c r="D174" i="18"/>
  <c r="C174" i="18"/>
  <c r="E174" i="18"/>
  <c r="D173" i="18"/>
  <c r="E173" i="18"/>
  <c r="C173" i="18"/>
  <c r="D167" i="18"/>
  <c r="E167" i="18"/>
  <c r="C167" i="18"/>
  <c r="D166" i="18"/>
  <c r="E166" i="18"/>
  <c r="C166" i="18"/>
  <c r="D165" i="18"/>
  <c r="C165" i="18"/>
  <c r="D164" i="18"/>
  <c r="E164" i="18"/>
  <c r="C164" i="18"/>
  <c r="D162" i="18"/>
  <c r="E162" i="18"/>
  <c r="C162" i="18"/>
  <c r="D161" i="18"/>
  <c r="C161" i="18"/>
  <c r="E161" i="18"/>
  <c r="E155" i="18"/>
  <c r="E154" i="18"/>
  <c r="E153" i="18"/>
  <c r="E152" i="18"/>
  <c r="D151" i="18"/>
  <c r="C151" i="18"/>
  <c r="E150" i="18"/>
  <c r="E149" i="18"/>
  <c r="E143" i="18"/>
  <c r="E142" i="18"/>
  <c r="E141" i="18"/>
  <c r="E140" i="18"/>
  <c r="D139" i="18"/>
  <c r="C139" i="18"/>
  <c r="E138" i="18"/>
  <c r="E137" i="18"/>
  <c r="D75" i="18"/>
  <c r="C75" i="18"/>
  <c r="D74" i="18"/>
  <c r="E74" i="18"/>
  <c r="C74" i="18"/>
  <c r="D73" i="18"/>
  <c r="C73" i="18"/>
  <c r="E73" i="18"/>
  <c r="D72" i="18"/>
  <c r="C72" i="18"/>
  <c r="C71" i="18"/>
  <c r="D70" i="18"/>
  <c r="C70" i="18"/>
  <c r="D69" i="18"/>
  <c r="C69" i="18"/>
  <c r="C65" i="18"/>
  <c r="C66" i="18"/>
  <c r="E64" i="18"/>
  <c r="E63" i="18"/>
  <c r="E62" i="18"/>
  <c r="E61" i="18"/>
  <c r="D60" i="18"/>
  <c r="C60" i="18"/>
  <c r="C289" i="18"/>
  <c r="E59" i="18"/>
  <c r="E58" i="18"/>
  <c r="C55" i="18"/>
  <c r="D54" i="18"/>
  <c r="D55" i="18"/>
  <c r="E55" i="18"/>
  <c r="C54" i="18"/>
  <c r="E53" i="18"/>
  <c r="E52" i="18"/>
  <c r="E51" i="18"/>
  <c r="E50" i="18"/>
  <c r="E49" i="18"/>
  <c r="E48" i="18"/>
  <c r="E47" i="18"/>
  <c r="D42" i="18"/>
  <c r="E42" i="18"/>
  <c r="C42" i="18"/>
  <c r="D41" i="18"/>
  <c r="E41" i="18"/>
  <c r="C41" i="18"/>
  <c r="D40" i="18"/>
  <c r="E40" i="18"/>
  <c r="C40" i="18"/>
  <c r="D39" i="18"/>
  <c r="C39" i="18"/>
  <c r="D38" i="18"/>
  <c r="E38" i="18"/>
  <c r="C38" i="18"/>
  <c r="D37" i="18"/>
  <c r="D43" i="18"/>
  <c r="C37" i="18"/>
  <c r="C43" i="18"/>
  <c r="D36" i="18"/>
  <c r="D44" i="18"/>
  <c r="C36" i="18"/>
  <c r="D32" i="18"/>
  <c r="D33" i="18"/>
  <c r="C32" i="18"/>
  <c r="E31" i="18"/>
  <c r="E30" i="18"/>
  <c r="E29" i="18"/>
  <c r="E28" i="18"/>
  <c r="E27" i="18"/>
  <c r="E26" i="18"/>
  <c r="E25" i="18"/>
  <c r="D21" i="18"/>
  <c r="D22" i="18"/>
  <c r="C21" i="18"/>
  <c r="C283" i="18"/>
  <c r="E20" i="18"/>
  <c r="E19" i="18"/>
  <c r="E18" i="18"/>
  <c r="E17" i="18"/>
  <c r="E16" i="18"/>
  <c r="E15" i="18"/>
  <c r="E14" i="18"/>
  <c r="E335" i="17"/>
  <c r="F335" i="17"/>
  <c r="F334" i="17"/>
  <c r="E334" i="17"/>
  <c r="F333" i="17"/>
  <c r="E333" i="17"/>
  <c r="F332" i="17"/>
  <c r="E332" i="17"/>
  <c r="E331" i="17"/>
  <c r="F331" i="17"/>
  <c r="E330" i="17"/>
  <c r="F330" i="17"/>
  <c r="F329" i="17"/>
  <c r="E329" i="17"/>
  <c r="F316" i="17"/>
  <c r="E316" i="17"/>
  <c r="D311" i="17"/>
  <c r="E311" i="17"/>
  <c r="C311" i="17"/>
  <c r="F311" i="17"/>
  <c r="F308" i="17"/>
  <c r="E308" i="17"/>
  <c r="D307" i="17"/>
  <c r="E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C239" i="17"/>
  <c r="E239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3" i="17"/>
  <c r="F223" i="17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D191" i="17"/>
  <c r="D280" i="17"/>
  <c r="C191" i="17"/>
  <c r="C280" i="17"/>
  <c r="D189" i="17"/>
  <c r="D278" i="17"/>
  <c r="C189" i="17"/>
  <c r="C278" i="17"/>
  <c r="E278" i="17"/>
  <c r="D188" i="17"/>
  <c r="D277" i="17"/>
  <c r="C188" i="17"/>
  <c r="D180" i="17"/>
  <c r="C180" i="17"/>
  <c r="F180" i="17"/>
  <c r="D179" i="17"/>
  <c r="D181" i="17"/>
  <c r="C179" i="17"/>
  <c r="F179" i="17"/>
  <c r="D171" i="17"/>
  <c r="D172" i="17"/>
  <c r="D173" i="17"/>
  <c r="C171" i="17"/>
  <c r="F171" i="17"/>
  <c r="D170" i="17"/>
  <c r="C170" i="17"/>
  <c r="F170" i="17"/>
  <c r="F169" i="17"/>
  <c r="E169" i="17"/>
  <c r="F168" i="17"/>
  <c r="E168" i="17"/>
  <c r="F165" i="17"/>
  <c r="D165" i="17"/>
  <c r="C165" i="17"/>
  <c r="D164" i="17"/>
  <c r="C164" i="17"/>
  <c r="F163" i="17"/>
  <c r="E163" i="17"/>
  <c r="D158" i="17"/>
  <c r="D159" i="17"/>
  <c r="C158" i="17"/>
  <c r="F158" i="17"/>
  <c r="C159" i="17"/>
  <c r="F159" i="17"/>
  <c r="F157" i="17"/>
  <c r="E157" i="17"/>
  <c r="F156" i="17"/>
  <c r="E156" i="17"/>
  <c r="D155" i="17"/>
  <c r="C155" i="17"/>
  <c r="F154" i="17"/>
  <c r="E154" i="17"/>
  <c r="F153" i="17"/>
  <c r="E153" i="17"/>
  <c r="D145" i="17"/>
  <c r="E145" i="17"/>
  <c r="F145" i="17"/>
  <c r="C145" i="17"/>
  <c r="D144" i="17"/>
  <c r="D146" i="17"/>
  <c r="E146" i="17"/>
  <c r="F146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E129" i="17"/>
  <c r="F129" i="17"/>
  <c r="C129" i="17"/>
  <c r="E128" i="17"/>
  <c r="F128" i="17"/>
  <c r="D123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E110" i="17"/>
  <c r="C110" i="17"/>
  <c r="D109" i="17"/>
  <c r="D111" i="17"/>
  <c r="C109" i="17"/>
  <c r="C111" i="17"/>
  <c r="E111" i="17"/>
  <c r="F111" i="17"/>
  <c r="D101" i="17"/>
  <c r="D102" i="17"/>
  <c r="C101" i="17"/>
  <c r="C102" i="17"/>
  <c r="D100" i="17"/>
  <c r="E100" i="17"/>
  <c r="F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E85" i="17"/>
  <c r="F85" i="17"/>
  <c r="C85" i="17"/>
  <c r="E84" i="17"/>
  <c r="F84" i="17"/>
  <c r="E83" i="17"/>
  <c r="F83" i="17"/>
  <c r="D76" i="17"/>
  <c r="D77" i="17"/>
  <c r="C76" i="17"/>
  <c r="E74" i="17"/>
  <c r="F74" i="17"/>
  <c r="E73" i="17"/>
  <c r="F73" i="17"/>
  <c r="D67" i="17"/>
  <c r="C67" i="17"/>
  <c r="D66" i="17"/>
  <c r="D68" i="17"/>
  <c r="C66" i="17"/>
  <c r="D59" i="17"/>
  <c r="D60" i="17"/>
  <c r="C59" i="17"/>
  <c r="C60" i="17"/>
  <c r="D58" i="17"/>
  <c r="C58" i="17"/>
  <c r="E57" i="17"/>
  <c r="F57" i="17"/>
  <c r="E56" i="17"/>
  <c r="F56" i="17"/>
  <c r="D53" i="17"/>
  <c r="E53" i="17"/>
  <c r="C53" i="17"/>
  <c r="D52" i="17"/>
  <c r="C52" i="17"/>
  <c r="E51" i="17"/>
  <c r="F51" i="17"/>
  <c r="D47" i="17"/>
  <c r="D48" i="17"/>
  <c r="C47" i="17"/>
  <c r="E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D37" i="17"/>
  <c r="C36" i="17"/>
  <c r="D35" i="17"/>
  <c r="C35" i="17"/>
  <c r="D30" i="17"/>
  <c r="D31" i="17"/>
  <c r="C30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D21" i="17"/>
  <c r="C20" i="17"/>
  <c r="E19" i="17"/>
  <c r="F19" i="17"/>
  <c r="E18" i="17"/>
  <c r="F18" i="17"/>
  <c r="D17" i="17"/>
  <c r="C17" i="17"/>
  <c r="E16" i="17"/>
  <c r="F16" i="17"/>
  <c r="E15" i="17"/>
  <c r="F15" i="17"/>
  <c r="D23" i="16"/>
  <c r="C23" i="16"/>
  <c r="F22" i="16"/>
  <c r="E22" i="16"/>
  <c r="D19" i="16"/>
  <c r="E19" i="16"/>
  <c r="F19" i="16"/>
  <c r="C19" i="16"/>
  <c r="F18" i="16"/>
  <c r="E18" i="16"/>
  <c r="F17" i="16"/>
  <c r="E17" i="16"/>
  <c r="D14" i="16"/>
  <c r="E14" i="16"/>
  <c r="F14" i="16"/>
  <c r="C14" i="16"/>
  <c r="E13" i="16"/>
  <c r="F13" i="16"/>
  <c r="F12" i="16"/>
  <c r="E12" i="16"/>
  <c r="D107" i="15"/>
  <c r="E107" i="15"/>
  <c r="F107" i="15"/>
  <c r="C107" i="15"/>
  <c r="E106" i="15"/>
  <c r="F106" i="15"/>
  <c r="F105" i="15"/>
  <c r="E105" i="15"/>
  <c r="E104" i="15"/>
  <c r="F104" i="15"/>
  <c r="D100" i="15"/>
  <c r="E100" i="15"/>
  <c r="C100" i="15"/>
  <c r="F99" i="15"/>
  <c r="E99" i="15"/>
  <c r="E98" i="15"/>
  <c r="F98" i="15"/>
  <c r="F97" i="15"/>
  <c r="E97" i="15"/>
  <c r="E96" i="15"/>
  <c r="F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E79" i="15"/>
  <c r="F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E68" i="15"/>
  <c r="F68" i="15"/>
  <c r="D65" i="15"/>
  <c r="E65" i="15"/>
  <c r="C65" i="15"/>
  <c r="F65" i="15"/>
  <c r="F64" i="15"/>
  <c r="E64" i="15"/>
  <c r="E63" i="15"/>
  <c r="F63" i="15"/>
  <c r="D60" i="15"/>
  <c r="C60" i="15"/>
  <c r="F59" i="15"/>
  <c r="E59" i="15"/>
  <c r="E60" i="15"/>
  <c r="F58" i="15"/>
  <c r="E58" i="15"/>
  <c r="F60" i="15"/>
  <c r="D55" i="15"/>
  <c r="C55" i="15"/>
  <c r="F54" i="15"/>
  <c r="E54" i="15"/>
  <c r="E53" i="15"/>
  <c r="F53" i="15"/>
  <c r="D50" i="15"/>
  <c r="E50" i="15"/>
  <c r="C50" i="15"/>
  <c r="F49" i="15"/>
  <c r="E49" i="15"/>
  <c r="E48" i="15"/>
  <c r="F48" i="15"/>
  <c r="D45" i="15"/>
  <c r="C45" i="15"/>
  <c r="F44" i="15"/>
  <c r="E44" i="15"/>
  <c r="F43" i="15"/>
  <c r="E43" i="15"/>
  <c r="D37" i="15"/>
  <c r="E37" i="15"/>
  <c r="C37" i="15"/>
  <c r="F37" i="15"/>
  <c r="F36" i="15"/>
  <c r="E36" i="15"/>
  <c r="F35" i="15"/>
  <c r="E35" i="15"/>
  <c r="F34" i="15"/>
  <c r="E34" i="15"/>
  <c r="F33" i="15"/>
  <c r="E33" i="15"/>
  <c r="D30" i="15"/>
  <c r="C30" i="15"/>
  <c r="F29" i="15"/>
  <c r="E29" i="15"/>
  <c r="F28" i="15"/>
  <c r="E28" i="15"/>
  <c r="F27" i="15"/>
  <c r="E27" i="15"/>
  <c r="F26" i="15"/>
  <c r="E26" i="15"/>
  <c r="D23" i="15"/>
  <c r="E23" i="15"/>
  <c r="C23" i="15"/>
  <c r="F23" i="15"/>
  <c r="F22" i="15"/>
  <c r="E22" i="15"/>
  <c r="E21" i="15"/>
  <c r="F21" i="15"/>
  <c r="F20" i="15"/>
  <c r="E20" i="15"/>
  <c r="F19" i="15"/>
  <c r="E19" i="15"/>
  <c r="D16" i="15"/>
  <c r="E16" i="15"/>
  <c r="C16" i="15"/>
  <c r="F15" i="15"/>
  <c r="E15" i="15"/>
  <c r="E14" i="15"/>
  <c r="F14" i="15"/>
  <c r="F13" i="15"/>
  <c r="E13" i="15"/>
  <c r="E12" i="15"/>
  <c r="F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E73" i="13"/>
  <c r="D73" i="13"/>
  <c r="D75" i="13"/>
  <c r="C73" i="13"/>
  <c r="C75" i="13"/>
  <c r="E71" i="13"/>
  <c r="D71" i="13"/>
  <c r="C71" i="13"/>
  <c r="E66" i="13"/>
  <c r="E65" i="13"/>
  <c r="D66" i="13"/>
  <c r="D65" i="13"/>
  <c r="C66" i="13"/>
  <c r="C65" i="13"/>
  <c r="E60" i="13"/>
  <c r="D60" i="13"/>
  <c r="C60" i="13"/>
  <c r="E61" i="13"/>
  <c r="C59" i="13"/>
  <c r="C61" i="13"/>
  <c r="C57" i="13"/>
  <c r="E58" i="13"/>
  <c r="D58" i="13"/>
  <c r="C58" i="13"/>
  <c r="E55" i="13"/>
  <c r="E50" i="13"/>
  <c r="D55" i="13"/>
  <c r="C55" i="13"/>
  <c r="E54" i="13"/>
  <c r="D54" i="13"/>
  <c r="D50" i="13"/>
  <c r="C54" i="13"/>
  <c r="E48" i="13"/>
  <c r="E42" i="13"/>
  <c r="E46" i="13"/>
  <c r="E59" i="13"/>
  <c r="D46" i="13"/>
  <c r="D59" i="13"/>
  <c r="D61" i="13"/>
  <c r="D57" i="13"/>
  <c r="C46" i="13"/>
  <c r="C48" i="13"/>
  <c r="C42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24" i="13"/>
  <c r="C15" i="13"/>
  <c r="C24" i="13"/>
  <c r="E13" i="13"/>
  <c r="E15" i="13"/>
  <c r="D13" i="13"/>
  <c r="D25" i="13"/>
  <c r="D27" i="13"/>
  <c r="C13" i="13"/>
  <c r="D47" i="12"/>
  <c r="C47" i="12"/>
  <c r="F47" i="12"/>
  <c r="F46" i="12"/>
  <c r="E46" i="12"/>
  <c r="F45" i="12"/>
  <c r="E45" i="12"/>
  <c r="D40" i="12"/>
  <c r="C40" i="12"/>
  <c r="E39" i="12"/>
  <c r="F39" i="12"/>
  <c r="F38" i="12"/>
  <c r="E38" i="12"/>
  <c r="F37" i="12"/>
  <c r="E37" i="12"/>
  <c r="D32" i="12"/>
  <c r="F32" i="12"/>
  <c r="C32" i="12"/>
  <c r="E32" i="12"/>
  <c r="E31" i="12"/>
  <c r="F31" i="12"/>
  <c r="E30" i="12"/>
  <c r="F30" i="12"/>
  <c r="E29" i="12"/>
  <c r="F29" i="12"/>
  <c r="F28" i="12"/>
  <c r="E28" i="12"/>
  <c r="E27" i="12"/>
  <c r="F27" i="12"/>
  <c r="F26" i="12"/>
  <c r="E26" i="12"/>
  <c r="E25" i="12"/>
  <c r="F25" i="12"/>
  <c r="F24" i="12"/>
  <c r="E24" i="12"/>
  <c r="E23" i="12"/>
  <c r="F23" i="12"/>
  <c r="F19" i="12"/>
  <c r="E19" i="12"/>
  <c r="E18" i="12"/>
  <c r="F18" i="12"/>
  <c r="E16" i="12"/>
  <c r="F16" i="12"/>
  <c r="D15" i="12"/>
  <c r="D17" i="12"/>
  <c r="C15" i="12"/>
  <c r="C17" i="12"/>
  <c r="C20" i="12"/>
  <c r="F14" i="12"/>
  <c r="E14" i="12"/>
  <c r="F13" i="12"/>
  <c r="E13" i="12"/>
  <c r="F12" i="12"/>
  <c r="E12" i="12"/>
  <c r="E11" i="12"/>
  <c r="F11" i="12"/>
  <c r="D73" i="11"/>
  <c r="E73" i="11"/>
  <c r="F73" i="11"/>
  <c r="C73" i="11"/>
  <c r="F72" i="11"/>
  <c r="E72" i="11"/>
  <c r="E71" i="11"/>
  <c r="F71" i="11"/>
  <c r="F70" i="11"/>
  <c r="E70" i="11"/>
  <c r="E67" i="11"/>
  <c r="F67" i="11"/>
  <c r="F64" i="11"/>
  <c r="E64" i="11"/>
  <c r="E63" i="11"/>
  <c r="F63" i="11"/>
  <c r="D61" i="11"/>
  <c r="D65" i="11"/>
  <c r="C61" i="11"/>
  <c r="F60" i="11"/>
  <c r="E60" i="11"/>
  <c r="E59" i="11"/>
  <c r="F59" i="11"/>
  <c r="D56" i="11"/>
  <c r="C56" i="11"/>
  <c r="E55" i="11"/>
  <c r="F55" i="11"/>
  <c r="F54" i="11"/>
  <c r="E54" i="11"/>
  <c r="E53" i="11"/>
  <c r="F53" i="11"/>
  <c r="F52" i="11"/>
  <c r="E52" i="11"/>
  <c r="E51" i="11"/>
  <c r="F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E36" i="11"/>
  <c r="F36" i="11"/>
  <c r="F33" i="11"/>
  <c r="E33" i="11"/>
  <c r="E32" i="11"/>
  <c r="F32" i="11"/>
  <c r="F31" i="11"/>
  <c r="E31" i="11"/>
  <c r="D29" i="11"/>
  <c r="C29" i="11"/>
  <c r="E28" i="11"/>
  <c r="F28" i="11"/>
  <c r="F27" i="11"/>
  <c r="E27" i="11"/>
  <c r="F26" i="11"/>
  <c r="E26" i="11"/>
  <c r="F25" i="11"/>
  <c r="E25" i="11"/>
  <c r="D22" i="11"/>
  <c r="C22" i="11"/>
  <c r="F21" i="11"/>
  <c r="E21" i="11"/>
  <c r="F20" i="11"/>
  <c r="E20" i="11"/>
  <c r="E19" i="11"/>
  <c r="F19" i="11"/>
  <c r="F18" i="11"/>
  <c r="E18" i="11"/>
  <c r="F17" i="11"/>
  <c r="E17" i="11"/>
  <c r="F16" i="11"/>
  <c r="E16" i="11"/>
  <c r="E15" i="11"/>
  <c r="F15" i="11"/>
  <c r="F14" i="11"/>
  <c r="E14" i="11"/>
  <c r="E13" i="11"/>
  <c r="F13" i="11"/>
  <c r="F120" i="10"/>
  <c r="D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D116" i="10"/>
  <c r="C116" i="10"/>
  <c r="F116" i="10"/>
  <c r="D115" i="10"/>
  <c r="E115" i="10"/>
  <c r="C115" i="10"/>
  <c r="F115" i="10"/>
  <c r="F114" i="10"/>
  <c r="D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D108" i="10"/>
  <c r="E108" i="10"/>
  <c r="C108" i="10"/>
  <c r="F108" i="10"/>
  <c r="D107" i="10"/>
  <c r="E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/>
  <c r="C96" i="10"/>
  <c r="F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E84" i="10"/>
  <c r="C84" i="10"/>
  <c r="F84" i="10"/>
  <c r="D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D59" i="10"/>
  <c r="E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E36" i="10"/>
  <c r="C36" i="10"/>
  <c r="F36" i="10"/>
  <c r="D35" i="10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F205" i="9"/>
  <c r="C205" i="9"/>
  <c r="D204" i="9"/>
  <c r="E204" i="9"/>
  <c r="C204" i="9"/>
  <c r="D203" i="9"/>
  <c r="E203" i="9"/>
  <c r="F203" i="9"/>
  <c r="C203" i="9"/>
  <c r="D202" i="9"/>
  <c r="E202" i="9"/>
  <c r="C202" i="9"/>
  <c r="D201" i="9"/>
  <c r="C201" i="9"/>
  <c r="D200" i="9"/>
  <c r="E200" i="9"/>
  <c r="C200" i="9"/>
  <c r="D199" i="9"/>
  <c r="C199" i="9"/>
  <c r="D198" i="9"/>
  <c r="D207" i="9"/>
  <c r="C198" i="9"/>
  <c r="D193" i="9"/>
  <c r="C193" i="9"/>
  <c r="D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/>
  <c r="D179" i="9"/>
  <c r="E179" i="9"/>
  <c r="C179" i="9"/>
  <c r="F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/>
  <c r="C167" i="9"/>
  <c r="F167" i="9"/>
  <c r="D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/>
  <c r="C154" i="9"/>
  <c r="F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C128" i="9"/>
  <c r="F128" i="9"/>
  <c r="D127" i="9"/>
  <c r="E127" i="9"/>
  <c r="F127" i="9"/>
  <c r="C127" i="9"/>
  <c r="E126" i="9"/>
  <c r="F126" i="9"/>
  <c r="E125" i="9"/>
  <c r="F125" i="9"/>
  <c r="F124" i="9"/>
  <c r="E124" i="9"/>
  <c r="E123" i="9"/>
  <c r="F123" i="9"/>
  <c r="E122" i="9"/>
  <c r="F122" i="9"/>
  <c r="E121" i="9"/>
  <c r="F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E113" i="9"/>
  <c r="F113" i="9"/>
  <c r="F112" i="9"/>
  <c r="E112" i="9"/>
  <c r="E111" i="9"/>
  <c r="F111" i="9"/>
  <c r="F110" i="9"/>
  <c r="E110" i="9"/>
  <c r="E109" i="9"/>
  <c r="F109" i="9"/>
  <c r="F108" i="9"/>
  <c r="E108" i="9"/>
  <c r="E107" i="9"/>
  <c r="F107" i="9"/>
  <c r="F106" i="9"/>
  <c r="E106" i="9"/>
  <c r="E105" i="9"/>
  <c r="F105" i="9"/>
  <c r="D102" i="9"/>
  <c r="C102" i="9"/>
  <c r="D101" i="9"/>
  <c r="C101" i="9"/>
  <c r="F100" i="9"/>
  <c r="E100" i="9"/>
  <c r="E99" i="9"/>
  <c r="F99" i="9"/>
  <c r="F98" i="9"/>
  <c r="E98" i="9"/>
  <c r="E97" i="9"/>
  <c r="F97" i="9"/>
  <c r="F96" i="9"/>
  <c r="E96" i="9"/>
  <c r="F95" i="9"/>
  <c r="E95" i="9"/>
  <c r="F94" i="9"/>
  <c r="E94" i="9"/>
  <c r="E93" i="9"/>
  <c r="F93" i="9"/>
  <c r="F92" i="9"/>
  <c r="E92" i="9"/>
  <c r="D89" i="9"/>
  <c r="E89" i="9"/>
  <c r="C89" i="9"/>
  <c r="D88" i="9"/>
  <c r="E88" i="9"/>
  <c r="F88" i="9"/>
  <c r="C88" i="9"/>
  <c r="E87" i="9"/>
  <c r="F87" i="9"/>
  <c r="E86" i="9"/>
  <c r="F86" i="9"/>
  <c r="E85" i="9"/>
  <c r="F85" i="9"/>
  <c r="F84" i="9"/>
  <c r="E84" i="9"/>
  <c r="E83" i="9"/>
  <c r="F83" i="9"/>
  <c r="F82" i="9"/>
  <c r="E82" i="9"/>
  <c r="E81" i="9"/>
  <c r="F81" i="9"/>
  <c r="F80" i="9"/>
  <c r="E80" i="9"/>
  <c r="E79" i="9"/>
  <c r="F79" i="9"/>
  <c r="D76" i="9"/>
  <c r="E76" i="9"/>
  <c r="C76" i="9"/>
  <c r="D75" i="9"/>
  <c r="E75" i="9"/>
  <c r="F75" i="9"/>
  <c r="C75" i="9"/>
  <c r="E74" i="9"/>
  <c r="F74" i="9"/>
  <c r="E73" i="9"/>
  <c r="F73" i="9"/>
  <c r="F72" i="9"/>
  <c r="E72" i="9"/>
  <c r="E71" i="9"/>
  <c r="F71" i="9"/>
  <c r="E70" i="9"/>
  <c r="F70" i="9"/>
  <c r="E69" i="9"/>
  <c r="F69" i="9"/>
  <c r="F68" i="9"/>
  <c r="E68" i="9"/>
  <c r="E67" i="9"/>
  <c r="F67" i="9"/>
  <c r="F66" i="9"/>
  <c r="E66" i="9"/>
  <c r="F63" i="9"/>
  <c r="D63" i="9"/>
  <c r="E63" i="9"/>
  <c r="C63" i="9"/>
  <c r="D62" i="9"/>
  <c r="E62" i="9"/>
  <c r="C62" i="9"/>
  <c r="F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C49" i="9"/>
  <c r="F48" i="9"/>
  <c r="E48" i="9"/>
  <c r="F47" i="9"/>
  <c r="E47" i="9"/>
  <c r="E46" i="9"/>
  <c r="F46" i="9"/>
  <c r="E45" i="9"/>
  <c r="F45" i="9"/>
  <c r="F44" i="9"/>
  <c r="E44" i="9"/>
  <c r="E43" i="9"/>
  <c r="F43" i="9"/>
  <c r="F42" i="9"/>
  <c r="E42" i="9"/>
  <c r="E41" i="9"/>
  <c r="F41" i="9"/>
  <c r="F40" i="9"/>
  <c r="E40" i="9"/>
  <c r="D37" i="9"/>
  <c r="E37" i="9"/>
  <c r="C37" i="9"/>
  <c r="F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C24" i="9"/>
  <c r="D23" i="9"/>
  <c r="E23" i="9"/>
  <c r="F23" i="9"/>
  <c r="C23" i="9"/>
  <c r="E22" i="9"/>
  <c r="F22" i="9"/>
  <c r="E21" i="9"/>
  <c r="F21" i="9"/>
  <c r="F20" i="9"/>
  <c r="E20" i="9"/>
  <c r="F19" i="9"/>
  <c r="E19" i="9"/>
  <c r="E18" i="9"/>
  <c r="F18" i="9"/>
  <c r="E17" i="9"/>
  <c r="F17" i="9"/>
  <c r="F16" i="9"/>
  <c r="E16" i="9"/>
  <c r="E15" i="9"/>
  <c r="F15" i="9"/>
  <c r="F14" i="9"/>
  <c r="E14" i="9"/>
  <c r="E191" i="8"/>
  <c r="D191" i="8"/>
  <c r="C191" i="8"/>
  <c r="E176" i="8"/>
  <c r="D176" i="8"/>
  <c r="C176" i="8"/>
  <c r="E164" i="8"/>
  <c r="E160" i="8"/>
  <c r="D164" i="8"/>
  <c r="D160" i="8"/>
  <c r="C164" i="8"/>
  <c r="C160" i="8"/>
  <c r="E162" i="8"/>
  <c r="D162" i="8"/>
  <c r="C162" i="8"/>
  <c r="E161" i="8"/>
  <c r="E166" i="8"/>
  <c r="D161" i="8"/>
  <c r="C161" i="8"/>
  <c r="C166" i="8"/>
  <c r="E147" i="8"/>
  <c r="E143" i="8"/>
  <c r="D147" i="8"/>
  <c r="D143" i="8"/>
  <c r="D149" i="8"/>
  <c r="C147" i="8"/>
  <c r="E145" i="8"/>
  <c r="D145" i="8"/>
  <c r="C145" i="8"/>
  <c r="E144" i="8"/>
  <c r="D144" i="8"/>
  <c r="C144" i="8"/>
  <c r="E149" i="8"/>
  <c r="C143" i="8"/>
  <c r="C149" i="8"/>
  <c r="E126" i="8"/>
  <c r="D126" i="8"/>
  <c r="C126" i="8"/>
  <c r="E119" i="8"/>
  <c r="D119" i="8"/>
  <c r="C119" i="8"/>
  <c r="E108" i="8"/>
  <c r="E109" i="8"/>
  <c r="E106" i="8"/>
  <c r="D108" i="8"/>
  <c r="C108" i="8"/>
  <c r="E107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E90" i="8"/>
  <c r="E86" i="8"/>
  <c r="D89" i="8"/>
  <c r="C89" i="8"/>
  <c r="E87" i="8"/>
  <c r="D87" i="8"/>
  <c r="C87" i="8"/>
  <c r="E84" i="8"/>
  <c r="D84" i="8"/>
  <c r="D79" i="8"/>
  <c r="C84" i="8"/>
  <c r="C79" i="8"/>
  <c r="E83" i="8"/>
  <c r="E79" i="8"/>
  <c r="D83" i="8"/>
  <c r="C83" i="8"/>
  <c r="E77" i="8"/>
  <c r="E71" i="8"/>
  <c r="C77" i="8"/>
  <c r="C71" i="8"/>
  <c r="E75" i="8"/>
  <c r="E88" i="8"/>
  <c r="D75" i="8"/>
  <c r="D88" i="8"/>
  <c r="D90" i="8"/>
  <c r="D86" i="8"/>
  <c r="C75" i="8"/>
  <c r="C88" i="8"/>
  <c r="C90" i="8"/>
  <c r="E74" i="8"/>
  <c r="D74" i="8"/>
  <c r="C74" i="8"/>
  <c r="E67" i="8"/>
  <c r="D67" i="8"/>
  <c r="C67" i="8"/>
  <c r="D53" i="8"/>
  <c r="E38" i="8"/>
  <c r="E57" i="8"/>
  <c r="E62" i="8"/>
  <c r="D38" i="8"/>
  <c r="C38" i="8"/>
  <c r="E33" i="8"/>
  <c r="E34" i="8"/>
  <c r="D33" i="8"/>
  <c r="D34" i="8"/>
  <c r="E26" i="8"/>
  <c r="D26" i="8"/>
  <c r="C26" i="8"/>
  <c r="E25" i="8"/>
  <c r="E27" i="8"/>
  <c r="C25" i="8"/>
  <c r="C27" i="8"/>
  <c r="C22" i="8"/>
  <c r="E24" i="8"/>
  <c r="E20" i="8"/>
  <c r="C15" i="8"/>
  <c r="C24" i="8"/>
  <c r="E13" i="8"/>
  <c r="E15" i="8"/>
  <c r="D13" i="8"/>
  <c r="D25" i="8"/>
  <c r="D27" i="8"/>
  <c r="C13" i="8"/>
  <c r="E186" i="7"/>
  <c r="F186" i="7"/>
  <c r="D183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E176" i="7"/>
  <c r="F176" i="7"/>
  <c r="F175" i="7"/>
  <c r="E175" i="7"/>
  <c r="F174" i="7"/>
  <c r="E174" i="7"/>
  <c r="F173" i="7"/>
  <c r="E173" i="7"/>
  <c r="E172" i="7"/>
  <c r="F172" i="7"/>
  <c r="F171" i="7"/>
  <c r="E171" i="7"/>
  <c r="E170" i="7"/>
  <c r="F170" i="7"/>
  <c r="D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E157" i="7"/>
  <c r="F157" i="7"/>
  <c r="F156" i="7"/>
  <c r="E156" i="7"/>
  <c r="E155" i="7"/>
  <c r="F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E145" i="7"/>
  <c r="F145" i="7"/>
  <c r="F144" i="7"/>
  <c r="E144" i="7"/>
  <c r="F143" i="7"/>
  <c r="E143" i="7"/>
  <c r="F142" i="7"/>
  <c r="E142" i="7"/>
  <c r="E141" i="7"/>
  <c r="F141" i="7"/>
  <c r="F140" i="7"/>
  <c r="E140" i="7"/>
  <c r="F139" i="7"/>
  <c r="E139" i="7"/>
  <c r="F138" i="7"/>
  <c r="E138" i="7"/>
  <c r="E137" i="7"/>
  <c r="F137" i="7"/>
  <c r="F136" i="7"/>
  <c r="E136" i="7"/>
  <c r="F135" i="7"/>
  <c r="E135" i="7"/>
  <c r="E134" i="7"/>
  <c r="F134" i="7"/>
  <c r="E133" i="7"/>
  <c r="F133" i="7"/>
  <c r="D130" i="7"/>
  <c r="E130" i="7"/>
  <c r="C130" i="7"/>
  <c r="F129" i="7"/>
  <c r="E129" i="7"/>
  <c r="F128" i="7"/>
  <c r="E128" i="7"/>
  <c r="F127" i="7"/>
  <c r="E127" i="7"/>
  <c r="E126" i="7"/>
  <c r="F126" i="7"/>
  <c r="F125" i="7"/>
  <c r="E125" i="7"/>
  <c r="F124" i="7"/>
  <c r="E124" i="7"/>
  <c r="D121" i="7"/>
  <c r="E121" i="7"/>
  <c r="F121" i="7"/>
  <c r="C121" i="7"/>
  <c r="F120" i="7"/>
  <c r="E120" i="7"/>
  <c r="E119" i="7"/>
  <c r="F119" i="7"/>
  <c r="F118" i="7"/>
  <c r="E118" i="7"/>
  <c r="F117" i="7"/>
  <c r="E117" i="7"/>
  <c r="F116" i="7"/>
  <c r="E116" i="7"/>
  <c r="E115" i="7"/>
  <c r="F115" i="7"/>
  <c r="F114" i="7"/>
  <c r="E114" i="7"/>
  <c r="E113" i="7"/>
  <c r="F113" i="7"/>
  <c r="F112" i="7"/>
  <c r="E112" i="7"/>
  <c r="E111" i="7"/>
  <c r="F111" i="7"/>
  <c r="F110" i="7"/>
  <c r="E110" i="7"/>
  <c r="F109" i="7"/>
  <c r="E109" i="7"/>
  <c r="F108" i="7"/>
  <c r="E108" i="7"/>
  <c r="E107" i="7"/>
  <c r="F107" i="7"/>
  <c r="F106" i="7"/>
  <c r="E106" i="7"/>
  <c r="E105" i="7"/>
  <c r="F105" i="7"/>
  <c r="E104" i="7"/>
  <c r="F104" i="7"/>
  <c r="E103" i="7"/>
  <c r="F103" i="7"/>
  <c r="F93" i="7"/>
  <c r="E93" i="7"/>
  <c r="D90" i="7"/>
  <c r="C90" i="7"/>
  <c r="F89" i="7"/>
  <c r="E89" i="7"/>
  <c r="E88" i="7"/>
  <c r="F88" i="7"/>
  <c r="F87" i="7"/>
  <c r="E87" i="7"/>
  <c r="F86" i="7"/>
  <c r="E86" i="7"/>
  <c r="F85" i="7"/>
  <c r="E85" i="7"/>
  <c r="E84" i="7"/>
  <c r="F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E76" i="7"/>
  <c r="F76" i="7"/>
  <c r="F75" i="7"/>
  <c r="E75" i="7"/>
  <c r="F74" i="7"/>
  <c r="E74" i="7"/>
  <c r="E73" i="7"/>
  <c r="F73" i="7"/>
  <c r="F72" i="7"/>
  <c r="E72" i="7"/>
  <c r="F71" i="7"/>
  <c r="E71" i="7"/>
  <c r="E70" i="7"/>
  <c r="F70" i="7"/>
  <c r="E69" i="7"/>
  <c r="F69" i="7"/>
  <c r="E68" i="7"/>
  <c r="F68" i="7"/>
  <c r="F67" i="7"/>
  <c r="E67" i="7"/>
  <c r="F66" i="7"/>
  <c r="E66" i="7"/>
  <c r="F65" i="7"/>
  <c r="E65" i="7"/>
  <c r="F64" i="7"/>
  <c r="E64" i="7"/>
  <c r="F63" i="7"/>
  <c r="E63" i="7"/>
  <c r="E62" i="7"/>
  <c r="F62" i="7"/>
  <c r="D59" i="7"/>
  <c r="E59" i="7"/>
  <c r="F59" i="7"/>
  <c r="C59" i="7"/>
  <c r="E58" i="7"/>
  <c r="F58" i="7"/>
  <c r="E57" i="7"/>
  <c r="F57" i="7"/>
  <c r="E56" i="7"/>
  <c r="F56" i="7"/>
  <c r="F55" i="7"/>
  <c r="E55" i="7"/>
  <c r="E54" i="7"/>
  <c r="F54" i="7"/>
  <c r="E53" i="7"/>
  <c r="F53" i="7"/>
  <c r="F50" i="7"/>
  <c r="E50" i="7"/>
  <c r="F47" i="7"/>
  <c r="E47" i="7"/>
  <c r="F44" i="7"/>
  <c r="E44" i="7"/>
  <c r="D41" i="7"/>
  <c r="E41" i="7"/>
  <c r="F41" i="7"/>
  <c r="C41" i="7"/>
  <c r="F40" i="7"/>
  <c r="E40" i="7"/>
  <c r="E39" i="7"/>
  <c r="F39" i="7"/>
  <c r="E38" i="7"/>
  <c r="F38" i="7"/>
  <c r="D35" i="7"/>
  <c r="E35" i="7"/>
  <c r="F35" i="7"/>
  <c r="C35" i="7"/>
  <c r="F34" i="7"/>
  <c r="E34" i="7"/>
  <c r="E33" i="7"/>
  <c r="F33" i="7"/>
  <c r="D30" i="7"/>
  <c r="E30" i="7"/>
  <c r="F30" i="7"/>
  <c r="C30" i="7"/>
  <c r="F29" i="7"/>
  <c r="E29" i="7"/>
  <c r="E28" i="7"/>
  <c r="F28" i="7"/>
  <c r="F27" i="7"/>
  <c r="E27" i="7"/>
  <c r="D24" i="7"/>
  <c r="E24" i="7"/>
  <c r="F24" i="7"/>
  <c r="C24" i="7"/>
  <c r="E23" i="7"/>
  <c r="F23" i="7"/>
  <c r="F22" i="7"/>
  <c r="E22" i="7"/>
  <c r="F21" i="7"/>
  <c r="E21" i="7"/>
  <c r="D18" i="7"/>
  <c r="E18" i="7"/>
  <c r="C18" i="7"/>
  <c r="E17" i="7"/>
  <c r="F17" i="7"/>
  <c r="F16" i="7"/>
  <c r="E16" i="7"/>
  <c r="F15" i="7"/>
  <c r="E15" i="7"/>
  <c r="D179" i="6"/>
  <c r="C179" i="6"/>
  <c r="E179" i="6"/>
  <c r="F179" i="6"/>
  <c r="F178" i="6"/>
  <c r="E178" i="6"/>
  <c r="F177" i="6"/>
  <c r="E177" i="6"/>
  <c r="F176" i="6"/>
  <c r="E176" i="6"/>
  <c r="E175" i="6"/>
  <c r="F175" i="6"/>
  <c r="F174" i="6"/>
  <c r="E174" i="6"/>
  <c r="E173" i="6"/>
  <c r="F173" i="6"/>
  <c r="F172" i="6"/>
  <c r="E172" i="6"/>
  <c r="F171" i="6"/>
  <c r="E171" i="6"/>
  <c r="E170" i="6"/>
  <c r="F170" i="6"/>
  <c r="E169" i="6"/>
  <c r="F169" i="6"/>
  <c r="F168" i="6"/>
  <c r="E168" i="6"/>
  <c r="D166" i="6"/>
  <c r="E166" i="6"/>
  <c r="C166" i="6"/>
  <c r="F166" i="6"/>
  <c r="F165" i="6"/>
  <c r="E165" i="6"/>
  <c r="F164" i="6"/>
  <c r="E164" i="6"/>
  <c r="E163" i="6"/>
  <c r="F163" i="6"/>
  <c r="E162" i="6"/>
  <c r="F162" i="6"/>
  <c r="E161" i="6"/>
  <c r="F161" i="6"/>
  <c r="F160" i="6"/>
  <c r="E160" i="6"/>
  <c r="F159" i="6"/>
  <c r="E159" i="6"/>
  <c r="F158" i="6"/>
  <c r="E158" i="6"/>
  <c r="E157" i="6"/>
  <c r="F157" i="6"/>
  <c r="F156" i="6"/>
  <c r="E156" i="6"/>
  <c r="E155" i="6"/>
  <c r="F155" i="6"/>
  <c r="D153" i="6"/>
  <c r="E153" i="6"/>
  <c r="C153" i="6"/>
  <c r="F152" i="6"/>
  <c r="E152" i="6"/>
  <c r="F151" i="6"/>
  <c r="E151" i="6"/>
  <c r="F150" i="6"/>
  <c r="E150" i="6"/>
  <c r="E149" i="6"/>
  <c r="F149" i="6"/>
  <c r="F148" i="6"/>
  <c r="E148" i="6"/>
  <c r="F147" i="6"/>
  <c r="E147" i="6"/>
  <c r="E146" i="6"/>
  <c r="F146" i="6"/>
  <c r="F145" i="6"/>
  <c r="E145" i="6"/>
  <c r="F144" i="6"/>
  <c r="E144" i="6"/>
  <c r="F143" i="6"/>
  <c r="E143" i="6"/>
  <c r="E142" i="6"/>
  <c r="F142" i="6"/>
  <c r="D137" i="6"/>
  <c r="E137" i="6"/>
  <c r="F137" i="6"/>
  <c r="C137" i="6"/>
  <c r="F136" i="6"/>
  <c r="E136" i="6"/>
  <c r="F135" i="6"/>
  <c r="E135" i="6"/>
  <c r="E134" i="6"/>
  <c r="F134" i="6"/>
  <c r="F133" i="6"/>
  <c r="E133" i="6"/>
  <c r="E132" i="6"/>
  <c r="F132" i="6"/>
  <c r="E131" i="6"/>
  <c r="F131" i="6"/>
  <c r="E130" i="6"/>
  <c r="F130" i="6"/>
  <c r="F129" i="6"/>
  <c r="E129" i="6"/>
  <c r="E128" i="6"/>
  <c r="F128" i="6"/>
  <c r="F127" i="6"/>
  <c r="E127" i="6"/>
  <c r="E126" i="6"/>
  <c r="F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E119" i="6"/>
  <c r="F119" i="6"/>
  <c r="E118" i="6"/>
  <c r="F118" i="6"/>
  <c r="F117" i="6"/>
  <c r="E117" i="6"/>
  <c r="F116" i="6"/>
  <c r="E116" i="6"/>
  <c r="F115" i="6"/>
  <c r="E115" i="6"/>
  <c r="E114" i="6"/>
  <c r="F114" i="6"/>
  <c r="F113" i="6"/>
  <c r="E113" i="6"/>
  <c r="D111" i="6"/>
  <c r="C111" i="6"/>
  <c r="E111" i="6"/>
  <c r="F110" i="6"/>
  <c r="E110" i="6"/>
  <c r="F109" i="6"/>
  <c r="E109" i="6"/>
  <c r="E108" i="6"/>
  <c r="F108" i="6"/>
  <c r="E107" i="6"/>
  <c r="F107" i="6"/>
  <c r="E106" i="6"/>
  <c r="F106" i="6"/>
  <c r="F105" i="6"/>
  <c r="E105" i="6"/>
  <c r="E104" i="6"/>
  <c r="F104" i="6"/>
  <c r="F103" i="6"/>
  <c r="E103" i="6"/>
  <c r="E102" i="6"/>
  <c r="F102" i="6"/>
  <c r="F101" i="6"/>
  <c r="E101" i="6"/>
  <c r="F100" i="6"/>
  <c r="E100" i="6"/>
  <c r="D94" i="6"/>
  <c r="C94" i="6"/>
  <c r="F94" i="6"/>
  <c r="F93" i="6"/>
  <c r="D93" i="6"/>
  <c r="C93" i="6"/>
  <c r="E93" i="6"/>
  <c r="D92" i="6"/>
  <c r="E92" i="6"/>
  <c r="C92" i="6"/>
  <c r="D91" i="6"/>
  <c r="E91" i="6"/>
  <c r="F91" i="6"/>
  <c r="C91" i="6"/>
  <c r="D90" i="6"/>
  <c r="E90" i="6"/>
  <c r="C90" i="6"/>
  <c r="D89" i="6"/>
  <c r="E89" i="6"/>
  <c r="C89" i="6"/>
  <c r="F89" i="6"/>
  <c r="D88" i="6"/>
  <c r="C88" i="6"/>
  <c r="F87" i="6"/>
  <c r="D87" i="6"/>
  <c r="C87" i="6"/>
  <c r="E87" i="6"/>
  <c r="D86" i="6"/>
  <c r="E86" i="6"/>
  <c r="C86" i="6"/>
  <c r="D85" i="6"/>
  <c r="E85" i="6"/>
  <c r="F85" i="6"/>
  <c r="C85" i="6"/>
  <c r="D84" i="6"/>
  <c r="C84" i="6"/>
  <c r="D81" i="6"/>
  <c r="C81" i="6"/>
  <c r="F80" i="6"/>
  <c r="E80" i="6"/>
  <c r="F79" i="6"/>
  <c r="E79" i="6"/>
  <c r="F78" i="6"/>
  <c r="E78" i="6"/>
  <c r="E77" i="6"/>
  <c r="F77" i="6"/>
  <c r="E76" i="6"/>
  <c r="F76" i="6"/>
  <c r="E75" i="6"/>
  <c r="F75" i="6"/>
  <c r="F74" i="6"/>
  <c r="E74" i="6"/>
  <c r="F73" i="6"/>
  <c r="E73" i="6"/>
  <c r="F72" i="6"/>
  <c r="E72" i="6"/>
  <c r="E71" i="6"/>
  <c r="F71" i="6"/>
  <c r="F70" i="6"/>
  <c r="E70" i="6"/>
  <c r="D68" i="6"/>
  <c r="C68" i="6"/>
  <c r="F67" i="6"/>
  <c r="E67" i="6"/>
  <c r="F66" i="6"/>
  <c r="E66" i="6"/>
  <c r="F65" i="6"/>
  <c r="E65" i="6"/>
  <c r="E64" i="6"/>
  <c r="F64" i="6"/>
  <c r="E63" i="6"/>
  <c r="F63" i="6"/>
  <c r="F62" i="6"/>
  <c r="E62" i="6"/>
  <c r="F61" i="6"/>
  <c r="E61" i="6"/>
  <c r="F60" i="6"/>
  <c r="E60" i="6"/>
  <c r="E59" i="6"/>
  <c r="F59" i="6"/>
  <c r="F58" i="6"/>
  <c r="E58" i="6"/>
  <c r="E57" i="6"/>
  <c r="F57" i="6"/>
  <c r="F51" i="6"/>
  <c r="D51" i="6"/>
  <c r="C51" i="6"/>
  <c r="D50" i="6"/>
  <c r="C50" i="6"/>
  <c r="F50" i="6"/>
  <c r="D49" i="6"/>
  <c r="E49" i="6"/>
  <c r="C49" i="6"/>
  <c r="D48" i="6"/>
  <c r="E48" i="6"/>
  <c r="F48" i="6"/>
  <c r="C48" i="6"/>
  <c r="D47" i="6"/>
  <c r="C47" i="6"/>
  <c r="D46" i="6"/>
  <c r="E46" i="6"/>
  <c r="C46" i="6"/>
  <c r="D45" i="6"/>
  <c r="C45" i="6"/>
  <c r="F44" i="6"/>
  <c r="D44" i="6"/>
  <c r="E44" i="6"/>
  <c r="C44" i="6"/>
  <c r="D43" i="6"/>
  <c r="E43" i="6"/>
  <c r="C43" i="6"/>
  <c r="D42" i="6"/>
  <c r="E42" i="6"/>
  <c r="F42" i="6"/>
  <c r="C42" i="6"/>
  <c r="D41" i="6"/>
  <c r="C41" i="6"/>
  <c r="C52" i="6"/>
  <c r="D38" i="6"/>
  <c r="C38" i="6"/>
  <c r="E38" i="6"/>
  <c r="F37" i="6"/>
  <c r="E37" i="6"/>
  <c r="F36" i="6"/>
  <c r="E36" i="6"/>
  <c r="E35" i="6"/>
  <c r="F35" i="6"/>
  <c r="E34" i="6"/>
  <c r="F34" i="6"/>
  <c r="F33" i="6"/>
  <c r="E33" i="6"/>
  <c r="E32" i="6"/>
  <c r="F32" i="6"/>
  <c r="E31" i="6"/>
  <c r="F31" i="6"/>
  <c r="F30" i="6"/>
  <c r="E30" i="6"/>
  <c r="F29" i="6"/>
  <c r="E29" i="6"/>
  <c r="F28" i="6"/>
  <c r="E28" i="6"/>
  <c r="E27" i="6"/>
  <c r="F27" i="6"/>
  <c r="D25" i="6"/>
  <c r="E25" i="6"/>
  <c r="F25" i="6"/>
  <c r="C25" i="6"/>
  <c r="F24" i="6"/>
  <c r="E24" i="6"/>
  <c r="F23" i="6"/>
  <c r="E23" i="6"/>
  <c r="F22" i="6"/>
  <c r="E22" i="6"/>
  <c r="F21" i="6"/>
  <c r="E21" i="6"/>
  <c r="E20" i="6"/>
  <c r="F20" i="6"/>
  <c r="E19" i="6"/>
  <c r="F19" i="6"/>
  <c r="E18" i="6"/>
  <c r="F18" i="6"/>
  <c r="F17" i="6"/>
  <c r="E17" i="6"/>
  <c r="E16" i="6"/>
  <c r="F16" i="6"/>
  <c r="E15" i="6"/>
  <c r="F15" i="6"/>
  <c r="E14" i="6"/>
  <c r="F14" i="6"/>
  <c r="F51" i="5"/>
  <c r="E51" i="5"/>
  <c r="D48" i="5"/>
  <c r="C48" i="5"/>
  <c r="F48" i="5"/>
  <c r="F47" i="5"/>
  <c r="E47" i="5"/>
  <c r="F46" i="5"/>
  <c r="E46" i="5"/>
  <c r="D41" i="5"/>
  <c r="C41" i="5"/>
  <c r="E40" i="5"/>
  <c r="F40" i="5"/>
  <c r="F39" i="5"/>
  <c r="E39" i="5"/>
  <c r="F38" i="5"/>
  <c r="E38" i="5"/>
  <c r="D33" i="5"/>
  <c r="C33" i="5"/>
  <c r="E33" i="5"/>
  <c r="F32" i="5"/>
  <c r="E32" i="5"/>
  <c r="F31" i="5"/>
  <c r="E31" i="5"/>
  <c r="E30" i="5"/>
  <c r="F30" i="5"/>
  <c r="F29" i="5"/>
  <c r="E29" i="5"/>
  <c r="F28" i="5"/>
  <c r="E28" i="5"/>
  <c r="E27" i="5"/>
  <c r="F27" i="5"/>
  <c r="E26" i="5"/>
  <c r="F26" i="5"/>
  <c r="E25" i="5"/>
  <c r="F25" i="5"/>
  <c r="F24" i="5"/>
  <c r="E24" i="5"/>
  <c r="F20" i="5"/>
  <c r="E20" i="5"/>
  <c r="E19" i="5"/>
  <c r="F19" i="5"/>
  <c r="E17" i="5"/>
  <c r="F17" i="5"/>
  <c r="D16" i="5"/>
  <c r="C16" i="5"/>
  <c r="C18" i="5"/>
  <c r="F15" i="5"/>
  <c r="E15" i="5"/>
  <c r="F14" i="5"/>
  <c r="E14" i="5"/>
  <c r="F13" i="5"/>
  <c r="E13" i="5"/>
  <c r="E12" i="5"/>
  <c r="F12" i="5"/>
  <c r="D73" i="4"/>
  <c r="E73" i="4"/>
  <c r="F73" i="4"/>
  <c r="C73" i="4"/>
  <c r="F72" i="4"/>
  <c r="E72" i="4"/>
  <c r="E71" i="4"/>
  <c r="F71" i="4"/>
  <c r="E70" i="4"/>
  <c r="F70" i="4"/>
  <c r="F67" i="4"/>
  <c r="E67" i="4"/>
  <c r="F64" i="4"/>
  <c r="E64" i="4"/>
  <c r="E63" i="4"/>
  <c r="F63" i="4"/>
  <c r="D61" i="4"/>
  <c r="C61" i="4"/>
  <c r="F60" i="4"/>
  <c r="E60" i="4"/>
  <c r="F59" i="4"/>
  <c r="E59" i="4"/>
  <c r="D56" i="4"/>
  <c r="E56" i="4"/>
  <c r="F56" i="4"/>
  <c r="C56" i="4"/>
  <c r="F55" i="4"/>
  <c r="E55" i="4"/>
  <c r="F54" i="4"/>
  <c r="E54" i="4"/>
  <c r="E53" i="4"/>
  <c r="F53" i="4"/>
  <c r="F52" i="4"/>
  <c r="E52" i="4"/>
  <c r="E51" i="4"/>
  <c r="F51" i="4"/>
  <c r="E50" i="4"/>
  <c r="F50" i="4"/>
  <c r="A50" i="4"/>
  <c r="A51" i="4"/>
  <c r="A52" i="4"/>
  <c r="A53" i="4"/>
  <c r="A54" i="4"/>
  <c r="A55" i="4"/>
  <c r="E49" i="4"/>
  <c r="F49" i="4"/>
  <c r="F40" i="4"/>
  <c r="E40" i="4"/>
  <c r="D38" i="4"/>
  <c r="C38" i="4"/>
  <c r="E37" i="4"/>
  <c r="F37" i="4"/>
  <c r="E36" i="4"/>
  <c r="F36" i="4"/>
  <c r="E33" i="4"/>
  <c r="F33" i="4"/>
  <c r="F32" i="4"/>
  <c r="E32" i="4"/>
  <c r="F31" i="4"/>
  <c r="E31" i="4"/>
  <c r="D29" i="4"/>
  <c r="E29" i="4"/>
  <c r="C29" i="4"/>
  <c r="F28" i="4"/>
  <c r="E28" i="4"/>
  <c r="F27" i="4"/>
  <c r="E27" i="4"/>
  <c r="F26" i="4"/>
  <c r="E26" i="4"/>
  <c r="E25" i="4"/>
  <c r="F25" i="4"/>
  <c r="D22" i="4"/>
  <c r="E22" i="4"/>
  <c r="F22" i="4"/>
  <c r="C22" i="4"/>
  <c r="F21" i="4"/>
  <c r="E21" i="4"/>
  <c r="E20" i="4"/>
  <c r="F20" i="4"/>
  <c r="E19" i="4"/>
  <c r="F19" i="4"/>
  <c r="F18" i="4"/>
  <c r="E18" i="4"/>
  <c r="F17" i="4"/>
  <c r="E17" i="4"/>
  <c r="E16" i="4"/>
  <c r="F16" i="4"/>
  <c r="E15" i="4"/>
  <c r="F15" i="4"/>
  <c r="F14" i="4"/>
  <c r="E14" i="4"/>
  <c r="F13" i="4"/>
  <c r="E13" i="4"/>
  <c r="E109" i="22"/>
  <c r="E108" i="22"/>
  <c r="D22" i="22"/>
  <c r="E23" i="22"/>
  <c r="E46" i="22"/>
  <c r="D33" i="22"/>
  <c r="C34" i="22"/>
  <c r="E34" i="22"/>
  <c r="D101" i="22"/>
  <c r="C22" i="22"/>
  <c r="C29" i="22"/>
  <c r="E22" i="22"/>
  <c r="D30" i="22"/>
  <c r="D48" i="22"/>
  <c r="D36" i="22"/>
  <c r="D46" i="22"/>
  <c r="D41" i="20"/>
  <c r="E39" i="20"/>
  <c r="E19" i="20"/>
  <c r="F19" i="20"/>
  <c r="C38" i="19"/>
  <c r="C127" i="19"/>
  <c r="C129" i="19"/>
  <c r="C133" i="19"/>
  <c r="E23" i="17"/>
  <c r="E24" i="17"/>
  <c r="E29" i="17"/>
  <c r="F29" i="17"/>
  <c r="E36" i="17"/>
  <c r="F36" i="17"/>
  <c r="E44" i="17"/>
  <c r="C22" i="19"/>
  <c r="D258" i="18"/>
  <c r="D100" i="18"/>
  <c r="D98" i="18"/>
  <c r="D96" i="18"/>
  <c r="D89" i="18"/>
  <c r="D87" i="18"/>
  <c r="D85" i="18"/>
  <c r="D83" i="18"/>
  <c r="D101" i="18"/>
  <c r="D99" i="18"/>
  <c r="D97" i="18"/>
  <c r="D95" i="18"/>
  <c r="D88" i="18"/>
  <c r="D86" i="18"/>
  <c r="D84" i="18"/>
  <c r="E43" i="18"/>
  <c r="D192" i="17"/>
  <c r="E229" i="17"/>
  <c r="E230" i="17"/>
  <c r="E238" i="17"/>
  <c r="F238" i="17"/>
  <c r="E294" i="17"/>
  <c r="E295" i="17"/>
  <c r="F295" i="17"/>
  <c r="E296" i="17"/>
  <c r="E297" i="17"/>
  <c r="E298" i="17"/>
  <c r="E299" i="17"/>
  <c r="D283" i="18"/>
  <c r="E283" i="18"/>
  <c r="C22" i="18"/>
  <c r="C284" i="18"/>
  <c r="E284" i="18"/>
  <c r="E32" i="18"/>
  <c r="E36" i="18"/>
  <c r="E54" i="18"/>
  <c r="E17" i="17"/>
  <c r="E52" i="17"/>
  <c r="F52" i="17"/>
  <c r="E58" i="17"/>
  <c r="F58" i="17"/>
  <c r="E67" i="17"/>
  <c r="E21" i="18"/>
  <c r="D284" i="18"/>
  <c r="E37" i="18"/>
  <c r="D289" i="18"/>
  <c r="D71" i="18"/>
  <c r="D76" i="18"/>
  <c r="E71" i="18"/>
  <c r="D65" i="18"/>
  <c r="D246" i="18"/>
  <c r="E60" i="18"/>
  <c r="E69" i="18"/>
  <c r="E70" i="18"/>
  <c r="E139" i="18"/>
  <c r="D144" i="18"/>
  <c r="C156" i="18"/>
  <c r="C157" i="18"/>
  <c r="C163" i="18"/>
  <c r="D175" i="18"/>
  <c r="C229" i="18"/>
  <c r="C210" i="18"/>
  <c r="E205" i="18"/>
  <c r="E243" i="18"/>
  <c r="E244" i="18"/>
  <c r="D252" i="18"/>
  <c r="E302" i="18"/>
  <c r="C303" i="18"/>
  <c r="C306" i="18"/>
  <c r="C310" i="18"/>
  <c r="C261" i="18"/>
  <c r="C189" i="18"/>
  <c r="E188" i="18"/>
  <c r="D260" i="18"/>
  <c r="E303" i="18"/>
  <c r="D306" i="18"/>
  <c r="E306" i="18"/>
  <c r="D320" i="18"/>
  <c r="E320" i="18"/>
  <c r="E316" i="18"/>
  <c r="E326" i="18"/>
  <c r="D330" i="18"/>
  <c r="E330" i="18"/>
  <c r="E215" i="18"/>
  <c r="C217" i="18"/>
  <c r="C241" i="18"/>
  <c r="E219" i="18"/>
  <c r="E221" i="18"/>
  <c r="D222" i="18"/>
  <c r="C252" i="18"/>
  <c r="E265" i="18"/>
  <c r="E314" i="18"/>
  <c r="E216" i="18"/>
  <c r="E218" i="18"/>
  <c r="E220" i="18"/>
  <c r="C222" i="18"/>
  <c r="C246" i="18"/>
  <c r="D223" i="18"/>
  <c r="E223" i="18"/>
  <c r="E301" i="18"/>
  <c r="E324" i="18"/>
  <c r="D32" i="17"/>
  <c r="D160" i="17"/>
  <c r="D90" i="17"/>
  <c r="C61" i="17"/>
  <c r="C103" i="17"/>
  <c r="C138" i="17"/>
  <c r="E159" i="17"/>
  <c r="E60" i="17"/>
  <c r="F60" i="17"/>
  <c r="D61" i="17"/>
  <c r="D207" i="17"/>
  <c r="D208" i="17"/>
  <c r="D138" i="17"/>
  <c r="E138" i="17"/>
  <c r="E137" i="17"/>
  <c r="F137" i="17"/>
  <c r="F17" i="17"/>
  <c r="F23" i="17"/>
  <c r="F24" i="17"/>
  <c r="F44" i="17"/>
  <c r="F53" i="17"/>
  <c r="F67" i="17"/>
  <c r="E88" i="17"/>
  <c r="F88" i="17"/>
  <c r="E101" i="17"/>
  <c r="F101" i="17"/>
  <c r="E109" i="17"/>
  <c r="F109" i="17"/>
  <c r="C193" i="17"/>
  <c r="C282" i="17"/>
  <c r="C192" i="17"/>
  <c r="E123" i="17"/>
  <c r="F123" i="17"/>
  <c r="C124" i="17"/>
  <c r="E136" i="17"/>
  <c r="F136" i="17"/>
  <c r="E158" i="17"/>
  <c r="E170" i="17"/>
  <c r="C172" i="17"/>
  <c r="E172" i="17"/>
  <c r="E179" i="17"/>
  <c r="C181" i="17"/>
  <c r="F181" i="17"/>
  <c r="F227" i="17"/>
  <c r="F239" i="17"/>
  <c r="C266" i="17"/>
  <c r="E20" i="17"/>
  <c r="F20" i="17"/>
  <c r="C21" i="17"/>
  <c r="E35" i="17"/>
  <c r="F35" i="17"/>
  <c r="C37" i="17"/>
  <c r="E37" i="17"/>
  <c r="F37" i="17"/>
  <c r="F47" i="17"/>
  <c r="E59" i="17"/>
  <c r="F59" i="17"/>
  <c r="D124" i="17"/>
  <c r="D126" i="17"/>
  <c r="D127" i="17"/>
  <c r="E124" i="17"/>
  <c r="F124" i="17"/>
  <c r="E171" i="17"/>
  <c r="E180" i="17"/>
  <c r="D279" i="17"/>
  <c r="D190" i="17"/>
  <c r="E280" i="17"/>
  <c r="F280" i="17"/>
  <c r="D290" i="17"/>
  <c r="E290" i="17"/>
  <c r="F290" i="17"/>
  <c r="D274" i="17"/>
  <c r="E274" i="17"/>
  <c r="D200" i="17"/>
  <c r="D283" i="17"/>
  <c r="D286" i="17"/>
  <c r="D284" i="17"/>
  <c r="D267" i="17"/>
  <c r="D285" i="17"/>
  <c r="E285" i="17"/>
  <c r="F285" i="17"/>
  <c r="D269" i="17"/>
  <c r="D205" i="17"/>
  <c r="D206" i="17"/>
  <c r="E206" i="17"/>
  <c r="D214" i="17"/>
  <c r="D254" i="17"/>
  <c r="D215" i="17"/>
  <c r="D255" i="17"/>
  <c r="F229" i="17"/>
  <c r="F230" i="17"/>
  <c r="E306" i="17"/>
  <c r="D261" i="17"/>
  <c r="D271" i="17"/>
  <c r="D262" i="17"/>
  <c r="D264" i="17"/>
  <c r="C288" i="17"/>
  <c r="E189" i="17"/>
  <c r="F189" i="17"/>
  <c r="C190" i="17"/>
  <c r="E191" i="17"/>
  <c r="F191" i="17"/>
  <c r="C290" i="17"/>
  <c r="C274" i="17"/>
  <c r="C199" i="17"/>
  <c r="C200" i="17"/>
  <c r="C286" i="17"/>
  <c r="E203" i="17"/>
  <c r="F203" i="17"/>
  <c r="E204" i="17"/>
  <c r="F204" i="17"/>
  <c r="C205" i="17"/>
  <c r="E205" i="17"/>
  <c r="C206" i="17"/>
  <c r="C215" i="17"/>
  <c r="E215" i="17"/>
  <c r="E226" i="17"/>
  <c r="F226" i="17"/>
  <c r="E237" i="17"/>
  <c r="F237" i="17"/>
  <c r="E250" i="17"/>
  <c r="F250" i="17"/>
  <c r="C255" i="17"/>
  <c r="E255" i="17"/>
  <c r="C261" i="17"/>
  <c r="C262" i="17"/>
  <c r="C264" i="17"/>
  <c r="C267" i="17"/>
  <c r="C269" i="17"/>
  <c r="F294" i="17"/>
  <c r="F296" i="17"/>
  <c r="F297" i="17"/>
  <c r="F298" i="17"/>
  <c r="F299" i="17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D21" i="13"/>
  <c r="C20" i="13"/>
  <c r="C21" i="13"/>
  <c r="D15" i="13"/>
  <c r="E17" i="13"/>
  <c r="E28" i="13"/>
  <c r="E70" i="13"/>
  <c r="E72" i="13"/>
  <c r="E69" i="13"/>
  <c r="D48" i="13"/>
  <c r="D42" i="13"/>
  <c r="E15" i="12"/>
  <c r="F15" i="12"/>
  <c r="E41" i="11"/>
  <c r="F41" i="11"/>
  <c r="E22" i="11"/>
  <c r="F22" i="11"/>
  <c r="E38" i="11"/>
  <c r="F38" i="11"/>
  <c r="E56" i="11"/>
  <c r="E121" i="10"/>
  <c r="E112" i="10"/>
  <c r="E113" i="10"/>
  <c r="F206" i="9"/>
  <c r="E199" i="9"/>
  <c r="F199" i="9"/>
  <c r="D21" i="8"/>
  <c r="C140" i="8"/>
  <c r="C136" i="8"/>
  <c r="C139" i="8"/>
  <c r="E152" i="8"/>
  <c r="E21" i="8"/>
  <c r="C157" i="8"/>
  <c r="C155" i="8"/>
  <c r="C153" i="8"/>
  <c r="C158" i="8"/>
  <c r="C156" i="8"/>
  <c r="C154" i="8"/>
  <c r="C152" i="8"/>
  <c r="D15" i="8"/>
  <c r="C17" i="8"/>
  <c r="E17" i="8"/>
  <c r="E112" i="8"/>
  <c r="E43" i="8"/>
  <c r="D49" i="8"/>
  <c r="E53" i="8"/>
  <c r="D77" i="8"/>
  <c r="D71" i="8"/>
  <c r="E49" i="8"/>
  <c r="E183" i="7"/>
  <c r="F183" i="7"/>
  <c r="E84" i="6"/>
  <c r="F84" i="6"/>
  <c r="D41" i="4"/>
  <c r="D65" i="4"/>
  <c r="E53" i="22"/>
  <c r="E45" i="22"/>
  <c r="E39" i="22"/>
  <c r="E35" i="22"/>
  <c r="E29" i="22"/>
  <c r="E37" i="22"/>
  <c r="E110" i="22"/>
  <c r="D56" i="22"/>
  <c r="D38" i="22"/>
  <c r="C35" i="22"/>
  <c r="E111" i="22"/>
  <c r="E54" i="22"/>
  <c r="E40" i="22"/>
  <c r="E36" i="22"/>
  <c r="D53" i="22"/>
  <c r="D45" i="22"/>
  <c r="D39" i="22"/>
  <c r="D35" i="22"/>
  <c r="D29" i="22"/>
  <c r="F39" i="20"/>
  <c r="E222" i="18"/>
  <c r="E246" i="18"/>
  <c r="D310" i="18"/>
  <c r="E310" i="18"/>
  <c r="D145" i="18"/>
  <c r="D259" i="18"/>
  <c r="C223" i="18"/>
  <c r="C247" i="18"/>
  <c r="E65" i="18"/>
  <c r="D66" i="18"/>
  <c r="D294" i="18"/>
  <c r="D77" i="18"/>
  <c r="D102" i="18"/>
  <c r="E22" i="18"/>
  <c r="D272" i="17"/>
  <c r="E283" i="17"/>
  <c r="F283" i="17"/>
  <c r="E286" i="17"/>
  <c r="D287" i="17"/>
  <c r="D289" i="17"/>
  <c r="C194" i="17"/>
  <c r="C139" i="17"/>
  <c r="C104" i="17"/>
  <c r="C268" i="17"/>
  <c r="C263" i="17"/>
  <c r="F286" i="17"/>
  <c r="E264" i="17"/>
  <c r="F264" i="17"/>
  <c r="F215" i="17"/>
  <c r="D270" i="17"/>
  <c r="E267" i="17"/>
  <c r="F267" i="17"/>
  <c r="E200" i="17"/>
  <c r="F200" i="17"/>
  <c r="E190" i="17"/>
  <c r="F190" i="17"/>
  <c r="D288" i="17"/>
  <c r="C196" i="17"/>
  <c r="C49" i="17"/>
  <c r="C161" i="17"/>
  <c r="C126" i="17"/>
  <c r="C91" i="17"/>
  <c r="E91" i="17"/>
  <c r="F91" i="17"/>
  <c r="D161" i="17"/>
  <c r="D162" i="17"/>
  <c r="D91" i="17"/>
  <c r="D92" i="17"/>
  <c r="E21" i="17"/>
  <c r="F21" i="17"/>
  <c r="D49" i="17"/>
  <c r="E181" i="17"/>
  <c r="D125" i="17"/>
  <c r="D210" i="17"/>
  <c r="D211" i="17"/>
  <c r="D175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D22" i="13"/>
  <c r="E22" i="13"/>
  <c r="C34" i="12"/>
  <c r="D24" i="8"/>
  <c r="D20" i="8"/>
  <c r="D17" i="8"/>
  <c r="C112" i="8"/>
  <c r="C111" i="8"/>
  <c r="C28" i="8"/>
  <c r="C99" i="8"/>
  <c r="C101" i="8"/>
  <c r="C98" i="8"/>
  <c r="E111" i="8"/>
  <c r="E28" i="8"/>
  <c r="E22" i="8"/>
  <c r="D75" i="4"/>
  <c r="D43" i="4"/>
  <c r="D47" i="22"/>
  <c r="D37" i="22"/>
  <c r="C55" i="22"/>
  <c r="E112" i="22"/>
  <c r="D123" i="18"/>
  <c r="D113" i="18"/>
  <c r="D247" i="18"/>
  <c r="E247" i="18"/>
  <c r="D50" i="17"/>
  <c r="E161" i="17"/>
  <c r="F161" i="17"/>
  <c r="C92" i="17"/>
  <c r="C162" i="17"/>
  <c r="C195" i="17"/>
  <c r="E126" i="17"/>
  <c r="F126" i="17"/>
  <c r="C127" i="17"/>
  <c r="D291" i="17"/>
  <c r="D305" i="17"/>
  <c r="D309" i="17"/>
  <c r="C42" i="12"/>
  <c r="D28" i="8"/>
  <c r="D22" i="8"/>
  <c r="D112" i="8"/>
  <c r="D111" i="8"/>
  <c r="C197" i="17"/>
  <c r="E162" i="17"/>
  <c r="F162" i="17"/>
  <c r="D183" i="17"/>
  <c r="D273" i="17"/>
  <c r="D304" i="17"/>
  <c r="E271" i="17"/>
  <c r="E127" i="17"/>
  <c r="D176" i="17"/>
  <c r="E135" i="8"/>
  <c r="E140" i="8"/>
  <c r="E138" i="8"/>
  <c r="E193" i="9"/>
  <c r="F193" i="9"/>
  <c r="F205" i="17"/>
  <c r="D114" i="18"/>
  <c r="D124" i="18"/>
  <c r="D127" i="18"/>
  <c r="D109" i="18"/>
  <c r="D122" i="18"/>
  <c r="D112" i="18"/>
  <c r="D125" i="18"/>
  <c r="D115" i="18"/>
  <c r="D140" i="17"/>
  <c r="D62" i="17"/>
  <c r="E61" i="4"/>
  <c r="F61" i="4"/>
  <c r="C65" i="4"/>
  <c r="D98" i="8"/>
  <c r="C50" i="17"/>
  <c r="D90" i="18"/>
  <c r="E43" i="20"/>
  <c r="D99" i="8"/>
  <c r="D101" i="8"/>
  <c r="D70" i="13"/>
  <c r="D72" i="13"/>
  <c r="D69" i="13"/>
  <c r="E49" i="17"/>
  <c r="F49" i="17"/>
  <c r="D126" i="18"/>
  <c r="E66" i="18"/>
  <c r="D295" i="18"/>
  <c r="F278" i="17"/>
  <c r="F138" i="17"/>
  <c r="F81" i="6"/>
  <c r="C260" i="18"/>
  <c r="E195" i="18"/>
  <c r="D268" i="17"/>
  <c r="E268" i="17"/>
  <c r="E261" i="17"/>
  <c r="F261" i="17"/>
  <c r="D263" i="17"/>
  <c r="E263" i="17"/>
  <c r="C21" i="5"/>
  <c r="D135" i="8"/>
  <c r="D139" i="8"/>
  <c r="D137" i="8"/>
  <c r="D140" i="8"/>
  <c r="D138" i="8"/>
  <c r="D136" i="8"/>
  <c r="C265" i="17"/>
  <c r="C211" i="18"/>
  <c r="C235" i="18"/>
  <c r="C234" i="18"/>
  <c r="E47" i="6"/>
  <c r="F47" i="6"/>
  <c r="E88" i="6"/>
  <c r="D95" i="6"/>
  <c r="D323" i="17"/>
  <c r="E137" i="8"/>
  <c r="E252" i="18"/>
  <c r="E192" i="17"/>
  <c r="F192" i="17"/>
  <c r="D193" i="17"/>
  <c r="C37" i="22"/>
  <c r="D20" i="12"/>
  <c r="E17" i="12"/>
  <c r="F17" i="12"/>
  <c r="D110" i="18"/>
  <c r="F263" i="17"/>
  <c r="E139" i="8"/>
  <c r="F262" i="17"/>
  <c r="E262" i="17"/>
  <c r="C272" i="17"/>
  <c r="D300" i="17"/>
  <c r="D180" i="18"/>
  <c r="F33" i="5"/>
  <c r="E48" i="5"/>
  <c r="F111" i="6"/>
  <c r="C95" i="7"/>
  <c r="E90" i="7"/>
  <c r="F90" i="7"/>
  <c r="E156" i="8"/>
  <c r="E155" i="8"/>
  <c r="E157" i="8"/>
  <c r="E153" i="8"/>
  <c r="E154" i="8"/>
  <c r="E158" i="8"/>
  <c r="F102" i="9"/>
  <c r="C65" i="11"/>
  <c r="E61" i="11"/>
  <c r="F61" i="11"/>
  <c r="C125" i="17"/>
  <c r="E48" i="17"/>
  <c r="F48" i="17"/>
  <c r="C160" i="17"/>
  <c r="C90" i="17"/>
  <c r="C253" i="18"/>
  <c r="C254" i="18"/>
  <c r="D103" i="18"/>
  <c r="D174" i="17"/>
  <c r="D139" i="17"/>
  <c r="E139" i="17"/>
  <c r="F139" i="17"/>
  <c r="E166" i="9"/>
  <c r="F166" i="9"/>
  <c r="C49" i="12"/>
  <c r="E61" i="17"/>
  <c r="F61" i="17"/>
  <c r="E55" i="22"/>
  <c r="E47" i="22"/>
  <c r="F288" i="17"/>
  <c r="C20" i="8"/>
  <c r="C21" i="8"/>
  <c r="D156" i="18"/>
  <c r="E151" i="18"/>
  <c r="D163" i="18"/>
  <c r="E163" i="18"/>
  <c r="E288" i="17"/>
  <c r="F255" i="17"/>
  <c r="E92" i="17"/>
  <c r="F92" i="17"/>
  <c r="E99" i="8"/>
  <c r="E101" i="8"/>
  <c r="E98" i="8"/>
  <c r="F127" i="17"/>
  <c r="D111" i="18"/>
  <c r="D121" i="18"/>
  <c r="C47" i="22"/>
  <c r="D209" i="17"/>
  <c r="F268" i="17"/>
  <c r="D168" i="18"/>
  <c r="D55" i="22"/>
  <c r="E136" i="8"/>
  <c r="C271" i="17"/>
  <c r="F206" i="17"/>
  <c r="C300" i="17"/>
  <c r="F274" i="17"/>
  <c r="F172" i="17"/>
  <c r="C173" i="17"/>
  <c r="C207" i="17"/>
  <c r="E41" i="5"/>
  <c r="F41" i="5"/>
  <c r="F46" i="6"/>
  <c r="C138" i="8"/>
  <c r="C137" i="8"/>
  <c r="C135" i="8"/>
  <c r="D43" i="11"/>
  <c r="E29" i="11"/>
  <c r="F29" i="11"/>
  <c r="C31" i="17"/>
  <c r="C77" i="17"/>
  <c r="E77" i="17"/>
  <c r="E76" i="17"/>
  <c r="F76" i="17"/>
  <c r="E102" i="17"/>
  <c r="F102" i="17"/>
  <c r="D103" i="17"/>
  <c r="E103" i="17"/>
  <c r="F103" i="17"/>
  <c r="E164" i="17"/>
  <c r="F164" i="17"/>
  <c r="F29" i="4"/>
  <c r="C43" i="4"/>
  <c r="D52" i="6"/>
  <c r="E52" i="6"/>
  <c r="F52" i="6"/>
  <c r="E41" i="6"/>
  <c r="F41" i="6"/>
  <c r="C95" i="6"/>
  <c r="E94" i="6"/>
  <c r="C57" i="8"/>
  <c r="C62" i="8"/>
  <c r="C43" i="8"/>
  <c r="C53" i="8"/>
  <c r="C207" i="9"/>
  <c r="E198" i="9"/>
  <c r="F198" i="9"/>
  <c r="F60" i="10"/>
  <c r="E60" i="10"/>
  <c r="C75" i="11"/>
  <c r="C68" i="17"/>
  <c r="E101" i="22"/>
  <c r="E102" i="22"/>
  <c r="D216" i="17"/>
  <c r="C49" i="8"/>
  <c r="E144" i="17"/>
  <c r="F144" i="17"/>
  <c r="E233" i="18"/>
  <c r="D18" i="5"/>
  <c r="E16" i="5"/>
  <c r="F16" i="5"/>
  <c r="E50" i="6"/>
  <c r="F92" i="6"/>
  <c r="E201" i="9"/>
  <c r="F201" i="9"/>
  <c r="E30" i="15"/>
  <c r="F30" i="15"/>
  <c r="F155" i="17"/>
  <c r="E155" i="17"/>
  <c r="E214" i="17"/>
  <c r="C17" i="13"/>
  <c r="C28" i="13"/>
  <c r="C281" i="17"/>
  <c r="E66" i="17"/>
  <c r="F66" i="17"/>
  <c r="E30" i="17"/>
  <c r="F30" i="17"/>
  <c r="C41" i="4"/>
  <c r="F38" i="4"/>
  <c r="F38" i="6"/>
  <c r="E68" i="6"/>
  <c r="F135" i="17"/>
  <c r="C277" i="17"/>
  <c r="E188" i="17"/>
  <c r="F188" i="17"/>
  <c r="C214" i="17"/>
  <c r="C254" i="17"/>
  <c r="C259" i="18"/>
  <c r="C263" i="18"/>
  <c r="C44" i="18"/>
  <c r="E228" i="18"/>
  <c r="D253" i="18"/>
  <c r="E253" i="18"/>
  <c r="C270" i="17"/>
  <c r="E269" i="17"/>
  <c r="F269" i="17"/>
  <c r="C53" i="22"/>
  <c r="F68" i="6"/>
  <c r="C33" i="22"/>
  <c r="C23" i="22"/>
  <c r="C39" i="22"/>
  <c r="E30" i="22"/>
  <c r="C45" i="22"/>
  <c r="F56" i="11"/>
  <c r="E289" i="18"/>
  <c r="E45" i="6"/>
  <c r="F45" i="6"/>
  <c r="D95" i="7"/>
  <c r="E95" i="7"/>
  <c r="F55" i="15"/>
  <c r="E198" i="17"/>
  <c r="F198" i="17"/>
  <c r="D199" i="17"/>
  <c r="E199" i="17"/>
  <c r="F199" i="17"/>
  <c r="E165" i="18"/>
  <c r="C75" i="4"/>
  <c r="F43" i="6"/>
  <c r="F90" i="6"/>
  <c r="F130" i="7"/>
  <c r="F89" i="9"/>
  <c r="E65" i="11"/>
  <c r="D75" i="11"/>
  <c r="E75" i="11"/>
  <c r="C144" i="18"/>
  <c r="C175" i="18"/>
  <c r="E175" i="18"/>
  <c r="D229" i="18"/>
  <c r="E229" i="18"/>
  <c r="D210" i="18"/>
  <c r="D242" i="18"/>
  <c r="E242" i="18"/>
  <c r="D217" i="18"/>
  <c r="F88" i="6"/>
  <c r="E167" i="7"/>
  <c r="F167" i="7"/>
  <c r="D188" i="7"/>
  <c r="E188" i="7"/>
  <c r="F188" i="7"/>
  <c r="F101" i="9"/>
  <c r="E101" i="9"/>
  <c r="F192" i="9"/>
  <c r="E192" i="9"/>
  <c r="F20" i="20"/>
  <c r="D40" i="22"/>
  <c r="C77" i="22"/>
  <c r="C102" i="22"/>
  <c r="C103" i="22"/>
  <c r="E38" i="4"/>
  <c r="F49" i="6"/>
  <c r="E51" i="6"/>
  <c r="E81" i="6"/>
  <c r="F86" i="6"/>
  <c r="F153" i="6"/>
  <c r="F18" i="7"/>
  <c r="C86" i="8"/>
  <c r="D166" i="8"/>
  <c r="F200" i="9"/>
  <c r="F130" i="17"/>
  <c r="D102" i="22"/>
  <c r="D103" i="22"/>
  <c r="D77" i="22"/>
  <c r="E88" i="22"/>
  <c r="D57" i="8"/>
  <c r="D62" i="8"/>
  <c r="D43" i="8"/>
  <c r="F24" i="9"/>
  <c r="F76" i="9"/>
  <c r="E102" i="9"/>
  <c r="E89" i="17"/>
  <c r="F89" i="17"/>
  <c r="F110" i="17"/>
  <c r="F307" i="17"/>
  <c r="E39" i="18"/>
  <c r="C76" i="18"/>
  <c r="E76" i="18"/>
  <c r="C49" i="19"/>
  <c r="C64" i="19"/>
  <c r="C65" i="19"/>
  <c r="C114" i="19"/>
  <c r="C116" i="19"/>
  <c r="C119" i="19"/>
  <c r="C123" i="19"/>
  <c r="C40" i="20"/>
  <c r="C208" i="9"/>
  <c r="F40" i="12"/>
  <c r="E47" i="12"/>
  <c r="E57" i="13"/>
  <c r="E55" i="15"/>
  <c r="E23" i="16"/>
  <c r="F23" i="16"/>
  <c r="E130" i="17"/>
  <c r="E177" i="18"/>
  <c r="F49" i="9"/>
  <c r="E48" i="10"/>
  <c r="E40" i="12"/>
  <c r="C50" i="13"/>
  <c r="F50" i="15"/>
  <c r="D261" i="18"/>
  <c r="D189" i="18"/>
  <c r="E189" i="18"/>
  <c r="E36" i="20"/>
  <c r="F36" i="20"/>
  <c r="E44" i="20"/>
  <c r="F44" i="20"/>
  <c r="F204" i="9"/>
  <c r="E120" i="10"/>
  <c r="F100" i="15"/>
  <c r="E135" i="17"/>
  <c r="E72" i="18"/>
  <c r="E75" i="18"/>
  <c r="E178" i="18"/>
  <c r="E19" i="21"/>
  <c r="F19" i="21"/>
  <c r="E180" i="9"/>
  <c r="F202" i="9"/>
  <c r="E116" i="10"/>
  <c r="C43" i="11"/>
  <c r="C77" i="18"/>
  <c r="E16" i="20"/>
  <c r="F16" i="20"/>
  <c r="E40" i="20"/>
  <c r="E41" i="20"/>
  <c r="E21" i="21"/>
  <c r="F21" i="21"/>
  <c r="D208" i="9"/>
  <c r="E208" i="9"/>
  <c r="E23" i="10"/>
  <c r="E35" i="10"/>
  <c r="E71" i="10"/>
  <c r="E83" i="10"/>
  <c r="E114" i="10"/>
  <c r="F16" i="15"/>
  <c r="E45" i="15"/>
  <c r="F45" i="15"/>
  <c r="E120" i="17"/>
  <c r="F120" i="17"/>
  <c r="E165" i="17"/>
  <c r="C294" i="18"/>
  <c r="E294" i="18"/>
  <c r="E279" i="18"/>
  <c r="E282" i="18"/>
  <c r="E293" i="18"/>
  <c r="C33" i="18"/>
  <c r="E193" i="17"/>
  <c r="F193" i="17"/>
  <c r="D194" i="17"/>
  <c r="D266" i="17"/>
  <c r="D282" i="17"/>
  <c r="E90" i="17"/>
  <c r="F90" i="17"/>
  <c r="E33" i="18"/>
  <c r="C295" i="18"/>
  <c r="E295" i="18"/>
  <c r="C109" i="22"/>
  <c r="C108" i="22"/>
  <c r="C145" i="18"/>
  <c r="C180" i="18"/>
  <c r="C168" i="18"/>
  <c r="E168" i="18"/>
  <c r="E75" i="4"/>
  <c r="F75" i="4"/>
  <c r="E103" i="22"/>
  <c r="E207" i="9"/>
  <c r="F207" i="9"/>
  <c r="F43" i="4"/>
  <c r="E160" i="17"/>
  <c r="F160" i="17"/>
  <c r="D91" i="18"/>
  <c r="E141" i="8"/>
  <c r="D310" i="17"/>
  <c r="F208" i="9"/>
  <c r="C110" i="22"/>
  <c r="F214" i="17"/>
  <c r="C216" i="17"/>
  <c r="C304" i="17"/>
  <c r="E41" i="4"/>
  <c r="F41" i="4"/>
  <c r="E18" i="5"/>
  <c r="F18" i="5"/>
  <c r="D21" i="5"/>
  <c r="D104" i="17"/>
  <c r="E104" i="17"/>
  <c r="F104" i="17"/>
  <c r="E95" i="6"/>
  <c r="E65" i="4"/>
  <c r="F65" i="4"/>
  <c r="E114" i="18"/>
  <c r="C126" i="18"/>
  <c r="E126" i="18"/>
  <c r="C110" i="18"/>
  <c r="C116" i="18"/>
  <c r="C123" i="18"/>
  <c r="E123" i="18"/>
  <c r="C113" i="18"/>
  <c r="E113" i="18"/>
  <c r="C112" i="18"/>
  <c r="C111" i="18"/>
  <c r="C109" i="18"/>
  <c r="C127" i="18"/>
  <c r="C125" i="18"/>
  <c r="E125" i="18"/>
  <c r="C124" i="18"/>
  <c r="E124" i="18"/>
  <c r="C122" i="18"/>
  <c r="C128" i="18"/>
  <c r="C115" i="18"/>
  <c r="E115" i="18"/>
  <c r="C121" i="18"/>
  <c r="C114" i="18"/>
  <c r="C41" i="20"/>
  <c r="F41" i="20"/>
  <c r="F40" i="20"/>
  <c r="D109" i="22"/>
  <c r="D110" i="22"/>
  <c r="D108" i="22"/>
  <c r="D113" i="22"/>
  <c r="D111" i="22"/>
  <c r="E68" i="17"/>
  <c r="F68" i="17"/>
  <c r="C273" i="17"/>
  <c r="E273" i="17"/>
  <c r="F271" i="17"/>
  <c r="E43" i="4"/>
  <c r="E259" i="18"/>
  <c r="E180" i="18"/>
  <c r="D116" i="18"/>
  <c r="D254" i="18"/>
  <c r="E254" i="18"/>
  <c r="E112" i="18"/>
  <c r="F43" i="11"/>
  <c r="E261" i="18"/>
  <c r="D263" i="18"/>
  <c r="E217" i="18"/>
  <c r="D241" i="18"/>
  <c r="E241" i="18"/>
  <c r="E48" i="22"/>
  <c r="E38" i="22"/>
  <c r="E113" i="22"/>
  <c r="E56" i="22"/>
  <c r="F270" i="17"/>
  <c r="E277" i="17"/>
  <c r="F277" i="17"/>
  <c r="C287" i="17"/>
  <c r="C284" i="17"/>
  <c r="C279" i="17"/>
  <c r="F75" i="11"/>
  <c r="C32" i="17"/>
  <c r="E31" i="17"/>
  <c r="F31" i="17"/>
  <c r="D157" i="18"/>
  <c r="E156" i="18"/>
  <c r="E125" i="17"/>
  <c r="F125" i="17"/>
  <c r="E144" i="18"/>
  <c r="E254" i="17"/>
  <c r="F254" i="17"/>
  <c r="D141" i="8"/>
  <c r="E260" i="18"/>
  <c r="D128" i="18"/>
  <c r="C208" i="17"/>
  <c r="E207" i="17"/>
  <c r="F207" i="17"/>
  <c r="E121" i="18"/>
  <c r="E77" i="18"/>
  <c r="E300" i="17"/>
  <c r="F300" i="17"/>
  <c r="E210" i="18"/>
  <c r="D211" i="18"/>
  <c r="D234" i="18"/>
  <c r="E234" i="18"/>
  <c r="C46" i="22"/>
  <c r="C111" i="22"/>
  <c r="C54" i="22"/>
  <c r="C40" i="22"/>
  <c r="C36" i="22"/>
  <c r="C30" i="22"/>
  <c r="E216" i="17"/>
  <c r="F95" i="6"/>
  <c r="E43" i="11"/>
  <c r="F173" i="17"/>
  <c r="E173" i="17"/>
  <c r="C174" i="17"/>
  <c r="E111" i="18"/>
  <c r="E272" i="17"/>
  <c r="F272" i="17"/>
  <c r="C112" i="22"/>
  <c r="C35" i="5"/>
  <c r="D105" i="17"/>
  <c r="E127" i="18"/>
  <c r="D141" i="17"/>
  <c r="D34" i="12"/>
  <c r="E20" i="12"/>
  <c r="F20" i="12"/>
  <c r="D63" i="17"/>
  <c r="E109" i="18"/>
  <c r="D117" i="18"/>
  <c r="D153" i="8"/>
  <c r="D156" i="8"/>
  <c r="D157" i="8"/>
  <c r="D155" i="8"/>
  <c r="D154" i="8"/>
  <c r="D152" i="8"/>
  <c r="C258" i="18"/>
  <c r="C100" i="18"/>
  <c r="E100" i="18"/>
  <c r="C97" i="18"/>
  <c r="E97" i="18"/>
  <c r="C89" i="18"/>
  <c r="E89" i="18"/>
  <c r="E44" i="18"/>
  <c r="C84" i="18"/>
  <c r="C96" i="18"/>
  <c r="C98" i="18"/>
  <c r="E98" i="18"/>
  <c r="C101" i="18"/>
  <c r="E101" i="18"/>
  <c r="C87" i="18"/>
  <c r="E87" i="18"/>
  <c r="C99" i="18"/>
  <c r="E99" i="18"/>
  <c r="C85" i="18"/>
  <c r="E85" i="18"/>
  <c r="C86" i="18"/>
  <c r="E86" i="18"/>
  <c r="C83" i="18"/>
  <c r="C95" i="18"/>
  <c r="C88" i="18"/>
  <c r="E88" i="18"/>
  <c r="C70" i="13"/>
  <c r="C72" i="13"/>
  <c r="C69" i="13"/>
  <c r="C22" i="13"/>
  <c r="C141" i="8"/>
  <c r="D112" i="22"/>
  <c r="F65" i="11"/>
  <c r="F95" i="7"/>
  <c r="E270" i="17"/>
  <c r="F43" i="20"/>
  <c r="E46" i="20"/>
  <c r="F46" i="20"/>
  <c r="F50" i="17"/>
  <c r="E50" i="17"/>
  <c r="F216" i="17"/>
  <c r="D281" i="17"/>
  <c r="E281" i="17"/>
  <c r="F281" i="17"/>
  <c r="E282" i="17"/>
  <c r="F282" i="17"/>
  <c r="C102" i="18"/>
  <c r="E102" i="18"/>
  <c r="E96" i="18"/>
  <c r="F174" i="17"/>
  <c r="E279" i="17"/>
  <c r="F279" i="17"/>
  <c r="D35" i="5"/>
  <c r="E21" i="5"/>
  <c r="F21" i="5"/>
  <c r="E266" i="17"/>
  <c r="F266" i="17"/>
  <c r="D265" i="17"/>
  <c r="E265" i="17"/>
  <c r="F265" i="17"/>
  <c r="C91" i="18"/>
  <c r="E83" i="18"/>
  <c r="C90" i="18"/>
  <c r="E90" i="18"/>
  <c r="E84" i="18"/>
  <c r="D106" i="17"/>
  <c r="E122" i="18"/>
  <c r="E174" i="17"/>
  <c r="E284" i="17"/>
  <c r="F284" i="17"/>
  <c r="C117" i="18"/>
  <c r="E194" i="17"/>
  <c r="F194" i="17"/>
  <c r="D195" i="17"/>
  <c r="E195" i="17"/>
  <c r="F195" i="17"/>
  <c r="D196" i="17"/>
  <c r="E263" i="18"/>
  <c r="D264" i="18"/>
  <c r="C264" i="18"/>
  <c r="C266" i="18"/>
  <c r="C267" i="18"/>
  <c r="E258" i="18"/>
  <c r="D158" i="8"/>
  <c r="D70" i="17"/>
  <c r="C105" i="17"/>
  <c r="C175" i="17"/>
  <c r="C62" i="17"/>
  <c r="C140" i="17"/>
  <c r="C210" i="17"/>
  <c r="E32" i="17"/>
  <c r="F32" i="17"/>
  <c r="D322" i="17"/>
  <c r="D148" i="17"/>
  <c r="D235" i="18"/>
  <c r="E235" i="18"/>
  <c r="E211" i="18"/>
  <c r="D181" i="18"/>
  <c r="C169" i="18"/>
  <c r="C181" i="18"/>
  <c r="E145" i="18"/>
  <c r="C113" i="22"/>
  <c r="C56" i="22"/>
  <c r="C38" i="22"/>
  <c r="C48" i="22"/>
  <c r="E208" i="17"/>
  <c r="F208" i="17"/>
  <c r="C209" i="17"/>
  <c r="C103" i="18"/>
  <c r="E103" i="18"/>
  <c r="E95" i="18"/>
  <c r="F273" i="17"/>
  <c r="D105" i="18"/>
  <c r="C43" i="5"/>
  <c r="E128" i="18"/>
  <c r="E116" i="18"/>
  <c r="E304" i="17"/>
  <c r="F304" i="17"/>
  <c r="D42" i="12"/>
  <c r="E34" i="12"/>
  <c r="F34" i="12"/>
  <c r="D129" i="18"/>
  <c r="E157" i="18"/>
  <c r="D169" i="18"/>
  <c r="E169" i="18"/>
  <c r="C291" i="17"/>
  <c r="C289" i="17"/>
  <c r="E287" i="17"/>
  <c r="F287" i="17"/>
  <c r="E110" i="18"/>
  <c r="C129" i="18"/>
  <c r="D312" i="17"/>
  <c r="C269" i="18"/>
  <c r="C268" i="18"/>
  <c r="C271" i="18"/>
  <c r="C305" i="17"/>
  <c r="E291" i="17"/>
  <c r="F291" i="17"/>
  <c r="E210" i="17"/>
  <c r="F210" i="17"/>
  <c r="D313" i="17"/>
  <c r="C50" i="5"/>
  <c r="E181" i="18"/>
  <c r="C141" i="17"/>
  <c r="E140" i="17"/>
  <c r="F140" i="17"/>
  <c r="E196" i="17"/>
  <c r="F196" i="17"/>
  <c r="D197" i="17"/>
  <c r="E197" i="17"/>
  <c r="F197" i="17"/>
  <c r="D113" i="17"/>
  <c r="D324" i="17"/>
  <c r="C105" i="18"/>
  <c r="E105" i="18"/>
  <c r="E264" i="18"/>
  <c r="D266" i="18"/>
  <c r="C106" i="17"/>
  <c r="E106" i="17"/>
  <c r="F289" i="17"/>
  <c r="E289" i="17"/>
  <c r="E209" i="17"/>
  <c r="F209" i="17"/>
  <c r="E129" i="18"/>
  <c r="E105" i="17"/>
  <c r="F105" i="17"/>
  <c r="D43" i="5"/>
  <c r="E35" i="5"/>
  <c r="F35" i="5"/>
  <c r="E91" i="18"/>
  <c r="C63" i="17"/>
  <c r="E62" i="17"/>
  <c r="F62" i="17"/>
  <c r="D131" i="18"/>
  <c r="D49" i="12"/>
  <c r="E49" i="12"/>
  <c r="F49" i="12"/>
  <c r="E42" i="12"/>
  <c r="F42" i="12"/>
  <c r="C176" i="17"/>
  <c r="E175" i="17"/>
  <c r="F175" i="17"/>
  <c r="C131" i="18"/>
  <c r="E117" i="18"/>
  <c r="E266" i="18"/>
  <c r="D267" i="18"/>
  <c r="C70" i="17"/>
  <c r="E63" i="17"/>
  <c r="F63" i="17"/>
  <c r="C322" i="17"/>
  <c r="C211" i="17"/>
  <c r="C148" i="17"/>
  <c r="E141" i="17"/>
  <c r="F141" i="17"/>
  <c r="F176" i="17"/>
  <c r="C183" i="17"/>
  <c r="C323" i="17"/>
  <c r="E176" i="17"/>
  <c r="F305" i="17"/>
  <c r="C309" i="17"/>
  <c r="E305" i="17"/>
  <c r="E324" i="17"/>
  <c r="D325" i="17"/>
  <c r="D50" i="5"/>
  <c r="E50" i="5"/>
  <c r="E43" i="5"/>
  <c r="F43" i="5"/>
  <c r="E113" i="17"/>
  <c r="F50" i="5"/>
  <c r="F106" i="17"/>
  <c r="C324" i="17"/>
  <c r="C113" i="17"/>
  <c r="D315" i="17"/>
  <c r="D251" i="17"/>
  <c r="D256" i="17"/>
  <c r="D314" i="17"/>
  <c r="E131" i="18"/>
  <c r="E211" i="17"/>
  <c r="F211" i="17"/>
  <c r="D257" i="17"/>
  <c r="F323" i="17"/>
  <c r="E323" i="17"/>
  <c r="F183" i="17"/>
  <c r="E183" i="17"/>
  <c r="E70" i="17"/>
  <c r="F70" i="17"/>
  <c r="E309" i="17"/>
  <c r="F309" i="17"/>
  <c r="C310" i="17"/>
  <c r="E148" i="17"/>
  <c r="F148" i="17"/>
  <c r="D318" i="17"/>
  <c r="E322" i="17"/>
  <c r="F322" i="17"/>
  <c r="E325" i="17"/>
  <c r="F113" i="17"/>
  <c r="D269" i="18"/>
  <c r="E269" i="18"/>
  <c r="E267" i="18"/>
  <c r="D268" i="18"/>
  <c r="F324" i="17"/>
  <c r="C325" i="17"/>
  <c r="D271" i="18"/>
  <c r="E271" i="18"/>
  <c r="E268" i="18"/>
  <c r="C312" i="17"/>
  <c r="E310" i="17"/>
  <c r="F310" i="17"/>
  <c r="F325" i="17"/>
  <c r="C313" i="17"/>
  <c r="E312" i="17"/>
  <c r="F312" i="17"/>
  <c r="C314" i="17"/>
  <c r="C251" i="17"/>
  <c r="C256" i="17"/>
  <c r="C315" i="17"/>
  <c r="E313" i="17"/>
  <c r="F313" i="17"/>
  <c r="C318" i="17"/>
  <c r="E314" i="17"/>
  <c r="F314" i="17"/>
  <c r="E315" i="17"/>
  <c r="F315" i="17"/>
  <c r="C257" i="17"/>
  <c r="E256" i="17"/>
  <c r="F256" i="17"/>
  <c r="F251" i="17"/>
  <c r="E251" i="17"/>
  <c r="F318" i="17"/>
  <c r="E318" i="17"/>
  <c r="E257" i="17"/>
  <c r="F257" i="17"/>
</calcChain>
</file>

<file path=xl/sharedStrings.xml><?xml version="1.0" encoding="utf-8"?>
<sst xmlns="http://schemas.openxmlformats.org/spreadsheetml/2006/main" count="2335" uniqueCount="1009">
  <si>
    <t>SAINT MARY`S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</si>
  <si>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</si>
  <si>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</si>
  <si>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</si>
  <si>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</si>
  <si>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</si>
  <si>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</si>
  <si>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</si>
  <si>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</si>
  <si>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</si>
  <si>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</si>
  <si>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</si>
  <si>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</si>
  <si>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</si>
  <si>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</si>
  <si>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</si>
  <si>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</si>
  <si>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</si>
  <si>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</si>
  <si>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</si>
  <si>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</si>
  <si>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</si>
  <si>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</si>
  <si>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</si>
  <si>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</si>
  <si>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</si>
  <si>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</si>
  <si>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</si>
  <si>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</si>
  <si>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</si>
  <si>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</si>
  <si>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</si>
  <si>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</si>
  <si>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</si>
  <si>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</si>
  <si>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</si>
  <si>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</si>
  <si>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</si>
  <si>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</si>
  <si>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</si>
  <si>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</si>
  <si>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</si>
  <si>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</si>
  <si>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</si>
  <si>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</si>
  <si>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</si>
  <si>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</si>
  <si>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</si>
  <si>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</si>
  <si>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</si>
  <si>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</si>
  <si>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</si>
  <si>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</si>
  <si>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</si>
  <si>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</si>
  <si>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</si>
  <si>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</si>
  <si>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</si>
  <si>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</si>
  <si>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</si>
  <si>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</si>
  <si>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</si>
  <si>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</si>
  <si>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</si>
  <si>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</si>
  <si>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</si>
  <si>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</si>
  <si>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</si>
  <si>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</si>
  <si>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</si>
  <si>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</si>
  <si>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</si>
  <si>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</si>
  <si>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</si>
  <si>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</si>
  <si>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</si>
  <si>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</si>
  <si>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</si>
  <si>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</si>
  <si>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</si>
  <si>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</si>
  <si>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</si>
  <si>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</si>
  <si>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</si>
  <si>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</si>
  <si>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</si>
  <si>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</si>
  <si>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</si>
  <si>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</si>
  <si>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</si>
  <si>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</si>
  <si>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</si>
  <si>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</si>
  <si>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</si>
  <si>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</si>
  <si>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</si>
  <si>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</si>
  <si>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</si>
  <si>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</si>
  <si>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</si>
  <si>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</si>
  <si>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</si>
  <si>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</si>
  <si>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</si>
  <si>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</si>
  <si>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</si>
  <si>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</si>
  <si>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</si>
  <si>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</si>
  <si>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</si>
  <si>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</si>
  <si>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</si>
  <si>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</si>
  <si>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</si>
  <si>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</si>
  <si>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</si>
  <si>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</si>
  <si>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</si>
  <si>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</si>
  <si>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</si>
  <si>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</si>
  <si>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</si>
  <si>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</si>
  <si>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</si>
  <si>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</si>
  <si>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</si>
  <si>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</si>
  <si>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</si>
  <si>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</si>
  <si>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</si>
  <si>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</si>
  <si>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</si>
  <si>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</si>
  <si>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</si>
  <si>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</si>
  <si>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</si>
  <si>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</si>
  <si>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</si>
  <si>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</si>
  <si>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</si>
  <si>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</si>
  <si>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</si>
  <si>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</si>
  <si>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</si>
  <si>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</si>
  <si>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</si>
  <si>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</si>
  <si>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</si>
  <si>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</si>
  <si>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</si>
  <si>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</si>
  <si>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</si>
  <si>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</si>
  <si>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</si>
  <si>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</si>
  <si>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</si>
  <si>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</si>
  <si>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</si>
  <si>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</si>
  <si>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</si>
  <si>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</si>
  <si>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</si>
  <si>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</si>
  <si>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</si>
  <si>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</si>
  <si>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</si>
  <si>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</si>
  <si>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</si>
  <si>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</si>
  <si>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</si>
  <si>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</si>
  <si>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</si>
  <si>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</si>
  <si>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</si>
  <si>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</si>
  <si>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</si>
  <si>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</si>
  <si>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</si>
  <si>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</si>
  <si>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</si>
  <si>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</si>
  <si>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</si>
  <si>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</si>
  <si>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</si>
  <si>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</si>
  <si>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</si>
  <si>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</si>
  <si>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</si>
  <si>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</si>
  <si>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</si>
  <si>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</si>
  <si>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</si>
  <si>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</si>
  <si>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</si>
  <si>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</si>
  <si>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</si>
  <si>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</si>
  <si>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</si>
  <si>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</si>
  <si>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</si>
  <si>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</si>
  <si>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</si>
  <si>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</si>
  <si>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</si>
  <si>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</si>
  <si>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</si>
  <si>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</si>
  <si>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</si>
  <si>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</si>
  <si>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</si>
  <si>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</si>
  <si>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</si>
  <si>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</si>
  <si>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</si>
  <si>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</si>
  <si>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</si>
  <si>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</si>
  <si>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</si>
  <si>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</si>
  <si>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</si>
  <si>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</si>
  <si>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</si>
  <si>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</si>
  <si>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</si>
  <si>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</si>
  <si>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</si>
  <si>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</si>
  <si>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</si>
  <si>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</si>
  <si>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</si>
  <si>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</si>
  <si>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</si>
  <si>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</si>
  <si>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</si>
  <si>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</si>
  <si>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</si>
  <si>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</si>
  <si>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</si>
  <si>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</si>
  <si>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</si>
  <si>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</si>
  <si>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</si>
  <si>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</si>
  <si>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</si>
  <si>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</si>
  <si>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</si>
  <si>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</si>
  <si>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</si>
  <si>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</si>
  <si>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</si>
  <si>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</si>
  <si>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</si>
  <si>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</si>
  <si>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</si>
  <si>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</si>
  <si>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</si>
  <si>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</si>
  <si>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</si>
  <si>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</si>
  <si>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</si>
  <si>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</si>
  <si>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</si>
  <si>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</si>
  <si>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</si>
  <si>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</si>
  <si>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</si>
  <si>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</si>
  <si>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</si>
  <si>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</si>
  <si>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</si>
  <si>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</si>
  <si>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</si>
  <si>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</si>
  <si>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</si>
  <si>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</si>
  <si>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</si>
  <si>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</si>
  <si>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</si>
  <si>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</si>
  <si>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</si>
  <si>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</si>
  <si>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</si>
  <si>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</si>
  <si>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</si>
  <si>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</si>
  <si>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</si>
  <si>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</si>
  <si>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</si>
  <si>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</si>
  <si>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</si>
  <si>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</si>
  <si>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</si>
  <si>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</si>
  <si>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</si>
  <si>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</si>
  <si>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</si>
  <si>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</si>
  <si>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</si>
  <si>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</si>
  <si>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</si>
  <si>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</si>
  <si>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</si>
  <si>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</si>
  <si>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</si>
  <si>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</si>
  <si>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</si>
  <si>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</si>
  <si>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</si>
  <si>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</si>
  <si>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</si>
  <si>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</si>
  <si>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</si>
  <si>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</si>
  <si>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</si>
  <si>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</si>
  <si>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</si>
  <si>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</si>
  <si>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</si>
  <si>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</si>
  <si>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</si>
  <si>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</si>
  <si>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</si>
  <si>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</si>
  <si>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</si>
  <si>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</si>
  <si>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</si>
  <si>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</si>
  <si>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</si>
  <si>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</si>
  <si>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</si>
  <si>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</si>
  <si>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</si>
  <si>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</si>
  <si>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</si>
  <si>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</si>
  <si>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</si>
  <si>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</si>
  <si>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</si>
  <si>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</si>
  <si>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</si>
  <si>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</si>
  <si>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</si>
  <si>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</si>
  <si>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</si>
  <si>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</si>
  <si>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</si>
  <si>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</si>
  <si>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</si>
  <si>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</si>
  <si>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</si>
  <si>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</si>
  <si>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</si>
  <si>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</si>
  <si>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</si>
  <si>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</si>
  <si>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</si>
  <si>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</si>
  <si>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</si>
  <si>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</si>
  <si>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</si>
  <si>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</si>
  <si>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</si>
  <si>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</si>
  <si>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</si>
  <si>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</si>
  <si>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</si>
  <si>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</si>
  <si>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</si>
  <si>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</si>
  <si>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</si>
  <si>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</si>
  <si>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</si>
  <si>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</si>
  <si>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</si>
  <si>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</si>
  <si>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</si>
  <si>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</si>
  <si>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</si>
  <si>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</si>
  <si>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</si>
  <si>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</si>
  <si>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</si>
  <si>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</si>
  <si>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</si>
  <si>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</si>
  <si>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</si>
  <si>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</si>
  <si>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</si>
  <si>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</si>
  <si>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</si>
  <si>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</si>
  <si>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</si>
  <si>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</si>
  <si>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</si>
  <si>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</si>
  <si>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</si>
  <si>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</si>
  <si>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</si>
  <si>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</si>
  <si>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</si>
  <si>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</si>
  <si>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</si>
  <si>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</si>
  <si>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</si>
  <si>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</si>
  <si>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</si>
  <si>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</si>
  <si>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</si>
  <si>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</si>
  <si>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</si>
  <si>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</si>
  <si>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</si>
  <si>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</si>
  <si>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</si>
  <si>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</si>
  <si>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</si>
  <si>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</si>
  <si>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</si>
  <si>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</si>
  <si>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</si>
  <si>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</si>
  <si>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</si>
  <si>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</si>
  <si>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</si>
  <si>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</si>
  <si>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</si>
  <si>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</si>
  <si>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</si>
  <si>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</si>
  <si>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</si>
  <si>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</si>
  <si>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</si>
  <si>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</si>
  <si>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</si>
  <si>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</si>
  <si>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</si>
  <si>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</si>
  <si>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</si>
  <si>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</si>
  <si>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</si>
  <si>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</si>
  <si>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</si>
  <si>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</si>
  <si>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</si>
  <si>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</si>
  <si>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</si>
  <si>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</si>
  <si>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</si>
  <si>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</si>
  <si>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</si>
  <si>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</si>
  <si>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</si>
  <si>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</si>
  <si>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</si>
  <si>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</si>
  <si>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</si>
  <si>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</si>
  <si>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</si>
  <si>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</si>
  <si>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</si>
  <si>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</si>
  <si>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</si>
  <si>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</si>
  <si>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</si>
  <si>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</si>
  <si>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</si>
  <si>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</si>
  <si>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</si>
  <si>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</si>
  <si>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</si>
  <si>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</si>
  <si>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</si>
  <si>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</si>
  <si>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</si>
  <si>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</si>
  <si>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</si>
  <si>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</si>
  <si>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</si>
  <si>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</si>
  <si>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</si>
  <si>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</si>
  <si>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</si>
  <si>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</si>
  <si>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</si>
  <si>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</si>
  <si>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</si>
  <si>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</si>
  <si>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</si>
  <si>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</si>
  <si>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</si>
  <si>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</si>
  <si>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</si>
  <si>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</si>
  <si>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</si>
  <si>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</si>
  <si>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</si>
  <si>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</si>
  <si>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</si>
  <si>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</si>
  <si>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</si>
  <si>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SAINT MARY`S HEALTH SYSTEM,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</si>
  <si>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</si>
  <si>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</si>
  <si>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</si>
  <si>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</si>
  <si>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</si>
  <si>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</si>
  <si>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</si>
  <si>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</si>
  <si>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</si>
  <si>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</si>
  <si>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</si>
  <si>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</si>
  <si>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</si>
  <si>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</si>
  <si>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</si>
  <si>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</si>
  <si>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</si>
  <si>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</si>
  <si>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</si>
  <si>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</si>
  <si>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</si>
  <si>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</si>
  <si>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</si>
  <si>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</si>
  <si>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</si>
  <si>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</si>
  <si>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</si>
  <si>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</si>
  <si>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</si>
  <si>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</si>
  <si>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</si>
  <si>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</si>
  <si>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</si>
  <si>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</si>
  <si>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</si>
  <si>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</si>
  <si>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</si>
  <si>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</si>
  <si>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</si>
  <si>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</si>
  <si>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</si>
  <si>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</si>
  <si>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</si>
  <si>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</si>
  <si>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</si>
  <si>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</si>
  <si>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</si>
  <si>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</si>
  <si>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</si>
  <si>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</si>
  <si>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</si>
  <si>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</si>
  <si>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</si>
  <si>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</si>
  <si>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</si>
  <si>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</si>
  <si>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</si>
  <si>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</si>
  <si>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</si>
  <si>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</si>
  <si>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</si>
  <si>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</si>
  <si>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</si>
  <si>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</si>
  <si>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</si>
  <si>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</si>
  <si>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</si>
  <si>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</si>
  <si>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</si>
  <si>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</si>
  <si>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</si>
  <si>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</si>
  <si>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</si>
  <si>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</si>
  <si>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</si>
  <si>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</si>
  <si>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</si>
  <si>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</si>
  <si>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</si>
  <si>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</si>
  <si>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</si>
  <si>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</si>
  <si>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</si>
  <si>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</si>
  <si>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</si>
  <si>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</si>
  <si>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</si>
  <si>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</si>
  <si>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</si>
  <si>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</si>
  <si>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</si>
  <si>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</si>
  <si>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</si>
  <si>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</si>
  <si>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</si>
  <si>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</si>
  <si>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</si>
  <si>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</si>
  <si>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</si>
  <si>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</si>
  <si>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</si>
  <si>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</si>
  <si>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</si>
  <si>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</si>
  <si>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</si>
  <si>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</si>
  <si>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</si>
  <si>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</si>
  <si>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</si>
  <si>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</si>
  <si>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</si>
  <si>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</si>
  <si>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</si>
  <si>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</si>
  <si>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</si>
  <si>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</si>
  <si>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</si>
  <si>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</si>
  <si>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</si>
  <si>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</si>
  <si>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</t>
  </si>
  <si>
    <t>Naugatuck Valley Surgical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</si>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</sst>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24610000</v>
      </c>
      <c r="D13" s="22">
        <v>13310000</v>
      </c>
      <c r="E13" s="22">
        <f t="shared" ref="E13:E22" si="0">D13-C13</f>
        <v>-11300000</v>
      </c>
      <c r="F13" s="23">
        <f t="shared" ref="F13:F22" si="1">IF(C13=0,0,E13/C13)</f>
        <v>-0.45916294189353923</v>
      </c>
    </row>
    <row r="14" spans="1:8" ht="24" customHeight="1" x14ac:dyDescent="0.2">
      <c r="A14" s="20">
        <v>2</v>
      </c>
      <c r="B14" s="21" t="s">
        <v>17</v>
      </c>
      <c r="C14" s="22">
        <v>17000</v>
      </c>
      <c r="D14" s="22">
        <v>17000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26816000</v>
      </c>
      <c r="D15" s="22">
        <v>28548000</v>
      </c>
      <c r="E15" s="22">
        <f t="shared" si="0"/>
        <v>1732000</v>
      </c>
      <c r="F15" s="23">
        <f t="shared" si="1"/>
        <v>6.4588305489260145E-2</v>
      </c>
    </row>
    <row r="16" spans="1:8" ht="24" customHeight="1" x14ac:dyDescent="0.2">
      <c r="A16" s="20">
        <v>4</v>
      </c>
      <c r="B16" s="21" t="s">
        <v>19</v>
      </c>
      <c r="C16" s="22">
        <v>1145000</v>
      </c>
      <c r="D16" s="22">
        <v>0</v>
      </c>
      <c r="E16" s="22">
        <f t="shared" si="0"/>
        <v>-1145000</v>
      </c>
      <c r="F16" s="23">
        <f t="shared" si="1"/>
        <v>-1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3645000</v>
      </c>
      <c r="D19" s="22">
        <v>3701000</v>
      </c>
      <c r="E19" s="22">
        <f t="shared" si="0"/>
        <v>56000</v>
      </c>
      <c r="F19" s="23">
        <f t="shared" si="1"/>
        <v>1.5363511659807956E-2</v>
      </c>
    </row>
    <row r="20" spans="1:11" ht="24" customHeight="1" x14ac:dyDescent="0.2">
      <c r="A20" s="20">
        <v>8</v>
      </c>
      <c r="B20" s="21" t="s">
        <v>23</v>
      </c>
      <c r="C20" s="22">
        <v>2374000</v>
      </c>
      <c r="D20" s="22">
        <v>3301000</v>
      </c>
      <c r="E20" s="22">
        <f t="shared" si="0"/>
        <v>927000</v>
      </c>
      <c r="F20" s="23">
        <f t="shared" si="1"/>
        <v>0.39048020219039598</v>
      </c>
    </row>
    <row r="21" spans="1:11" ht="24" customHeight="1" x14ac:dyDescent="0.2">
      <c r="A21" s="20">
        <v>9</v>
      </c>
      <c r="B21" s="21" t="s">
        <v>24</v>
      </c>
      <c r="C21" s="22">
        <v>89000</v>
      </c>
      <c r="D21" s="22">
        <v>3792000</v>
      </c>
      <c r="E21" s="22">
        <f t="shared" si="0"/>
        <v>3703000</v>
      </c>
      <c r="F21" s="23">
        <f t="shared" si="1"/>
        <v>41.606741573033709</v>
      </c>
    </row>
    <row r="22" spans="1:11" ht="24" customHeight="1" x14ac:dyDescent="0.25">
      <c r="A22" s="24"/>
      <c r="B22" s="25" t="s">
        <v>25</v>
      </c>
      <c r="C22" s="26">
        <f>SUM(C13:C21)</f>
        <v>58696000</v>
      </c>
      <c r="D22" s="26">
        <f>SUM(D13:D21)</f>
        <v>52669000</v>
      </c>
      <c r="E22" s="26">
        <f t="shared" si="0"/>
        <v>-6027000</v>
      </c>
      <c r="F22" s="27">
        <f t="shared" si="1"/>
        <v>-0.10268161373858525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15696000</v>
      </c>
      <c r="D25" s="22">
        <v>14764000</v>
      </c>
      <c r="E25" s="22">
        <f>D25-C25</f>
        <v>-932000</v>
      </c>
      <c r="F25" s="23">
        <f>IF(C25=0,0,E25/C25)</f>
        <v>-5.9378185524974515E-2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4327000</v>
      </c>
      <c r="D28" s="22">
        <v>20166000</v>
      </c>
      <c r="E28" s="22">
        <f>D28-C28</f>
        <v>15839000</v>
      </c>
      <c r="F28" s="23">
        <f>IF(C28=0,0,E28/C28)</f>
        <v>3.6605038132655419</v>
      </c>
    </row>
    <row r="29" spans="1:11" ht="24" customHeight="1" x14ac:dyDescent="0.25">
      <c r="A29" s="24"/>
      <c r="B29" s="25" t="s">
        <v>32</v>
      </c>
      <c r="C29" s="26">
        <f>SUM(C25:C28)</f>
        <v>20023000</v>
      </c>
      <c r="D29" s="26">
        <f>SUM(D25:D28)</f>
        <v>34930000</v>
      </c>
      <c r="E29" s="26">
        <f>D29-C29</f>
        <v>14907000</v>
      </c>
      <c r="F29" s="27">
        <f>IF(C29=0,0,E29/C29)</f>
        <v>0.74449383209309294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5182000</v>
      </c>
      <c r="D31" s="22">
        <v>4908000</v>
      </c>
      <c r="E31" s="22">
        <f>D31-C31</f>
        <v>-274000</v>
      </c>
      <c r="F31" s="23">
        <f>IF(C31=0,0,E31/C31)</f>
        <v>-5.2875337707448865E-2</v>
      </c>
    </row>
    <row r="32" spans="1:11" ht="24" customHeight="1" x14ac:dyDescent="0.2">
      <c r="A32" s="20">
        <v>6</v>
      </c>
      <c r="B32" s="21" t="s">
        <v>34</v>
      </c>
      <c r="C32" s="22">
        <v>19658000</v>
      </c>
      <c r="D32" s="22">
        <v>124000</v>
      </c>
      <c r="E32" s="22">
        <f>D32-C32</f>
        <v>-19534000</v>
      </c>
      <c r="F32" s="23">
        <f>IF(C32=0,0,E32/C32)</f>
        <v>-0.99369213551734659</v>
      </c>
    </row>
    <row r="33" spans="1:8" ht="24" customHeight="1" x14ac:dyDescent="0.2">
      <c r="A33" s="20">
        <v>7</v>
      </c>
      <c r="B33" s="21" t="s">
        <v>35</v>
      </c>
      <c r="C33" s="22">
        <v>23826000</v>
      </c>
      <c r="D33" s="22">
        <v>25663000</v>
      </c>
      <c r="E33" s="22">
        <f>D33-C33</f>
        <v>1837000</v>
      </c>
      <c r="F33" s="23">
        <f>IF(C33=0,0,E33/C33)</f>
        <v>7.7100646352723914E-2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188968000</v>
      </c>
      <c r="D36" s="22">
        <v>205415000</v>
      </c>
      <c r="E36" s="22">
        <f>D36-C36</f>
        <v>16447000</v>
      </c>
      <c r="F36" s="23">
        <f>IF(C36=0,0,E36/C36)</f>
        <v>8.7035900258244786E-2</v>
      </c>
    </row>
    <row r="37" spans="1:8" ht="24" customHeight="1" x14ac:dyDescent="0.2">
      <c r="A37" s="20">
        <v>2</v>
      </c>
      <c r="B37" s="21" t="s">
        <v>39</v>
      </c>
      <c r="C37" s="22">
        <v>129200000</v>
      </c>
      <c r="D37" s="22">
        <v>139994000</v>
      </c>
      <c r="E37" s="22">
        <f>D37-C37</f>
        <v>10794000</v>
      </c>
      <c r="F37" s="23">
        <f>IF(C37=0,0,E37/C37)</f>
        <v>8.354489164086687E-2</v>
      </c>
    </row>
    <row r="38" spans="1:8" ht="24" customHeight="1" x14ac:dyDescent="0.25">
      <c r="A38" s="24"/>
      <c r="B38" s="25" t="s">
        <v>40</v>
      </c>
      <c r="C38" s="26">
        <f>C36-C37</f>
        <v>59768000</v>
      </c>
      <c r="D38" s="26">
        <f>D36-D37</f>
        <v>65421000</v>
      </c>
      <c r="E38" s="26">
        <f>D38-C38</f>
        <v>5653000</v>
      </c>
      <c r="F38" s="27">
        <f>IF(C38=0,0,E38/C38)</f>
        <v>9.4582385222861734E-2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59768000</v>
      </c>
      <c r="D41" s="26">
        <f>+D38+D40</f>
        <v>65421000</v>
      </c>
      <c r="E41" s="26">
        <f>D41-C41</f>
        <v>5653000</v>
      </c>
      <c r="F41" s="27">
        <f>IF(C41=0,0,E41/C41)</f>
        <v>9.4582385222861734E-2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187153000</v>
      </c>
      <c r="D43" s="26">
        <f>D22+D29+D31+D32+D33+D41</f>
        <v>183715000</v>
      </c>
      <c r="E43" s="26">
        <f>D43-C43</f>
        <v>-3438000</v>
      </c>
      <c r="F43" s="27">
        <f>IF(C43=0,0,E43/C43)</f>
        <v>-1.8369996740634668E-2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16795000</v>
      </c>
      <c r="D49" s="22">
        <v>21871000</v>
      </c>
      <c r="E49" s="22">
        <f t="shared" ref="E49:E56" si="2">D49-C49</f>
        <v>5076000</v>
      </c>
      <c r="F49" s="23">
        <f t="shared" ref="F49:F56" si="3">IF(C49=0,0,E49/C49)</f>
        <v>0.30223280738314973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3974000</v>
      </c>
      <c r="D50" s="22">
        <v>3962000</v>
      </c>
      <c r="E50" s="22">
        <f t="shared" si="2"/>
        <v>-12000</v>
      </c>
      <c r="F50" s="23">
        <f t="shared" si="3"/>
        <v>-3.0196275792652239E-3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783000</v>
      </c>
      <c r="D51" s="22">
        <v>727000</v>
      </c>
      <c r="E51" s="22">
        <f t="shared" si="2"/>
        <v>-56000</v>
      </c>
      <c r="F51" s="23">
        <f t="shared" si="3"/>
        <v>-7.151979565772669E-2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2101000</v>
      </c>
      <c r="D53" s="22">
        <v>3180000</v>
      </c>
      <c r="E53" s="22">
        <f t="shared" si="2"/>
        <v>1079000</v>
      </c>
      <c r="F53" s="23">
        <f t="shared" si="3"/>
        <v>0.51356496906235127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13994000</v>
      </c>
      <c r="D55" s="22">
        <v>13976000</v>
      </c>
      <c r="E55" s="22">
        <f t="shared" si="2"/>
        <v>-18000</v>
      </c>
      <c r="F55" s="23">
        <f t="shared" si="3"/>
        <v>-1.2862655423753037E-3</v>
      </c>
    </row>
    <row r="56" spans="1:6" ht="24" customHeight="1" x14ac:dyDescent="0.25">
      <c r="A56" s="24"/>
      <c r="B56" s="25" t="s">
        <v>54</v>
      </c>
      <c r="C56" s="26">
        <f>SUM(C49:C55)</f>
        <v>37647000</v>
      </c>
      <c r="D56" s="26">
        <f>SUM(D49:D55)</f>
        <v>43716000</v>
      </c>
      <c r="E56" s="26">
        <f t="shared" si="2"/>
        <v>6069000</v>
      </c>
      <c r="F56" s="27">
        <f t="shared" si="3"/>
        <v>0.1612080643876006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17818000</v>
      </c>
      <c r="D59" s="22">
        <v>0</v>
      </c>
      <c r="E59" s="22">
        <f>D59-C59</f>
        <v>-17818000</v>
      </c>
      <c r="F59" s="23">
        <f>IF(C59=0,0,E59/C59)</f>
        <v>-1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10589000</v>
      </c>
      <c r="E60" s="22">
        <f>D60-C60</f>
        <v>10589000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17818000</v>
      </c>
      <c r="D61" s="26">
        <f>SUM(D59:D60)</f>
        <v>10589000</v>
      </c>
      <c r="E61" s="26">
        <f>D61-C61</f>
        <v>-7229000</v>
      </c>
      <c r="F61" s="27">
        <f>IF(C61=0,0,E61/C61)</f>
        <v>-0.4057133236053429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72182000</v>
      </c>
      <c r="D63" s="22">
        <v>74894000</v>
      </c>
      <c r="E63" s="22">
        <f>D63-C63</f>
        <v>2712000</v>
      </c>
      <c r="F63" s="23">
        <f>IF(C63=0,0,E63/C63)</f>
        <v>3.7571693774071095E-2</v>
      </c>
    </row>
    <row r="64" spans="1:6" ht="24" customHeight="1" x14ac:dyDescent="0.2">
      <c r="A64" s="20">
        <v>4</v>
      </c>
      <c r="B64" s="21" t="s">
        <v>60</v>
      </c>
      <c r="C64" s="22">
        <v>12742000</v>
      </c>
      <c r="D64" s="22">
        <v>9352000</v>
      </c>
      <c r="E64" s="22">
        <f>D64-C64</f>
        <v>-3390000</v>
      </c>
      <c r="F64" s="23">
        <f>IF(C64=0,0,E64/C64)</f>
        <v>-0.26604928582640086</v>
      </c>
    </row>
    <row r="65" spans="1:6" ht="24" customHeight="1" x14ac:dyDescent="0.25">
      <c r="A65" s="24"/>
      <c r="B65" s="25" t="s">
        <v>61</v>
      </c>
      <c r="C65" s="26">
        <f>SUM(C61:C64)</f>
        <v>102742000</v>
      </c>
      <c r="D65" s="26">
        <f>SUM(D61:D64)</f>
        <v>94835000</v>
      </c>
      <c r="E65" s="26">
        <f>D65-C65</f>
        <v>-7907000</v>
      </c>
      <c r="F65" s="27">
        <f>IF(C65=0,0,E65/C65)</f>
        <v>-7.6959763290572497E-2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27668000</v>
      </c>
      <c r="D70" s="22">
        <v>27411000</v>
      </c>
      <c r="E70" s="22">
        <f>D70-C70</f>
        <v>-257000</v>
      </c>
      <c r="F70" s="23">
        <f>IF(C70=0,0,E70/C70)</f>
        <v>-9.2887089778805835E-3</v>
      </c>
    </row>
    <row r="71" spans="1:6" ht="24" customHeight="1" x14ac:dyDescent="0.2">
      <c r="A71" s="20">
        <v>2</v>
      </c>
      <c r="B71" s="21" t="s">
        <v>65</v>
      </c>
      <c r="C71" s="22">
        <v>2415000</v>
      </c>
      <c r="D71" s="22">
        <v>1922000</v>
      </c>
      <c r="E71" s="22">
        <f>D71-C71</f>
        <v>-493000</v>
      </c>
      <c r="F71" s="23">
        <f>IF(C71=0,0,E71/C71)</f>
        <v>-0.20414078674948241</v>
      </c>
    </row>
    <row r="72" spans="1:6" ht="24" customHeight="1" x14ac:dyDescent="0.2">
      <c r="A72" s="20">
        <v>3</v>
      </c>
      <c r="B72" s="21" t="s">
        <v>66</v>
      </c>
      <c r="C72" s="22">
        <v>16681000</v>
      </c>
      <c r="D72" s="22">
        <v>15831000</v>
      </c>
      <c r="E72" s="22">
        <f>D72-C72</f>
        <v>-850000</v>
      </c>
      <c r="F72" s="23">
        <f>IF(C72=0,0,E72/C72)</f>
        <v>-5.0956177687189019E-2</v>
      </c>
    </row>
    <row r="73" spans="1:6" ht="24" customHeight="1" x14ac:dyDescent="0.25">
      <c r="A73" s="20"/>
      <c r="B73" s="25" t="s">
        <v>67</v>
      </c>
      <c r="C73" s="26">
        <f>SUM(C70:C72)</f>
        <v>46764000</v>
      </c>
      <c r="D73" s="26">
        <f>SUM(D70:D72)</f>
        <v>45164000</v>
      </c>
      <c r="E73" s="26">
        <f>D73-C73</f>
        <v>-1600000</v>
      </c>
      <c r="F73" s="27">
        <f>IF(C73=0,0,E73/C73)</f>
        <v>-3.4214352921050378E-2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187153000</v>
      </c>
      <c r="D75" s="26">
        <f>D56+D65+D67+D73</f>
        <v>183715000</v>
      </c>
      <c r="E75" s="26">
        <f>D75-C75</f>
        <v>-3438000</v>
      </c>
      <c r="F75" s="27">
        <f>IF(C75=0,0,E75/C75)</f>
        <v>-1.8369996740634668E-2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256021000</v>
      </c>
      <c r="D11" s="76">
        <v>268087000</v>
      </c>
      <c r="E11" s="76">
        <v>285389000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7864000</v>
      </c>
      <c r="D12" s="185">
        <v>10774000</v>
      </c>
      <c r="E12" s="185">
        <v>10072000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263885000</v>
      </c>
      <c r="D13" s="76">
        <f>+D11+D12</f>
        <v>278861000</v>
      </c>
      <c r="E13" s="76">
        <f>+E11+E12</f>
        <v>295461000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255204000</v>
      </c>
      <c r="D14" s="185">
        <v>269715000</v>
      </c>
      <c r="E14" s="185">
        <v>293300000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8681000</v>
      </c>
      <c r="D15" s="76">
        <f>+D13-D14</f>
        <v>9146000</v>
      </c>
      <c r="E15" s="76">
        <f>+E13-E14</f>
        <v>2161000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1758000</v>
      </c>
      <c r="D16" s="185">
        <v>3684000</v>
      </c>
      <c r="E16" s="185">
        <v>2528000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10439000</v>
      </c>
      <c r="D17" s="76">
        <f>D15+D16</f>
        <v>12830000</v>
      </c>
      <c r="E17" s="76">
        <f>E15+E16</f>
        <v>4689000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3.2679197268514509E-2</v>
      </c>
      <c r="D20" s="189">
        <f>IF(+D27=0,0,+D24/+D27)</f>
        <v>3.2370064945406923E-2</v>
      </c>
      <c r="E20" s="189">
        <f>IF(+E27=0,0,+E24/+E27)</f>
        <v>7.2519455416139526E-3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6.6179044808257698E-3</v>
      </c>
      <c r="D21" s="189">
        <f>IF(+D27=0,0,+D26/+D27)</f>
        <v>1.303863101452866E-2</v>
      </c>
      <c r="E21" s="189">
        <f>IF(+E27=0,0,+E26/+E27)</f>
        <v>8.4835346271171092E-3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3.9297101749340278E-2</v>
      </c>
      <c r="D22" s="189">
        <f>IF(+D27=0,0,+D28/+D27)</f>
        <v>4.5408695959935588E-2</v>
      </c>
      <c r="E22" s="189">
        <f>IF(+E27=0,0,+E28/+E27)</f>
        <v>1.573548016873106E-2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8681000</v>
      </c>
      <c r="D24" s="76">
        <f>+D15</f>
        <v>9146000</v>
      </c>
      <c r="E24" s="76">
        <f>+E15</f>
        <v>2161000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263885000</v>
      </c>
      <c r="D25" s="76">
        <f>+D13</f>
        <v>278861000</v>
      </c>
      <c r="E25" s="76">
        <f>+E13</f>
        <v>295461000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1758000</v>
      </c>
      <c r="D26" s="76">
        <f>+D16</f>
        <v>3684000</v>
      </c>
      <c r="E26" s="76">
        <f>+E16</f>
        <v>2528000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265643000</v>
      </c>
      <c r="D27" s="76">
        <f>SUM(D25:D26)</f>
        <v>282545000</v>
      </c>
      <c r="E27" s="76">
        <f>SUM(E25:E26)</f>
        <v>297989000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10439000</v>
      </c>
      <c r="D28" s="76">
        <f>+D17</f>
        <v>12830000</v>
      </c>
      <c r="E28" s="76">
        <f>+E17</f>
        <v>4689000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34102000</v>
      </c>
      <c r="D31" s="76">
        <v>32525000</v>
      </c>
      <c r="E31" s="76">
        <v>32395000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52626000</v>
      </c>
      <c r="D32" s="76">
        <v>51621000</v>
      </c>
      <c r="E32" s="76">
        <v>50148000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32441000</v>
      </c>
      <c r="D33" s="76">
        <f>+D32-C32</f>
        <v>-1005000</v>
      </c>
      <c r="E33" s="76">
        <f>+E32-D32</f>
        <v>-1473000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2.6071</v>
      </c>
      <c r="D34" s="193">
        <f>IF(C32=0,0,+D33/C32)</f>
        <v>-1.9097024284574163E-2</v>
      </c>
      <c r="E34" s="193">
        <f>IF(D32=0,0,+E33/D32)</f>
        <v>-2.853489858778404E-2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1.4509954661935738</v>
      </c>
      <c r="D38" s="338">
        <f>IF(+D40=0,0,+D39/+D40)</f>
        <v>1.7283561508913621</v>
      </c>
      <c r="E38" s="338">
        <f>IF(+E40=0,0,+E39/+E40)</f>
        <v>1.3771487233252517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73609000</v>
      </c>
      <c r="D39" s="341">
        <v>70192000</v>
      </c>
      <c r="E39" s="341">
        <v>63050000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50730000</v>
      </c>
      <c r="D40" s="341">
        <v>40612000</v>
      </c>
      <c r="E40" s="341">
        <v>45783000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44.618522386111472</v>
      </c>
      <c r="D42" s="343">
        <f>IF((D48/365)=0,0,+D45/(D48/365))</f>
        <v>37.85812119481762</v>
      </c>
      <c r="E42" s="343">
        <f>IF((E48/365)=0,0,+E45/(E48/365))</f>
        <v>19.578007839127473</v>
      </c>
    </row>
    <row r="43" spans="1:14" ht="24" customHeight="1" x14ac:dyDescent="0.2">
      <c r="A43" s="339">
        <v>5</v>
      </c>
      <c r="B43" s="344" t="s">
        <v>16</v>
      </c>
      <c r="C43" s="345">
        <v>29939000</v>
      </c>
      <c r="D43" s="345">
        <v>26866000</v>
      </c>
      <c r="E43" s="345">
        <v>15091000</v>
      </c>
    </row>
    <row r="44" spans="1:14" ht="24" customHeight="1" x14ac:dyDescent="0.2">
      <c r="A44" s="339">
        <v>6</v>
      </c>
      <c r="B44" s="346" t="s">
        <v>17</v>
      </c>
      <c r="C44" s="345">
        <v>29000</v>
      </c>
      <c r="D44" s="345">
        <v>17000</v>
      </c>
      <c r="E44" s="345">
        <v>17000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29968000</v>
      </c>
      <c r="D45" s="341">
        <f>+D43+D44</f>
        <v>26883000</v>
      </c>
      <c r="E45" s="341">
        <f>+E43+E44</f>
        <v>15108000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255204000</v>
      </c>
      <c r="D46" s="341">
        <f>+D14</f>
        <v>269715000</v>
      </c>
      <c r="E46" s="341">
        <f>+E14</f>
        <v>293300000</v>
      </c>
    </row>
    <row r="47" spans="1:14" ht="24" customHeight="1" x14ac:dyDescent="0.2">
      <c r="A47" s="339">
        <v>9</v>
      </c>
      <c r="B47" s="340" t="s">
        <v>356</v>
      </c>
      <c r="C47" s="341">
        <v>10052000</v>
      </c>
      <c r="D47" s="341">
        <v>10529000</v>
      </c>
      <c r="E47" s="341">
        <v>11636000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245152000</v>
      </c>
      <c r="D48" s="341">
        <f>+D46-D47</f>
        <v>259186000</v>
      </c>
      <c r="E48" s="341">
        <f>+E46-E47</f>
        <v>281664000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35.260955156022362</v>
      </c>
      <c r="D50" s="350">
        <f>IF((D55/365)=0,0,+D54/(D55/365))</f>
        <v>40.102933003092275</v>
      </c>
      <c r="E50" s="350">
        <f>IF((E55/365)=0,0,+E54/(E55/365))</f>
        <v>41.154249112614714</v>
      </c>
    </row>
    <row r="51" spans="1:5" ht="24" customHeight="1" x14ac:dyDescent="0.2">
      <c r="A51" s="339">
        <v>12</v>
      </c>
      <c r="B51" s="344" t="s">
        <v>359</v>
      </c>
      <c r="C51" s="351">
        <v>30768000</v>
      </c>
      <c r="D51" s="351">
        <v>30238000</v>
      </c>
      <c r="E51" s="351">
        <v>32905000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6035000</v>
      </c>
      <c r="D53" s="341">
        <v>783000</v>
      </c>
      <c r="E53" s="341">
        <v>727000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24733000</v>
      </c>
      <c r="D54" s="352">
        <f>+D51+D52-D53</f>
        <v>29455000</v>
      </c>
      <c r="E54" s="352">
        <f>+E51+E52-E53</f>
        <v>32178000</v>
      </c>
    </row>
    <row r="55" spans="1:5" ht="24" customHeight="1" x14ac:dyDescent="0.2">
      <c r="A55" s="339">
        <v>16</v>
      </c>
      <c r="B55" s="340" t="s">
        <v>75</v>
      </c>
      <c r="C55" s="341">
        <f>+C11</f>
        <v>256021000</v>
      </c>
      <c r="D55" s="341">
        <f>+D11</f>
        <v>268087000</v>
      </c>
      <c r="E55" s="341">
        <f>+E11</f>
        <v>285389000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75.530487207936304</v>
      </c>
      <c r="D57" s="355">
        <f>IF((D61/365)=0,0,+D58/(D61/365))</f>
        <v>57.192055126434305</v>
      </c>
      <c r="E57" s="355">
        <f>IF((E61/365)=0,0,+E58/(E61/365))</f>
        <v>59.328827965235178</v>
      </c>
    </row>
    <row r="58" spans="1:5" ht="24" customHeight="1" x14ac:dyDescent="0.2">
      <c r="A58" s="339">
        <v>18</v>
      </c>
      <c r="B58" s="340" t="s">
        <v>54</v>
      </c>
      <c r="C58" s="353">
        <f>+C40</f>
        <v>50730000</v>
      </c>
      <c r="D58" s="353">
        <f>+D40</f>
        <v>40612000</v>
      </c>
      <c r="E58" s="353">
        <f>+E40</f>
        <v>45783000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255204000</v>
      </c>
      <c r="D59" s="353">
        <f t="shared" si="0"/>
        <v>269715000</v>
      </c>
      <c r="E59" s="353">
        <f t="shared" si="0"/>
        <v>293300000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10052000</v>
      </c>
      <c r="D60" s="356">
        <f t="shared" si="0"/>
        <v>10529000</v>
      </c>
      <c r="E60" s="356">
        <f t="shared" si="0"/>
        <v>11636000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245152000</v>
      </c>
      <c r="D61" s="353">
        <f>+D59-D60</f>
        <v>259186000</v>
      </c>
      <c r="E61" s="353">
        <f>+E59-E60</f>
        <v>281664000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24.484611626770882</v>
      </c>
      <c r="D65" s="357">
        <f>IF(D67=0,0,(D66/D67)*100)</f>
        <v>23.04375192511149</v>
      </c>
      <c r="E65" s="357">
        <f>IF(E67=0,0,(E66/E67)*100)</f>
        <v>24.242482838634828</v>
      </c>
    </row>
    <row r="66" spans="1:5" ht="24" customHeight="1" x14ac:dyDescent="0.2">
      <c r="A66" s="339">
        <v>2</v>
      </c>
      <c r="B66" s="340" t="s">
        <v>67</v>
      </c>
      <c r="C66" s="353">
        <f>+C32</f>
        <v>52626000</v>
      </c>
      <c r="D66" s="353">
        <f>+D32</f>
        <v>51621000</v>
      </c>
      <c r="E66" s="353">
        <f>+E32</f>
        <v>50148000</v>
      </c>
    </row>
    <row r="67" spans="1:5" ht="24" customHeight="1" x14ac:dyDescent="0.2">
      <c r="A67" s="339">
        <v>3</v>
      </c>
      <c r="B67" s="340" t="s">
        <v>43</v>
      </c>
      <c r="C67" s="353">
        <v>214935000</v>
      </c>
      <c r="D67" s="353">
        <v>224013000</v>
      </c>
      <c r="E67" s="353">
        <v>206860000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28.818350585058504</v>
      </c>
      <c r="D69" s="357">
        <f>IF(D75=0,0,(D72/D75)*100)</f>
        <v>39.927866946994172</v>
      </c>
      <c r="E69" s="357">
        <f>IF(E75=0,0,(E72/E75)*100)</f>
        <v>28.740691185014349</v>
      </c>
    </row>
    <row r="70" spans="1:5" ht="24" customHeight="1" x14ac:dyDescent="0.2">
      <c r="A70" s="339">
        <v>5</v>
      </c>
      <c r="B70" s="340" t="s">
        <v>366</v>
      </c>
      <c r="C70" s="353">
        <f>+C28</f>
        <v>10439000</v>
      </c>
      <c r="D70" s="353">
        <f>+D28</f>
        <v>12830000</v>
      </c>
      <c r="E70" s="353">
        <f>+E28</f>
        <v>4689000</v>
      </c>
    </row>
    <row r="71" spans="1:5" ht="24" customHeight="1" x14ac:dyDescent="0.2">
      <c r="A71" s="339">
        <v>6</v>
      </c>
      <c r="B71" s="340" t="s">
        <v>356</v>
      </c>
      <c r="C71" s="356">
        <f>+C47</f>
        <v>10052000</v>
      </c>
      <c r="D71" s="356">
        <f>+D47</f>
        <v>10529000</v>
      </c>
      <c r="E71" s="356">
        <f>+E47</f>
        <v>11636000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20491000</v>
      </c>
      <c r="D72" s="353">
        <f>+D70+D71</f>
        <v>23359000</v>
      </c>
      <c r="E72" s="353">
        <f>+E70+E71</f>
        <v>16325000</v>
      </c>
    </row>
    <row r="73" spans="1:5" ht="24" customHeight="1" x14ac:dyDescent="0.2">
      <c r="A73" s="339">
        <v>8</v>
      </c>
      <c r="B73" s="340" t="s">
        <v>54</v>
      </c>
      <c r="C73" s="341">
        <f>+C40</f>
        <v>50730000</v>
      </c>
      <c r="D73" s="341">
        <f>+D40</f>
        <v>40612000</v>
      </c>
      <c r="E73" s="341">
        <f>+E40</f>
        <v>45783000</v>
      </c>
    </row>
    <row r="74" spans="1:5" ht="24" customHeight="1" x14ac:dyDescent="0.2">
      <c r="A74" s="339">
        <v>9</v>
      </c>
      <c r="B74" s="340" t="s">
        <v>58</v>
      </c>
      <c r="C74" s="353">
        <v>20374000</v>
      </c>
      <c r="D74" s="353">
        <v>17891000</v>
      </c>
      <c r="E74" s="353">
        <v>11018000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71104000</v>
      </c>
      <c r="D75" s="341">
        <f>+D73+D74</f>
        <v>58503000</v>
      </c>
      <c r="E75" s="341">
        <f>+E73+E74</f>
        <v>56801000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27.909589041095888</v>
      </c>
      <c r="D77" s="359">
        <f>IF(D80=0,0,(D78/D80)*100)</f>
        <v>25.738002071584766</v>
      </c>
      <c r="E77" s="359">
        <f>IF(E80=0,0,(E78/E80)*100)</f>
        <v>18.013275349050126</v>
      </c>
    </row>
    <row r="78" spans="1:5" ht="24" customHeight="1" x14ac:dyDescent="0.2">
      <c r="A78" s="339">
        <v>12</v>
      </c>
      <c r="B78" s="340" t="s">
        <v>58</v>
      </c>
      <c r="C78" s="341">
        <f>+C74</f>
        <v>20374000</v>
      </c>
      <c r="D78" s="341">
        <f>+D74</f>
        <v>17891000</v>
      </c>
      <c r="E78" s="341">
        <f>+E74</f>
        <v>11018000</v>
      </c>
    </row>
    <row r="79" spans="1:5" ht="24" customHeight="1" x14ac:dyDescent="0.2">
      <c r="A79" s="339">
        <v>13</v>
      </c>
      <c r="B79" s="340" t="s">
        <v>67</v>
      </c>
      <c r="C79" s="341">
        <f>+C32</f>
        <v>52626000</v>
      </c>
      <c r="D79" s="341">
        <f>+D32</f>
        <v>51621000</v>
      </c>
      <c r="E79" s="341">
        <f>+E32</f>
        <v>50148000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73000000</v>
      </c>
      <c r="D80" s="341">
        <f>+D78+D79</f>
        <v>69512000</v>
      </c>
      <c r="E80" s="341">
        <f>+E78+E79</f>
        <v>61166000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FILING&amp;R&amp;8SAINT MARY`S HEALTH SYSTEM,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36164</v>
      </c>
      <c r="D11" s="376">
        <v>9062</v>
      </c>
      <c r="E11" s="376">
        <v>9216</v>
      </c>
      <c r="F11" s="377">
        <v>110</v>
      </c>
      <c r="G11" s="377">
        <v>123</v>
      </c>
      <c r="H11" s="378">
        <f>IF(F11=0,0,$C11/(F11*365))</f>
        <v>0.90072229140722293</v>
      </c>
      <c r="I11" s="378">
        <f>IF(G11=0,0,$C11/(G11*365))</f>
        <v>0.80552400044548389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4206</v>
      </c>
      <c r="D13" s="376">
        <v>1288</v>
      </c>
      <c r="E13" s="376">
        <v>0</v>
      </c>
      <c r="F13" s="377">
        <v>14</v>
      </c>
      <c r="G13" s="377">
        <v>20</v>
      </c>
      <c r="H13" s="378">
        <f>IF(F13=0,0,$C13/(F13*365))</f>
        <v>0.82309197651663402</v>
      </c>
      <c r="I13" s="378">
        <f>IF(G13=0,0,$C13/(G13*365))</f>
        <v>0.57616438356164379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4139</v>
      </c>
      <c r="D16" s="376">
        <v>654</v>
      </c>
      <c r="E16" s="376">
        <v>656</v>
      </c>
      <c r="F16" s="377">
        <v>12</v>
      </c>
      <c r="G16" s="377">
        <v>12</v>
      </c>
      <c r="H16" s="378">
        <f t="shared" si="0"/>
        <v>0.94497716894977168</v>
      </c>
      <c r="I16" s="378">
        <f t="shared" si="0"/>
        <v>0.94497716894977168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4139</v>
      </c>
      <c r="D17" s="381">
        <f>SUM(D15:D16)</f>
        <v>654</v>
      </c>
      <c r="E17" s="381">
        <f>SUM(E15:E16)</f>
        <v>656</v>
      </c>
      <c r="F17" s="381">
        <f>SUM(F15:F16)</f>
        <v>12</v>
      </c>
      <c r="G17" s="381">
        <f>SUM(G15:G16)</f>
        <v>12</v>
      </c>
      <c r="H17" s="382">
        <f t="shared" si="0"/>
        <v>0.94497716894977168</v>
      </c>
      <c r="I17" s="382">
        <f t="shared" si="0"/>
        <v>0.94497716894977168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2765</v>
      </c>
      <c r="D21" s="376">
        <v>1070</v>
      </c>
      <c r="E21" s="376">
        <v>1110</v>
      </c>
      <c r="F21" s="377">
        <v>15</v>
      </c>
      <c r="G21" s="377">
        <v>23</v>
      </c>
      <c r="H21" s="378">
        <f>IF(F21=0,0,$C21/(F21*365))</f>
        <v>0.50502283105022827</v>
      </c>
      <c r="I21" s="378">
        <f>IF(G21=0,0,$C21/(G21*365))</f>
        <v>0.3293627159023228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2055</v>
      </c>
      <c r="D23" s="376">
        <v>913</v>
      </c>
      <c r="E23" s="376">
        <v>982</v>
      </c>
      <c r="F23" s="377">
        <v>12</v>
      </c>
      <c r="G23" s="377">
        <v>23</v>
      </c>
      <c r="H23" s="378">
        <f>IF(F23=0,0,$C23/(F23*365))</f>
        <v>0.46917808219178081</v>
      </c>
      <c r="I23" s="378">
        <f>IF(G23=0,0,$C23/(G23*365))</f>
        <v>0.24478856462179868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1227</v>
      </c>
      <c r="D25" s="376">
        <v>146</v>
      </c>
      <c r="E25" s="376">
        <v>0</v>
      </c>
      <c r="F25" s="377">
        <v>5</v>
      </c>
      <c r="G25" s="377">
        <v>9</v>
      </c>
      <c r="H25" s="378">
        <f>IF(F25=0,0,$C25/(F25*365))</f>
        <v>0.67232876712328771</v>
      </c>
      <c r="I25" s="378">
        <f>IF(G25=0,0,$C25/(G25*365))</f>
        <v>0.37351598173515982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48501</v>
      </c>
      <c r="D31" s="384">
        <f>SUM(D10:D29)-D13-D17-D23</f>
        <v>10932</v>
      </c>
      <c r="E31" s="384">
        <f>SUM(E10:E29)-E17-E23</f>
        <v>10982</v>
      </c>
      <c r="F31" s="384">
        <f>SUM(F10:F29)-F17-F23</f>
        <v>156</v>
      </c>
      <c r="G31" s="384">
        <f>SUM(G10:G29)-G17-G23</f>
        <v>187</v>
      </c>
      <c r="H31" s="385">
        <f>IF(F31=0,0,$C31/(F31*365))</f>
        <v>0.8517913593256059</v>
      </c>
      <c r="I31" s="385">
        <f>IF(G31=0,0,$C31/(G31*365))</f>
        <v>0.71058530510585305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50556</v>
      </c>
      <c r="D33" s="384">
        <f>SUM(D10:D29)-D13-D17</f>
        <v>11845</v>
      </c>
      <c r="E33" s="384">
        <f>SUM(E10:E29)-E17</f>
        <v>11964</v>
      </c>
      <c r="F33" s="384">
        <f>SUM(F10:F29)-F17</f>
        <v>168</v>
      </c>
      <c r="G33" s="384">
        <f>SUM(G10:G29)-G17</f>
        <v>210</v>
      </c>
      <c r="H33" s="385">
        <f>IF(F33=0,0,$C33/(F33*365))</f>
        <v>0.8244618395303327</v>
      </c>
      <c r="I33" s="385">
        <f>IF(G33=0,0,$C33/(G33*365))</f>
        <v>0.65956947162426616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50556</v>
      </c>
      <c r="D36" s="384">
        <f t="shared" si="1"/>
        <v>11845</v>
      </c>
      <c r="E36" s="384">
        <f t="shared" si="1"/>
        <v>11964</v>
      </c>
      <c r="F36" s="384">
        <f t="shared" si="1"/>
        <v>168</v>
      </c>
      <c r="G36" s="384">
        <f t="shared" si="1"/>
        <v>210</v>
      </c>
      <c r="H36" s="387">
        <f t="shared" si="1"/>
        <v>0.8244618395303327</v>
      </c>
      <c r="I36" s="387">
        <f t="shared" si="1"/>
        <v>0.65956947162426616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50924</v>
      </c>
      <c r="D37" s="384">
        <v>11642</v>
      </c>
      <c r="E37" s="384">
        <v>11774</v>
      </c>
      <c r="F37" s="386">
        <v>182</v>
      </c>
      <c r="G37" s="386">
        <v>182</v>
      </c>
      <c r="H37" s="385">
        <f>IF(F37=0,0,$C37/(F37*365))</f>
        <v>0.76658136384163778</v>
      </c>
      <c r="I37" s="385">
        <f>IF(G37=0,0,$C37/(G37*365))</f>
        <v>0.76658136384163778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-368</v>
      </c>
      <c r="D38" s="384">
        <f t="shared" si="2"/>
        <v>203</v>
      </c>
      <c r="E38" s="384">
        <f t="shared" si="2"/>
        <v>190</v>
      </c>
      <c r="F38" s="384">
        <f t="shared" si="2"/>
        <v>-14</v>
      </c>
      <c r="G38" s="384">
        <f t="shared" si="2"/>
        <v>28</v>
      </c>
      <c r="H38" s="387">
        <f t="shared" si="2"/>
        <v>5.7880475688694921E-2</v>
      </c>
      <c r="I38" s="387">
        <f t="shared" si="2"/>
        <v>-0.10701189221737162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-7.2264551095750527E-3</v>
      </c>
      <c r="D40" s="389">
        <f t="shared" si="3"/>
        <v>1.7436866517780449E-2</v>
      </c>
      <c r="E40" s="389">
        <f t="shared" si="3"/>
        <v>1.6137251571258705E-2</v>
      </c>
      <c r="F40" s="389">
        <f t="shared" si="3"/>
        <v>-7.6923076923076927E-2</v>
      </c>
      <c r="G40" s="389">
        <f t="shared" si="3"/>
        <v>0.15384615384615385</v>
      </c>
      <c r="H40" s="389">
        <f t="shared" si="3"/>
        <v>7.5504673631293762E-2</v>
      </c>
      <c r="I40" s="389">
        <f t="shared" si="3"/>
        <v>-0.13959626109496498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379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scale="70" fitToHeight="0" orientation="landscape" horizontalDpi="1200" verticalDpi="1200" r:id="rId1"/>
  <headerFooter>
    <oddHeader>&amp;LOFFICE OF HEALTH CARE ACCESS&amp;CTWELVE MONTHS ACTUAL FILING&amp;RSAINT MARY`S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5491</v>
      </c>
      <c r="D12" s="409">
        <v>5763</v>
      </c>
      <c r="E12" s="409">
        <f>+D12-C12</f>
        <v>272</v>
      </c>
      <c r="F12" s="410">
        <f>IF(C12=0,0,+E12/C12)</f>
        <v>4.9535603715170282E-2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3991</v>
      </c>
      <c r="D13" s="409">
        <v>4234</v>
      </c>
      <c r="E13" s="409">
        <f>+D13-C13</f>
        <v>243</v>
      </c>
      <c r="F13" s="410">
        <f>IF(C13=0,0,+E13/C13)</f>
        <v>6.0886995740415936E-2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8664</v>
      </c>
      <c r="D14" s="409">
        <v>9342</v>
      </c>
      <c r="E14" s="409">
        <f>+D14-C14</f>
        <v>678</v>
      </c>
      <c r="F14" s="410">
        <f>IF(C14=0,0,+E14/C14)</f>
        <v>7.8254847645429365E-2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4189</v>
      </c>
      <c r="D15" s="409">
        <v>3090</v>
      </c>
      <c r="E15" s="409">
        <f>+D15-C15</f>
        <v>-1099</v>
      </c>
      <c r="F15" s="410">
        <f>IF(C15=0,0,+E15/C15)</f>
        <v>-0.26235378371926477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22335</v>
      </c>
      <c r="D16" s="401">
        <f>SUM(D12:D15)</f>
        <v>22429</v>
      </c>
      <c r="E16" s="401">
        <f>+D16-C16</f>
        <v>94</v>
      </c>
      <c r="F16" s="402">
        <f>IF(C16=0,0,+E16/C16)</f>
        <v>4.2086411461831202E-3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1253</v>
      </c>
      <c r="D19" s="409">
        <v>1136</v>
      </c>
      <c r="E19" s="409">
        <f>+D19-C19</f>
        <v>-117</v>
      </c>
      <c r="F19" s="410">
        <f>IF(C19=0,0,+E19/C19)</f>
        <v>-9.3375897845171585E-2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2408</v>
      </c>
      <c r="D20" s="409">
        <v>2433</v>
      </c>
      <c r="E20" s="409">
        <f>+D20-C20</f>
        <v>25</v>
      </c>
      <c r="F20" s="410">
        <f>IF(C20=0,0,+E20/C20)</f>
        <v>1.0382059800664452E-2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205</v>
      </c>
      <c r="D21" s="409">
        <v>277</v>
      </c>
      <c r="E21" s="409">
        <f>+D21-C21</f>
        <v>72</v>
      </c>
      <c r="F21" s="410">
        <f>IF(C21=0,0,+E21/C21)</f>
        <v>0.35121951219512193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8666</v>
      </c>
      <c r="D22" s="409">
        <v>7941</v>
      </c>
      <c r="E22" s="409">
        <f>+D22-C22</f>
        <v>-725</v>
      </c>
      <c r="F22" s="410">
        <f>IF(C22=0,0,+E22/C22)</f>
        <v>-8.3660281560120009E-2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12532</v>
      </c>
      <c r="D23" s="401">
        <f>SUM(D19:D22)</f>
        <v>11787</v>
      </c>
      <c r="E23" s="401">
        <f>+D23-C23</f>
        <v>-745</v>
      </c>
      <c r="F23" s="402">
        <f>IF(C23=0,0,+E23/C23)</f>
        <v>-5.9447813597191188E-2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785</v>
      </c>
      <c r="D36" s="409">
        <v>704</v>
      </c>
      <c r="E36" s="409">
        <f>+D36-C36</f>
        <v>-81</v>
      </c>
      <c r="F36" s="410">
        <f>IF(C36=0,0,+E36/C36)</f>
        <v>-0.10318471337579618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785</v>
      </c>
      <c r="D37" s="401">
        <f>SUM(D33:D36)</f>
        <v>704</v>
      </c>
      <c r="E37" s="401">
        <f>+D37-C37</f>
        <v>-81</v>
      </c>
      <c r="F37" s="402">
        <f>IF(C37=0,0,+E37/C37)</f>
        <v>-0.10318471337579618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11742</v>
      </c>
      <c r="D44" s="409">
        <v>11118</v>
      </c>
      <c r="E44" s="409">
        <f>+D44-C44</f>
        <v>-624</v>
      </c>
      <c r="F44" s="410">
        <f>IF(C44=0,0,+E44/C44)</f>
        <v>-5.3142565150740929E-2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11742</v>
      </c>
      <c r="D45" s="401">
        <f>SUM(D43:D44)</f>
        <v>11118</v>
      </c>
      <c r="E45" s="401">
        <f>+D45-C45</f>
        <v>-624</v>
      </c>
      <c r="F45" s="402">
        <f>IF(C45=0,0,+E45/C45)</f>
        <v>-5.3142565150740929E-2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421</v>
      </c>
      <c r="D48" s="409">
        <v>432</v>
      </c>
      <c r="E48" s="409">
        <f>+D48-C48</f>
        <v>11</v>
      </c>
      <c r="F48" s="410">
        <f>IF(C48=0,0,+E48/C48)</f>
        <v>2.6128266033254157E-2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414</v>
      </c>
      <c r="D49" s="409">
        <v>449</v>
      </c>
      <c r="E49" s="409">
        <f>+D49-C49</f>
        <v>35</v>
      </c>
      <c r="F49" s="410">
        <f>IF(C49=0,0,+E49/C49)</f>
        <v>8.4541062801932368E-2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835</v>
      </c>
      <c r="D50" s="401">
        <f>SUM(D48:D49)</f>
        <v>881</v>
      </c>
      <c r="E50" s="401">
        <f>+D50-C50</f>
        <v>46</v>
      </c>
      <c r="F50" s="402">
        <f>IF(C50=0,0,+E50/C50)</f>
        <v>5.5089820359281436E-2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284</v>
      </c>
      <c r="D53" s="409">
        <v>317</v>
      </c>
      <c r="E53" s="409">
        <f>+D53-C53</f>
        <v>33</v>
      </c>
      <c r="F53" s="410">
        <f>IF(C53=0,0,+E53/C53)</f>
        <v>0.11619718309859155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284</v>
      </c>
      <c r="D55" s="401">
        <f>SUM(D53:D54)</f>
        <v>317</v>
      </c>
      <c r="E55" s="401">
        <f>+D55-C55</f>
        <v>33</v>
      </c>
      <c r="F55" s="402">
        <f>IF(C55=0,0,+E55/C55)</f>
        <v>0.11619718309859155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119</v>
      </c>
      <c r="D58" s="409">
        <v>85</v>
      </c>
      <c r="E58" s="409">
        <f>+D58-C58</f>
        <v>-34</v>
      </c>
      <c r="F58" s="410">
        <f>IF(C58=0,0,+E58/C58)</f>
        <v>-0.2857142857142857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95</v>
      </c>
      <c r="D59" s="409">
        <v>114</v>
      </c>
      <c r="E59" s="409">
        <f>+D59-C59</f>
        <v>19</v>
      </c>
      <c r="F59" s="410">
        <f>IF(C59=0,0,+E59/C59)</f>
        <v>0.2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214</v>
      </c>
      <c r="D60" s="401">
        <f>SUM(D58:D59)</f>
        <v>199</v>
      </c>
      <c r="E60" s="401">
        <f>SUM(E58:E59)</f>
        <v>-15</v>
      </c>
      <c r="F60" s="402">
        <f>IF(C60=0,0,+E60/C60)</f>
        <v>-7.0093457943925228E-2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2152</v>
      </c>
      <c r="D63" s="409">
        <v>2128</v>
      </c>
      <c r="E63" s="409">
        <f>+D63-C63</f>
        <v>-24</v>
      </c>
      <c r="F63" s="410">
        <f>IF(C63=0,0,+E63/C63)</f>
        <v>-1.1152416356877323E-2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8041</v>
      </c>
      <c r="D64" s="409">
        <v>7735</v>
      </c>
      <c r="E64" s="409">
        <f>+D64-C64</f>
        <v>-306</v>
      </c>
      <c r="F64" s="410">
        <f>IF(C64=0,0,+E64/C64)</f>
        <v>-3.8054968287526428E-2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10193</v>
      </c>
      <c r="D65" s="401">
        <f>SUM(D63:D64)</f>
        <v>9863</v>
      </c>
      <c r="E65" s="401">
        <f>+D65-C65</f>
        <v>-330</v>
      </c>
      <c r="F65" s="402">
        <f>IF(C65=0,0,+E65/C65)</f>
        <v>-3.2375159423133522E-2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564</v>
      </c>
      <c r="D68" s="409">
        <v>532</v>
      </c>
      <c r="E68" s="409">
        <f>+D68-C68</f>
        <v>-32</v>
      </c>
      <c r="F68" s="410">
        <f>IF(C68=0,0,+E68/C68)</f>
        <v>-5.6737588652482268E-2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3700</v>
      </c>
      <c r="D69" s="409">
        <v>3867</v>
      </c>
      <c r="E69" s="409">
        <f>+D69-C69</f>
        <v>167</v>
      </c>
      <c r="F69" s="412">
        <f>IF(C69=0,0,+E69/C69)</f>
        <v>4.5135135135135132E-2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4264</v>
      </c>
      <c r="D70" s="401">
        <f>SUM(D68:D69)</f>
        <v>4399</v>
      </c>
      <c r="E70" s="401">
        <f>+D70-C70</f>
        <v>135</v>
      </c>
      <c r="F70" s="402">
        <f>IF(C70=0,0,+E70/C70)</f>
        <v>3.1660412757973731E-2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7886</v>
      </c>
      <c r="D73" s="376">
        <v>8274</v>
      </c>
      <c r="E73" s="409">
        <f>+D73-C73</f>
        <v>388</v>
      </c>
      <c r="F73" s="410">
        <f>IF(C73=0,0,+E73/C73)</f>
        <v>4.9201115901597765E-2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62335</v>
      </c>
      <c r="D74" s="376">
        <v>63488</v>
      </c>
      <c r="E74" s="409">
        <f>+D74-C74</f>
        <v>1153</v>
      </c>
      <c r="F74" s="410">
        <f>IF(C74=0,0,+E74/C74)</f>
        <v>1.8496831635517765E-2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70221</v>
      </c>
      <c r="D75" s="401">
        <f>SUM(D73:D74)</f>
        <v>71762</v>
      </c>
      <c r="E75" s="401">
        <f>SUM(E73:E74)</f>
        <v>1541</v>
      </c>
      <c r="F75" s="402">
        <f>IF(C75=0,0,+E75/C75)</f>
        <v>2.1945002207316898E-2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2354</v>
      </c>
      <c r="D79" s="376">
        <v>1675</v>
      </c>
      <c r="E79" s="409">
        <f t="shared" ref="E79:E92" si="0">+D79-C79</f>
        <v>-679</v>
      </c>
      <c r="F79" s="410">
        <f t="shared" ref="F79:F92" si="1">IF(C79=0,0,+E79/C79)</f>
        <v>-0.28844519966015292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3352</v>
      </c>
      <c r="D80" s="376">
        <v>3725</v>
      </c>
      <c r="E80" s="409">
        <f t="shared" si="0"/>
        <v>373</v>
      </c>
      <c r="F80" s="410">
        <f t="shared" si="1"/>
        <v>0.11127684964200478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2999</v>
      </c>
      <c r="D81" s="376">
        <v>2561</v>
      </c>
      <c r="E81" s="409">
        <f t="shared" si="0"/>
        <v>-438</v>
      </c>
      <c r="F81" s="410">
        <f t="shared" si="1"/>
        <v>-0.14604868289429809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21131</v>
      </c>
      <c r="D86" s="376">
        <v>19386</v>
      </c>
      <c r="E86" s="409">
        <f t="shared" si="0"/>
        <v>-1745</v>
      </c>
      <c r="F86" s="410">
        <f t="shared" si="1"/>
        <v>-8.2580095594150776E-2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29836</v>
      </c>
      <c r="D92" s="381">
        <f>SUM(D79:D91)</f>
        <v>27347</v>
      </c>
      <c r="E92" s="401">
        <f t="shared" si="0"/>
        <v>-2489</v>
      </c>
      <c r="F92" s="402">
        <f t="shared" si="1"/>
        <v>-8.3422710819144652E-2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11011</v>
      </c>
      <c r="D95" s="414">
        <v>11872</v>
      </c>
      <c r="E95" s="415">
        <f t="shared" ref="E95:E100" si="2">+D95-C95</f>
        <v>861</v>
      </c>
      <c r="F95" s="412">
        <f t="shared" ref="F95:F100" si="3">IF(C95=0,0,+E95/C95)</f>
        <v>7.8194532739987291E-2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2084</v>
      </c>
      <c r="D96" s="414">
        <v>2400</v>
      </c>
      <c r="E96" s="409">
        <f t="shared" si="2"/>
        <v>316</v>
      </c>
      <c r="F96" s="410">
        <f t="shared" si="3"/>
        <v>0.15163147792706333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131</v>
      </c>
      <c r="D97" s="414">
        <v>759</v>
      </c>
      <c r="E97" s="409">
        <f t="shared" si="2"/>
        <v>628</v>
      </c>
      <c r="F97" s="410">
        <f t="shared" si="3"/>
        <v>4.7938931297709928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3700</v>
      </c>
      <c r="D98" s="414">
        <v>3867</v>
      </c>
      <c r="E98" s="409">
        <f t="shared" si="2"/>
        <v>167</v>
      </c>
      <c r="F98" s="410">
        <f t="shared" si="3"/>
        <v>4.5135135135135132E-2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142477</v>
      </c>
      <c r="D99" s="414">
        <v>144996</v>
      </c>
      <c r="E99" s="409">
        <f t="shared" si="2"/>
        <v>2519</v>
      </c>
      <c r="F99" s="410">
        <f t="shared" si="3"/>
        <v>1.7680046604013278E-2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159403</v>
      </c>
      <c r="D100" s="381">
        <f>SUM(D95:D99)</f>
        <v>163894</v>
      </c>
      <c r="E100" s="401">
        <f t="shared" si="2"/>
        <v>4491</v>
      </c>
      <c r="F100" s="402">
        <f t="shared" si="3"/>
        <v>2.817387376649122E-2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373.1</v>
      </c>
      <c r="D104" s="416">
        <v>389.3</v>
      </c>
      <c r="E104" s="417">
        <f>+D104-C104</f>
        <v>16.199999999999989</v>
      </c>
      <c r="F104" s="410">
        <f>IF(C104=0,0,+E104/C104)</f>
        <v>4.3419994639506798E-2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57.3</v>
      </c>
      <c r="D105" s="416">
        <v>56</v>
      </c>
      <c r="E105" s="417">
        <f>+D105-C105</f>
        <v>-1.2999999999999972</v>
      </c>
      <c r="F105" s="410">
        <f>IF(C105=0,0,+E105/C105)</f>
        <v>-2.268760907504358E-2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885</v>
      </c>
      <c r="D106" s="416">
        <v>938.9</v>
      </c>
      <c r="E106" s="417">
        <f>+D106-C106</f>
        <v>53.899999999999977</v>
      </c>
      <c r="F106" s="410">
        <f>IF(C106=0,0,+E106/C106)</f>
        <v>6.0903954802259859E-2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1315.4</v>
      </c>
      <c r="D107" s="418">
        <f>SUM(D104:D106)</f>
        <v>1384.2</v>
      </c>
      <c r="E107" s="418">
        <f>+D107-C107</f>
        <v>68.799999999999955</v>
      </c>
      <c r="F107" s="402">
        <f>IF(C107=0,0,+E107/C107)</f>
        <v>5.2303481830621827E-2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FILING&amp;RSAINT MARY`S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3367</v>
      </c>
      <c r="D12" s="409">
        <v>3550</v>
      </c>
      <c r="E12" s="409">
        <f>+D12-C12</f>
        <v>183</v>
      </c>
      <c r="F12" s="410">
        <f>IF(C12=0,0,+E12/C12)</f>
        <v>5.4351054351054348E-2</v>
      </c>
    </row>
    <row r="13" spans="1:6" ht="15.75" customHeight="1" x14ac:dyDescent="0.2">
      <c r="A13" s="374">
        <v>2</v>
      </c>
      <c r="B13" s="408" t="s">
        <v>622</v>
      </c>
      <c r="C13" s="409">
        <v>4674</v>
      </c>
      <c r="D13" s="409">
        <v>4185</v>
      </c>
      <c r="E13" s="409">
        <f>+D13-C13</f>
        <v>-489</v>
      </c>
      <c r="F13" s="410">
        <f>IF(C13=0,0,+E13/C13)</f>
        <v>-0.10462130937098844</v>
      </c>
    </row>
    <row r="14" spans="1:6" ht="15.75" customHeight="1" x14ac:dyDescent="0.25">
      <c r="A14" s="374"/>
      <c r="B14" s="399" t="s">
        <v>623</v>
      </c>
      <c r="C14" s="401">
        <f>SUM(C11:C13)</f>
        <v>8041</v>
      </c>
      <c r="D14" s="401">
        <f>SUM(D11:D13)</f>
        <v>7735</v>
      </c>
      <c r="E14" s="401">
        <f>+D14-C14</f>
        <v>-306</v>
      </c>
      <c r="F14" s="402">
        <f>IF(C14=0,0,+E14/C14)</f>
        <v>-3.8054968287526428E-2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622</v>
      </c>
      <c r="C17" s="409">
        <v>3700</v>
      </c>
      <c r="D17" s="409">
        <v>3867</v>
      </c>
      <c r="E17" s="409">
        <f>+D17-C17</f>
        <v>167</v>
      </c>
      <c r="F17" s="410">
        <f>IF(C17=0,0,+E17/C17)</f>
        <v>4.5135135135135132E-2</v>
      </c>
    </row>
    <row r="18" spans="1:6" ht="15.75" customHeight="1" x14ac:dyDescent="0.2">
      <c r="A18" s="374">
        <v>2</v>
      </c>
      <c r="B18" s="408" t="s">
        <v>621</v>
      </c>
      <c r="C18" s="409">
        <v>0</v>
      </c>
      <c r="D18" s="409">
        <v>0</v>
      </c>
      <c r="E18" s="409">
        <f>+D18-C18</f>
        <v>0</v>
      </c>
      <c r="F18" s="410">
        <f>IF(C18=0,0,+E18/C18)</f>
        <v>0</v>
      </c>
    </row>
    <row r="19" spans="1:6" ht="15.75" customHeight="1" x14ac:dyDescent="0.25">
      <c r="A19" s="374"/>
      <c r="B19" s="399" t="s">
        <v>624</v>
      </c>
      <c r="C19" s="401">
        <f>SUM(C16:C18)</f>
        <v>3700</v>
      </c>
      <c r="D19" s="401">
        <f>SUM(D16:D18)</f>
        <v>3867</v>
      </c>
      <c r="E19" s="401">
        <f>+D19-C19</f>
        <v>167</v>
      </c>
      <c r="F19" s="402">
        <f>IF(C19=0,0,+E19/C19)</f>
        <v>4.5135135135135132E-2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62335</v>
      </c>
      <c r="D22" s="409">
        <v>63488</v>
      </c>
      <c r="E22" s="409">
        <f>+D22-C22</f>
        <v>1153</v>
      </c>
      <c r="F22" s="410">
        <f>IF(C22=0,0,+E22/C22)</f>
        <v>1.8496831635517765E-2</v>
      </c>
    </row>
    <row r="23" spans="1:6" ht="15.75" customHeight="1" x14ac:dyDescent="0.25">
      <c r="A23" s="374"/>
      <c r="B23" s="399" t="s">
        <v>626</v>
      </c>
      <c r="C23" s="401">
        <f>SUM(C21:C22)</f>
        <v>62335</v>
      </c>
      <c r="D23" s="401">
        <f>SUM(D21:D22)</f>
        <v>63488</v>
      </c>
      <c r="E23" s="401">
        <f>+D23-C23</f>
        <v>1153</v>
      </c>
      <c r="F23" s="402">
        <f>IF(C23=0,0,+E23/C23)</f>
        <v>1.8496831635517765E-2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629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FILING&amp;RSAINT MARY`S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53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148284057</v>
      </c>
      <c r="D15" s="448">
        <v>161789671</v>
      </c>
      <c r="E15" s="448">
        <f t="shared" ref="E15:E24" si="0">D15-C15</f>
        <v>13505614</v>
      </c>
      <c r="F15" s="449">
        <f t="shared" ref="F15:F24" si="1">IF(C15=0,0,E15/C15)</f>
        <v>9.1079339702716658E-2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66934078</v>
      </c>
      <c r="D16" s="448">
        <v>67855120</v>
      </c>
      <c r="E16" s="448">
        <f t="shared" si="0"/>
        <v>921042</v>
      </c>
      <c r="F16" s="449">
        <f t="shared" si="1"/>
        <v>1.3760434557715129E-2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0.45139092734696351</v>
      </c>
      <c r="D17" s="453">
        <f>IF(LN_IA1=0,0,LN_IA2/LN_IA1)</f>
        <v>0.4194032881122553</v>
      </c>
      <c r="E17" s="454">
        <f t="shared" si="0"/>
        <v>-3.1987639234708209E-2</v>
      </c>
      <c r="F17" s="449">
        <f t="shared" si="1"/>
        <v>-7.0864603820716091E-2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5069</v>
      </c>
      <c r="D18" s="456">
        <v>5226</v>
      </c>
      <c r="E18" s="456">
        <f t="shared" si="0"/>
        <v>157</v>
      </c>
      <c r="F18" s="449">
        <f t="shared" si="1"/>
        <v>3.0972578417833893E-2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1.5586</v>
      </c>
      <c r="D19" s="459">
        <v>1.5737000000000001</v>
      </c>
      <c r="E19" s="460">
        <f t="shared" si="0"/>
        <v>1.5100000000000113E-2</v>
      </c>
      <c r="F19" s="449">
        <f t="shared" si="1"/>
        <v>9.6881817015270835E-3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7900.5433999999996</v>
      </c>
      <c r="D20" s="463">
        <f>LN_IA4*LN_IA5</f>
        <v>8224.1562000000013</v>
      </c>
      <c r="E20" s="463">
        <f t="shared" si="0"/>
        <v>323.6128000000017</v>
      </c>
      <c r="F20" s="449">
        <f t="shared" si="1"/>
        <v>4.0960828086837889E-2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8472.0853504836141</v>
      </c>
      <c r="D21" s="465">
        <f>IF(LN_IA6=0,0,LN_IA2/LN_IA6)</f>
        <v>8250.7090514647552</v>
      </c>
      <c r="E21" s="465">
        <f t="shared" si="0"/>
        <v>-221.37629901885884</v>
      </c>
      <c r="F21" s="449">
        <f t="shared" si="1"/>
        <v>-2.613008366425652E-2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26236</v>
      </c>
      <c r="D22" s="456">
        <v>26125</v>
      </c>
      <c r="E22" s="456">
        <f t="shared" si="0"/>
        <v>-111</v>
      </c>
      <c r="F22" s="449">
        <f t="shared" si="1"/>
        <v>-4.2308278701021496E-3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2551.2302942521724</v>
      </c>
      <c r="D23" s="465">
        <f>IF(LN_IA8=0,0,LN_IA2/LN_IA8)</f>
        <v>2597.3251674641147</v>
      </c>
      <c r="E23" s="465">
        <f t="shared" si="0"/>
        <v>46.094873211942286</v>
      </c>
      <c r="F23" s="449">
        <f t="shared" si="1"/>
        <v>1.8067703772486683E-2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5.1757743144604458</v>
      </c>
      <c r="D24" s="466">
        <f>IF(LN_IA4=0,0,LN_IA8/LN_IA4)</f>
        <v>4.9990432453119018</v>
      </c>
      <c r="E24" s="466">
        <f t="shared" si="0"/>
        <v>-0.17673106914854397</v>
      </c>
      <c r="F24" s="449">
        <f t="shared" si="1"/>
        <v>-3.414582213424186E-2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108576625</v>
      </c>
      <c r="D27" s="448">
        <v>132731513</v>
      </c>
      <c r="E27" s="448">
        <f t="shared" ref="E27:E32" si="2">D27-C27</f>
        <v>24154888</v>
      </c>
      <c r="F27" s="449">
        <f t="shared" ref="F27:F32" si="3">IF(C27=0,0,E27/C27)</f>
        <v>0.22246858382271506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23085184</v>
      </c>
      <c r="D28" s="448">
        <v>29299189</v>
      </c>
      <c r="E28" s="448">
        <f t="shared" si="2"/>
        <v>6214005</v>
      </c>
      <c r="F28" s="449">
        <f t="shared" si="3"/>
        <v>0.26917719174341431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0.2126165185186038</v>
      </c>
      <c r="D29" s="453">
        <f>IF(LN_IA11=0,0,LN_IA12/LN_IA11)</f>
        <v>0.22074026233694782</v>
      </c>
      <c r="E29" s="454">
        <f t="shared" si="2"/>
        <v>8.1237438183440203E-3</v>
      </c>
      <c r="F29" s="449">
        <f t="shared" si="3"/>
        <v>3.8208432133805245E-2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0.73222049083806762</v>
      </c>
      <c r="D30" s="453">
        <f>IF(LN_IA1=0,0,LN_IA11/LN_IA1)</f>
        <v>0.82039546888008696</v>
      </c>
      <c r="E30" s="454">
        <f t="shared" si="2"/>
        <v>8.8174978042019347E-2</v>
      </c>
      <c r="F30" s="449">
        <f t="shared" si="3"/>
        <v>0.12042134731998297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3711.6256680581646</v>
      </c>
      <c r="D31" s="463">
        <f>LN_IA14*LN_IA4</f>
        <v>4287.3867203673344</v>
      </c>
      <c r="E31" s="463">
        <f t="shared" si="2"/>
        <v>575.76105230916983</v>
      </c>
      <c r="F31" s="449">
        <f t="shared" si="3"/>
        <v>0.15512368536086626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6219.6961829067277</v>
      </c>
      <c r="D32" s="465">
        <f>IF(LN_IA15=0,0,LN_IA12/LN_IA15)</f>
        <v>6833.8106429292911</v>
      </c>
      <c r="E32" s="465">
        <f t="shared" si="2"/>
        <v>614.11446002256343</v>
      </c>
      <c r="F32" s="449">
        <f t="shared" si="3"/>
        <v>9.8737051129652073E-2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256860682</v>
      </c>
      <c r="D35" s="448">
        <f>LN_IA1+LN_IA11</f>
        <v>294521184</v>
      </c>
      <c r="E35" s="448">
        <f>D35-C35</f>
        <v>37660502</v>
      </c>
      <c r="F35" s="449">
        <f>IF(C35=0,0,E35/C35)</f>
        <v>0.14661839915226885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90019262</v>
      </c>
      <c r="D36" s="448">
        <f>LN_IA2+LN_IA12</f>
        <v>97154309</v>
      </c>
      <c r="E36" s="448">
        <f>D36-C36</f>
        <v>7135047</v>
      </c>
      <c r="F36" s="449">
        <f>IF(C36=0,0,E36/C36)</f>
        <v>7.9261336312666061E-2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166841420</v>
      </c>
      <c r="D37" s="448">
        <f>LN_IA17-LN_IA18</f>
        <v>197366875</v>
      </c>
      <c r="E37" s="448">
        <f>D37-C37</f>
        <v>30525455</v>
      </c>
      <c r="F37" s="449">
        <f>IF(C37=0,0,E37/C37)</f>
        <v>0.18296089184568196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76196512</v>
      </c>
      <c r="D42" s="448">
        <v>76994872</v>
      </c>
      <c r="E42" s="448">
        <f t="shared" ref="E42:E53" si="4">D42-C42</f>
        <v>798360</v>
      </c>
      <c r="F42" s="449">
        <f t="shared" ref="F42:F53" si="5">IF(C42=0,0,E42/C42)</f>
        <v>1.0477644960966192E-2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38590610</v>
      </c>
      <c r="D43" s="448">
        <v>38963893</v>
      </c>
      <c r="E43" s="448">
        <f t="shared" si="4"/>
        <v>373283</v>
      </c>
      <c r="F43" s="449">
        <f t="shared" si="5"/>
        <v>9.6728971114994032E-3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0.50646163435932601</v>
      </c>
      <c r="D44" s="453">
        <f>IF(LN_IB1=0,0,LN_IB2/LN_IB1)</f>
        <v>0.50605828658303376</v>
      </c>
      <c r="E44" s="454">
        <f t="shared" si="4"/>
        <v>-4.0334777629225105E-4</v>
      </c>
      <c r="F44" s="449">
        <f t="shared" si="5"/>
        <v>-7.9640341721537509E-4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2984</v>
      </c>
      <c r="D45" s="456">
        <v>2873</v>
      </c>
      <c r="E45" s="456">
        <f t="shared" si="4"/>
        <v>-111</v>
      </c>
      <c r="F45" s="449">
        <f t="shared" si="5"/>
        <v>-3.7198391420911525E-2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1.3211999999999999</v>
      </c>
      <c r="D46" s="459">
        <v>1.302</v>
      </c>
      <c r="E46" s="460">
        <f t="shared" si="4"/>
        <v>-1.9199999999999884E-2</v>
      </c>
      <c r="F46" s="449">
        <f t="shared" si="5"/>
        <v>-1.4532243415077115E-2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3942.4607999999998</v>
      </c>
      <c r="D47" s="463">
        <f>LN_IB4*LN_IB5</f>
        <v>3740.6460000000002</v>
      </c>
      <c r="E47" s="463">
        <f t="shared" si="4"/>
        <v>-201.81479999999965</v>
      </c>
      <c r="F47" s="449">
        <f t="shared" si="5"/>
        <v>-5.1190058757210638E-2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9788.4575034962945</v>
      </c>
      <c r="D48" s="465">
        <f>IF(LN_IB6=0,0,LN_IB2/LN_IB6)</f>
        <v>10416.354020134489</v>
      </c>
      <c r="E48" s="465">
        <f t="shared" si="4"/>
        <v>627.89651663819495</v>
      </c>
      <c r="F48" s="449">
        <f t="shared" si="5"/>
        <v>6.4146625391581821E-2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-1316.3721530126804</v>
      </c>
      <c r="D49" s="465">
        <f>LN_IA7-LN_IB7</f>
        <v>-2165.6449686697342</v>
      </c>
      <c r="E49" s="465">
        <f t="shared" si="4"/>
        <v>-849.2728156570538</v>
      </c>
      <c r="F49" s="449">
        <f t="shared" si="5"/>
        <v>0.64516163891296852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-5189745.6114640944</v>
      </c>
      <c r="D50" s="479">
        <f>LN_IB8*LN_IB6</f>
        <v>-8100911.1894745668</v>
      </c>
      <c r="E50" s="479">
        <f t="shared" si="4"/>
        <v>-2911165.5780104725</v>
      </c>
      <c r="F50" s="449">
        <f t="shared" si="5"/>
        <v>0.56094571795190462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11197</v>
      </c>
      <c r="D51" s="456">
        <v>10321</v>
      </c>
      <c r="E51" s="456">
        <f t="shared" si="4"/>
        <v>-876</v>
      </c>
      <c r="F51" s="449">
        <f t="shared" si="5"/>
        <v>-7.8235241582566756E-2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3446.5133517906584</v>
      </c>
      <c r="D52" s="465">
        <f>IF(LN_IB10=0,0,LN_IB2/LN_IB10)</f>
        <v>3775.2052126731905</v>
      </c>
      <c r="E52" s="465">
        <f t="shared" si="4"/>
        <v>328.69186088253218</v>
      </c>
      <c r="F52" s="449">
        <f t="shared" si="5"/>
        <v>9.536938561742643E-2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3.7523458445040214</v>
      </c>
      <c r="D53" s="466">
        <f>IF(LN_IB4=0,0,LN_IB10/LN_IB4)</f>
        <v>3.5924121127741038</v>
      </c>
      <c r="E53" s="466">
        <f t="shared" si="4"/>
        <v>-0.15993373172991765</v>
      </c>
      <c r="F53" s="449">
        <f t="shared" si="5"/>
        <v>-4.2622332364211334E-2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150639456</v>
      </c>
      <c r="D56" s="448">
        <v>167056026</v>
      </c>
      <c r="E56" s="448">
        <f t="shared" ref="E56:E63" si="6">D56-C56</f>
        <v>16416570</v>
      </c>
      <c r="F56" s="449">
        <f t="shared" ref="F56:F63" si="7">IF(C56=0,0,E56/C56)</f>
        <v>0.1089792172377468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50018908</v>
      </c>
      <c r="D57" s="448">
        <v>56247245</v>
      </c>
      <c r="E57" s="448">
        <f t="shared" si="6"/>
        <v>6228337</v>
      </c>
      <c r="F57" s="449">
        <f t="shared" si="7"/>
        <v>0.1245196516485326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0.33204387036554356</v>
      </c>
      <c r="D58" s="453">
        <f>IF(LN_IB13=0,0,LN_IB14/LN_IB13)</f>
        <v>0.33669689353199389</v>
      </c>
      <c r="E58" s="454">
        <f t="shared" si="6"/>
        <v>4.6530231664503319E-3</v>
      </c>
      <c r="F58" s="449">
        <f t="shared" si="7"/>
        <v>1.4013278309663925E-2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1.9769862431498177</v>
      </c>
      <c r="D59" s="453">
        <f>IF(LN_IB1=0,0,LN_IB13/LN_IB1)</f>
        <v>2.1697032758233563</v>
      </c>
      <c r="E59" s="454">
        <f t="shared" si="6"/>
        <v>0.19271703267353857</v>
      </c>
      <c r="F59" s="449">
        <f t="shared" si="7"/>
        <v>9.7480209253501773E-2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5899.3269495590557</v>
      </c>
      <c r="D60" s="463">
        <f>LN_IB16*LN_IB4</f>
        <v>6233.5575114405028</v>
      </c>
      <c r="E60" s="463">
        <f t="shared" si="6"/>
        <v>334.2305618814471</v>
      </c>
      <c r="F60" s="449">
        <f t="shared" si="7"/>
        <v>5.6655710852986221E-2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8478.748241566549</v>
      </c>
      <c r="D61" s="465">
        <f>IF(LN_IB17=0,0,LN_IB14/LN_IB17)</f>
        <v>9023.2976750064372</v>
      </c>
      <c r="E61" s="465">
        <f t="shared" si="6"/>
        <v>544.54943343988816</v>
      </c>
      <c r="F61" s="449">
        <f t="shared" si="7"/>
        <v>6.4225215553667184E-2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-2259.0520586598213</v>
      </c>
      <c r="D62" s="465">
        <f>LN_IA16-LN_IB18</f>
        <v>-2189.4870320771461</v>
      </c>
      <c r="E62" s="465">
        <f t="shared" si="6"/>
        <v>69.565026582675273</v>
      </c>
      <c r="F62" s="449">
        <f t="shared" si="7"/>
        <v>-3.0793901502183443E-2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-13326886.690108748</v>
      </c>
      <c r="D63" s="448">
        <f>LN_IB19*LN_IB17</f>
        <v>-13648293.335006068</v>
      </c>
      <c r="E63" s="448">
        <f t="shared" si="6"/>
        <v>-321406.64489731938</v>
      </c>
      <c r="F63" s="449">
        <f t="shared" si="7"/>
        <v>2.4117158971259826E-2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226835968</v>
      </c>
      <c r="D66" s="448">
        <f>LN_IB1+LN_IB13</f>
        <v>244050898</v>
      </c>
      <c r="E66" s="448">
        <f>D66-C66</f>
        <v>17214930</v>
      </c>
      <c r="F66" s="449">
        <f>IF(C66=0,0,E66/C66)</f>
        <v>7.5891535860838438E-2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88609518</v>
      </c>
      <c r="D67" s="448">
        <f>LN_IB2+LN_IB14</f>
        <v>95211138</v>
      </c>
      <c r="E67" s="448">
        <f>D67-C67</f>
        <v>6601620</v>
      </c>
      <c r="F67" s="449">
        <f>IF(C67=0,0,E67/C67)</f>
        <v>7.450238020705631E-2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138226450</v>
      </c>
      <c r="D68" s="448">
        <f>LN_IB21-LN_IB22</f>
        <v>148839760</v>
      </c>
      <c r="E68" s="448">
        <f>D68-C68</f>
        <v>10613310</v>
      </c>
      <c r="F68" s="449">
        <f>IF(C68=0,0,E68/C68)</f>
        <v>7.6782048587661772E-2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-18516632.301572844</v>
      </c>
      <c r="D70" s="441">
        <f>LN_IB9+LN_IB20</f>
        <v>-21749204.524480633</v>
      </c>
      <c r="E70" s="448">
        <f>D70-C70</f>
        <v>-3232572.2229077891</v>
      </c>
      <c r="F70" s="449">
        <f>IF(C70=0,0,E70/C70)</f>
        <v>0.174576681669766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215458545</v>
      </c>
      <c r="D73" s="488">
        <v>232093405</v>
      </c>
      <c r="E73" s="488">
        <f>D73-C73</f>
        <v>16634860</v>
      </c>
      <c r="F73" s="489">
        <f>IF(C73=0,0,E73/C73)</f>
        <v>7.7206777758570683E-2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88204682</v>
      </c>
      <c r="D74" s="488">
        <v>94607827</v>
      </c>
      <c r="E74" s="488">
        <f>D74-C74</f>
        <v>6403145</v>
      </c>
      <c r="F74" s="489">
        <f>IF(C74=0,0,E74/C74)</f>
        <v>7.2594162291747727E-2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127253863</v>
      </c>
      <c r="D76" s="441">
        <f>LN_IB32-LN_IB33</f>
        <v>137485578</v>
      </c>
      <c r="E76" s="488">
        <f>D76-C76</f>
        <v>10231715</v>
      </c>
      <c r="F76" s="489">
        <f>IF(E76=0,0,E76/C76)</f>
        <v>8.0403963846661375E-2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0.59061878005349011</v>
      </c>
      <c r="D77" s="453">
        <f>IF(LN_IB32=0,0,LN_IB34/LN_IB32)</f>
        <v>0.59237175653483132</v>
      </c>
      <c r="E77" s="493">
        <f>D77-C77</f>
        <v>1.7529764813412063E-3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1781260</v>
      </c>
      <c r="D83" s="448">
        <v>1331888</v>
      </c>
      <c r="E83" s="448">
        <f t="shared" ref="E83:E95" si="8">D83-C83</f>
        <v>-449372</v>
      </c>
      <c r="F83" s="449">
        <f t="shared" ref="F83:F95" si="9">IF(C83=0,0,E83/C83)</f>
        <v>-0.25227760124855442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21594</v>
      </c>
      <c r="D84" s="448">
        <v>91946</v>
      </c>
      <c r="E84" s="448">
        <f t="shared" si="8"/>
        <v>70352</v>
      </c>
      <c r="F84" s="449">
        <f t="shared" si="9"/>
        <v>3.2579420209317402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1.2122879310151241E-2</v>
      </c>
      <c r="D85" s="453">
        <f>IF(LN_IC1=0,0,LN_IC2/LN_IC1)</f>
        <v>6.903433321720745E-2</v>
      </c>
      <c r="E85" s="454">
        <f t="shared" si="8"/>
        <v>5.6911453907056209E-2</v>
      </c>
      <c r="F85" s="449">
        <f t="shared" si="9"/>
        <v>4.6945492445347297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115</v>
      </c>
      <c r="D86" s="456">
        <v>78</v>
      </c>
      <c r="E86" s="456">
        <f t="shared" si="8"/>
        <v>-37</v>
      </c>
      <c r="F86" s="449">
        <f t="shared" si="9"/>
        <v>-0.32173913043478258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1.1728000000000001</v>
      </c>
      <c r="D87" s="459">
        <v>0.96269000000000005</v>
      </c>
      <c r="E87" s="460">
        <f t="shared" si="8"/>
        <v>-0.21011000000000002</v>
      </c>
      <c r="F87" s="449">
        <f t="shared" si="9"/>
        <v>-0.17915245566166441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134.87200000000001</v>
      </c>
      <c r="D88" s="463">
        <f>LN_IC4*LN_IC5</f>
        <v>75.089820000000003</v>
      </c>
      <c r="E88" s="463">
        <f t="shared" si="8"/>
        <v>-59.782180000000011</v>
      </c>
      <c r="F88" s="449">
        <f t="shared" si="9"/>
        <v>-0.44325123079660717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160.10736105344324</v>
      </c>
      <c r="D89" s="465">
        <f>IF(LN_IC6=0,0,LN_IC2/LN_IC6)</f>
        <v>1224.4802291442434</v>
      </c>
      <c r="E89" s="465">
        <f t="shared" si="8"/>
        <v>1064.3728680908002</v>
      </c>
      <c r="F89" s="449">
        <f t="shared" si="9"/>
        <v>6.6478696612550907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9628.3501424428505</v>
      </c>
      <c r="D90" s="465">
        <f>LN_IB7-LN_IC7</f>
        <v>9191.8737909902466</v>
      </c>
      <c r="E90" s="465">
        <f t="shared" si="8"/>
        <v>-436.47635145260392</v>
      </c>
      <c r="F90" s="449">
        <f t="shared" si="9"/>
        <v>-4.5332413652944242E-2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8311.9779894301701</v>
      </c>
      <c r="D91" s="465">
        <f>LN_IA7-LN_IC7</f>
        <v>7026.2288223205123</v>
      </c>
      <c r="E91" s="465">
        <f t="shared" si="8"/>
        <v>-1285.7491671096577</v>
      </c>
      <c r="F91" s="449">
        <f t="shared" si="9"/>
        <v>-0.15468630556344901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1121053.095390426</v>
      </c>
      <c r="D92" s="441">
        <f>LN_IC9*LN_IC6</f>
        <v>527598.25754685933</v>
      </c>
      <c r="E92" s="441">
        <f t="shared" si="8"/>
        <v>-593454.83784356667</v>
      </c>
      <c r="F92" s="449">
        <f t="shared" si="9"/>
        <v>-0.52937264103167725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389</v>
      </c>
      <c r="D93" s="456">
        <v>222</v>
      </c>
      <c r="E93" s="456">
        <f t="shared" si="8"/>
        <v>-167</v>
      </c>
      <c r="F93" s="449">
        <f t="shared" si="9"/>
        <v>-0.42930591259640105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55.511568123393317</v>
      </c>
      <c r="D94" s="499">
        <f>IF(LN_IC11=0,0,LN_IC2/LN_IC11)</f>
        <v>414.17117117117118</v>
      </c>
      <c r="E94" s="499">
        <f t="shared" si="8"/>
        <v>358.65960304777786</v>
      </c>
      <c r="F94" s="449">
        <f t="shared" si="9"/>
        <v>6.4609884961371487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3.3826086956521739</v>
      </c>
      <c r="D95" s="466">
        <f>IF(LN_IC4=0,0,LN_IC11/LN_IC4)</f>
        <v>2.8461538461538463</v>
      </c>
      <c r="E95" s="466">
        <f t="shared" si="8"/>
        <v>-0.53645484949832767</v>
      </c>
      <c r="F95" s="449">
        <f t="shared" si="9"/>
        <v>-0.15859205062289891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9596163</v>
      </c>
      <c r="D98" s="448">
        <v>10625605</v>
      </c>
      <c r="E98" s="448">
        <f t="shared" ref="E98:E106" si="10">D98-C98</f>
        <v>1029442</v>
      </c>
      <c r="F98" s="449">
        <f t="shared" ref="F98:F106" si="11">IF(C98=0,0,E98/C98)</f>
        <v>0.10727641871026992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383242</v>
      </c>
      <c r="D99" s="448">
        <v>511365</v>
      </c>
      <c r="E99" s="448">
        <f t="shared" si="10"/>
        <v>128123</v>
      </c>
      <c r="F99" s="449">
        <f t="shared" si="11"/>
        <v>0.33431356688463165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3.9937003987948097E-2</v>
      </c>
      <c r="D100" s="453">
        <f>IF(LN_IC14=0,0,LN_IC15/LN_IC14)</f>
        <v>4.8125730252536206E-2</v>
      </c>
      <c r="E100" s="454">
        <f t="shared" si="10"/>
        <v>8.1887262645881087E-3</v>
      </c>
      <c r="F100" s="449">
        <f t="shared" si="11"/>
        <v>0.20504107586686382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5.3872893345160167</v>
      </c>
      <c r="D101" s="453">
        <f>IF(LN_IC1=0,0,LN_IC14/LN_IC1)</f>
        <v>7.977851741287556</v>
      </c>
      <c r="E101" s="454">
        <f t="shared" si="10"/>
        <v>2.5905624067715394</v>
      </c>
      <c r="F101" s="449">
        <f t="shared" si="11"/>
        <v>0.48086565356235322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619.5382734693419</v>
      </c>
      <c r="D102" s="463">
        <f>LN_IC17*LN_IC4</f>
        <v>622.27243582042934</v>
      </c>
      <c r="E102" s="463">
        <f t="shared" si="10"/>
        <v>2.7341623510874342</v>
      </c>
      <c r="F102" s="449">
        <f t="shared" si="11"/>
        <v>4.4132258944656394E-3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618.59293672671686</v>
      </c>
      <c r="D103" s="465">
        <f>IF(LN_IC18=0,0,LN_IC15/LN_IC18)</f>
        <v>821.77028993064039</v>
      </c>
      <c r="E103" s="465">
        <f t="shared" si="10"/>
        <v>203.17735320392353</v>
      </c>
      <c r="F103" s="449">
        <f t="shared" si="11"/>
        <v>0.32845081335560672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7860.1553048398318</v>
      </c>
      <c r="D104" s="465">
        <f>LN_IB18-LN_IC19</f>
        <v>8201.5273850757967</v>
      </c>
      <c r="E104" s="465">
        <f t="shared" si="10"/>
        <v>341.37208023596486</v>
      </c>
      <c r="F104" s="449">
        <f t="shared" si="11"/>
        <v>4.3430704228676953E-2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5601.1032461800105</v>
      </c>
      <c r="D105" s="465">
        <f>LN_IA16-LN_IC19</f>
        <v>6012.0403529986506</v>
      </c>
      <c r="E105" s="465">
        <f t="shared" si="10"/>
        <v>410.93710681864013</v>
      </c>
      <c r="F105" s="449">
        <f t="shared" si="11"/>
        <v>7.336717227965793E-2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3470097.8346618898</v>
      </c>
      <c r="D106" s="448">
        <f>LN_IC21*LN_IC18</f>
        <v>3741126.9947111839</v>
      </c>
      <c r="E106" s="448">
        <f t="shared" si="10"/>
        <v>271029.16004929412</v>
      </c>
      <c r="F106" s="449">
        <f t="shared" si="11"/>
        <v>7.8104184078631872E-2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11377423</v>
      </c>
      <c r="D109" s="448">
        <f>LN_IC1+LN_IC14</f>
        <v>11957493</v>
      </c>
      <c r="E109" s="448">
        <f>D109-C109</f>
        <v>580070</v>
      </c>
      <c r="F109" s="449">
        <f>IF(C109=0,0,E109/C109)</f>
        <v>5.0984304618014113E-2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404836</v>
      </c>
      <c r="D110" s="448">
        <f>LN_IC2+LN_IC15</f>
        <v>603311</v>
      </c>
      <c r="E110" s="448">
        <f>D110-C110</f>
        <v>198475</v>
      </c>
      <c r="F110" s="449">
        <f>IF(C110=0,0,E110/C110)</f>
        <v>0.49026025353476471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10972587</v>
      </c>
      <c r="D111" s="448">
        <f>LN_IC23-LN_IC24</f>
        <v>11354182</v>
      </c>
      <c r="E111" s="448">
        <f>D111-C111</f>
        <v>381595</v>
      </c>
      <c r="F111" s="449">
        <f>IF(C111=0,0,E111/C111)</f>
        <v>3.4777122295772185E-2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4591150.9300523158</v>
      </c>
      <c r="D113" s="448">
        <f>LN_IC10+LN_IC22</f>
        <v>4268725.2522580437</v>
      </c>
      <c r="E113" s="448">
        <f>D113-C113</f>
        <v>-322425.67779427208</v>
      </c>
      <c r="F113" s="449">
        <f>IF(C113=0,0,E113/C113)</f>
        <v>-7.0227636317457778E-2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59517687</v>
      </c>
      <c r="D118" s="448">
        <v>67216873</v>
      </c>
      <c r="E118" s="448">
        <f t="shared" ref="E118:E130" si="12">D118-C118</f>
        <v>7699186</v>
      </c>
      <c r="F118" s="449">
        <f t="shared" ref="F118:F130" si="13">IF(C118=0,0,E118/C118)</f>
        <v>0.12935963052462035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21911696</v>
      </c>
      <c r="D119" s="448">
        <v>21137470</v>
      </c>
      <c r="E119" s="448">
        <f t="shared" si="12"/>
        <v>-774226</v>
      </c>
      <c r="F119" s="449">
        <f t="shared" si="13"/>
        <v>-3.5333914818825529E-2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0.36815436056848111</v>
      </c>
      <c r="D120" s="453">
        <f>IF(LN_ID1=0,0,LN_1D2/LN_ID1)</f>
        <v>0.31446672623405136</v>
      </c>
      <c r="E120" s="454">
        <f t="shared" si="12"/>
        <v>-5.3687634334429746E-2</v>
      </c>
      <c r="F120" s="449">
        <f t="shared" si="13"/>
        <v>-0.14582914148165632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3568</v>
      </c>
      <c r="D121" s="456">
        <v>3721</v>
      </c>
      <c r="E121" s="456">
        <f t="shared" si="12"/>
        <v>153</v>
      </c>
      <c r="F121" s="449">
        <f t="shared" si="13"/>
        <v>4.288116591928251E-2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1.0233000000000001</v>
      </c>
      <c r="D122" s="459">
        <v>1.05047</v>
      </c>
      <c r="E122" s="460">
        <f t="shared" si="12"/>
        <v>2.7169999999999916E-2</v>
      </c>
      <c r="F122" s="449">
        <f t="shared" si="13"/>
        <v>2.655135346428214E-2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3651.1344000000004</v>
      </c>
      <c r="D123" s="463">
        <f>LN_ID4*LN_ID5</f>
        <v>3908.7988700000001</v>
      </c>
      <c r="E123" s="463">
        <f t="shared" si="12"/>
        <v>257.66446999999971</v>
      </c>
      <c r="F123" s="449">
        <f t="shared" si="13"/>
        <v>7.0571072376848051E-2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6001.3392002222645</v>
      </c>
      <c r="D124" s="465">
        <f>IF(LN_ID6=0,0,LN_1D2/LN_ID6)</f>
        <v>5407.6637614255142</v>
      </c>
      <c r="E124" s="465">
        <f t="shared" si="12"/>
        <v>-593.67543879675031</v>
      </c>
      <c r="F124" s="449">
        <f t="shared" si="13"/>
        <v>-9.8923826664349027E-2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3787.11830327403</v>
      </c>
      <c r="D125" s="465">
        <f>LN_IB7-LN_ID7</f>
        <v>5008.6902587089753</v>
      </c>
      <c r="E125" s="465">
        <f t="shared" si="12"/>
        <v>1221.5719554349453</v>
      </c>
      <c r="F125" s="449">
        <f t="shared" si="13"/>
        <v>0.32255975589114155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2470.7461502613496</v>
      </c>
      <c r="D126" s="465">
        <f>LN_IA7-LN_ID7</f>
        <v>2843.0452900392411</v>
      </c>
      <c r="E126" s="465">
        <f t="shared" si="12"/>
        <v>372.29913977789147</v>
      </c>
      <c r="F126" s="449">
        <f t="shared" si="13"/>
        <v>0.1506828776151328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9021026.2628867831</v>
      </c>
      <c r="D127" s="479">
        <f>LN_ID9*LN_ID6</f>
        <v>11112892.217064207</v>
      </c>
      <c r="E127" s="479">
        <f t="shared" si="12"/>
        <v>2091865.9541774243</v>
      </c>
      <c r="F127" s="449">
        <f t="shared" si="13"/>
        <v>0.23188780225411013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13442</v>
      </c>
      <c r="D128" s="456">
        <v>14042</v>
      </c>
      <c r="E128" s="456">
        <f t="shared" si="12"/>
        <v>600</v>
      </c>
      <c r="F128" s="449">
        <f t="shared" si="13"/>
        <v>4.463621484898081E-2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1630.0919506025889</v>
      </c>
      <c r="D129" s="465">
        <f>IF(LN_ID11=0,0,LN_1D2/LN_ID11)</f>
        <v>1505.3033755875231</v>
      </c>
      <c r="E129" s="465">
        <f t="shared" si="12"/>
        <v>-124.78857501506582</v>
      </c>
      <c r="F129" s="449">
        <f t="shared" si="13"/>
        <v>-7.6553089516782025E-2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3.7673766816143499</v>
      </c>
      <c r="D130" s="466">
        <f>IF(LN_ID4=0,0,LN_ID11/LN_ID4)</f>
        <v>3.7737167428110725</v>
      </c>
      <c r="E130" s="466">
        <f t="shared" si="12"/>
        <v>6.3400611967225906E-3</v>
      </c>
      <c r="F130" s="449">
        <f t="shared" si="13"/>
        <v>1.6828848645965037E-3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119782447</v>
      </c>
      <c r="D133" s="448">
        <v>139462150</v>
      </c>
      <c r="E133" s="448">
        <f t="shared" ref="E133:E141" si="14">D133-C133</f>
        <v>19679703</v>
      </c>
      <c r="F133" s="449">
        <f t="shared" ref="F133:F141" si="15">IF(C133=0,0,E133/C133)</f>
        <v>0.16429538294538265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28101645</v>
      </c>
      <c r="D134" s="448">
        <v>29023262</v>
      </c>
      <c r="E134" s="448">
        <f t="shared" si="14"/>
        <v>921617</v>
      </c>
      <c r="F134" s="449">
        <f t="shared" si="15"/>
        <v>3.2795838108409671E-2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0.23460570145139881</v>
      </c>
      <c r="D135" s="453">
        <f>IF(LN_ID14=0,0,LN_ID15/LN_ID14)</f>
        <v>0.20810852263499452</v>
      </c>
      <c r="E135" s="454">
        <f t="shared" si="14"/>
        <v>-2.6497178816404288E-2</v>
      </c>
      <c r="F135" s="449">
        <f t="shared" si="15"/>
        <v>-0.11294345641422306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2.0125521174907215</v>
      </c>
      <c r="D136" s="453">
        <f>IF(LN_ID1=0,0,LN_ID14/LN_ID1)</f>
        <v>2.0748086570465722</v>
      </c>
      <c r="E136" s="454">
        <f t="shared" si="14"/>
        <v>6.2256539555850754E-2</v>
      </c>
      <c r="F136" s="449">
        <f t="shared" si="15"/>
        <v>3.0934125389742995E-2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7180.785955206894</v>
      </c>
      <c r="D137" s="463">
        <f>LN_ID17*LN_ID4</f>
        <v>7720.3630128702953</v>
      </c>
      <c r="E137" s="463">
        <f t="shared" si="14"/>
        <v>539.57705766340132</v>
      </c>
      <c r="F137" s="449">
        <f t="shared" si="15"/>
        <v>7.5141782672431004E-2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3913.4497498317828</v>
      </c>
      <c r="D138" s="465">
        <f>IF(LN_ID18=0,0,LN_ID15/LN_ID18)</f>
        <v>3759.3131244756923</v>
      </c>
      <c r="E138" s="465">
        <f t="shared" si="14"/>
        <v>-154.13662535609046</v>
      </c>
      <c r="F138" s="449">
        <f t="shared" si="15"/>
        <v>-3.9386381634954157E-2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4565.2984917347658</v>
      </c>
      <c r="D139" s="465">
        <f>LN_IB18-LN_ID19</f>
        <v>5263.9845505307449</v>
      </c>
      <c r="E139" s="465">
        <f t="shared" si="14"/>
        <v>698.68605879597908</v>
      </c>
      <c r="F139" s="449">
        <f t="shared" si="15"/>
        <v>0.15304279885771185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2306.2464330749449</v>
      </c>
      <c r="D140" s="465">
        <f>LN_IA16-LN_ID19</f>
        <v>3074.4975184535988</v>
      </c>
      <c r="E140" s="465">
        <f t="shared" si="14"/>
        <v>768.2510853786539</v>
      </c>
      <c r="F140" s="449">
        <f t="shared" si="15"/>
        <v>0.33311751700113673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16560661.99587056</v>
      </c>
      <c r="D141" s="441">
        <f>LN_ID21*LN_ID18</f>
        <v>23736236.924630672</v>
      </c>
      <c r="E141" s="441">
        <f t="shared" si="14"/>
        <v>7175574.9287601113</v>
      </c>
      <c r="F141" s="449">
        <f t="shared" si="15"/>
        <v>0.43329034374044695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179300134</v>
      </c>
      <c r="D144" s="448">
        <f>LN_ID1+LN_ID14</f>
        <v>206679023</v>
      </c>
      <c r="E144" s="448">
        <f>D144-C144</f>
        <v>27378889</v>
      </c>
      <c r="F144" s="449">
        <f>IF(C144=0,0,E144/C144)</f>
        <v>0.15269865330942808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50013341</v>
      </c>
      <c r="D145" s="448">
        <f>LN_1D2+LN_ID15</f>
        <v>50160732</v>
      </c>
      <c r="E145" s="448">
        <f>D145-C145</f>
        <v>147391</v>
      </c>
      <c r="F145" s="449">
        <f>IF(C145=0,0,E145/C145)</f>
        <v>2.9470336724755101E-3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129286793</v>
      </c>
      <c r="D146" s="448">
        <f>LN_ID23-LN_ID24</f>
        <v>156518291</v>
      </c>
      <c r="E146" s="448">
        <f>D146-C146</f>
        <v>27231498</v>
      </c>
      <c r="F146" s="449">
        <f>IF(C146=0,0,E146/C146)</f>
        <v>0.21062861386004059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25581688.258757345</v>
      </c>
      <c r="D148" s="448">
        <f>LN_ID10+LN_ID22</f>
        <v>34849129.141694881</v>
      </c>
      <c r="E148" s="448">
        <f>D148-C148</f>
        <v>9267440.8829375356</v>
      </c>
      <c r="F148" s="503">
        <f>IF(C148=0,0,E148/C148)</f>
        <v>0.36226854104380796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9788.4575034962945</v>
      </c>
      <c r="D160" s="465">
        <f>LN_IB7-LN_IE7</f>
        <v>10416.354020134489</v>
      </c>
      <c r="E160" s="465">
        <f t="shared" si="16"/>
        <v>627.89651663819495</v>
      </c>
      <c r="F160" s="449">
        <f t="shared" si="17"/>
        <v>6.4146625391581821E-2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8472.0853504836141</v>
      </c>
      <c r="D161" s="465">
        <f>LN_IA7-LN_IE7</f>
        <v>8250.7090514647552</v>
      </c>
      <c r="E161" s="465">
        <f t="shared" si="16"/>
        <v>-221.37629901885884</v>
      </c>
      <c r="F161" s="449">
        <f t="shared" si="17"/>
        <v>-2.613008366425652E-2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8478.748241566549</v>
      </c>
      <c r="D174" s="465">
        <f>LN_IB18-LN_IE19</f>
        <v>9023.2976750064372</v>
      </c>
      <c r="E174" s="465">
        <f t="shared" si="18"/>
        <v>544.54943343988816</v>
      </c>
      <c r="F174" s="449">
        <f t="shared" si="19"/>
        <v>6.4225215553667184E-2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6219.6961829067277</v>
      </c>
      <c r="D175" s="465">
        <f>LN_IA16-LN_IE19</f>
        <v>6833.8106429292911</v>
      </c>
      <c r="E175" s="465">
        <f t="shared" si="18"/>
        <v>614.11446002256343</v>
      </c>
      <c r="F175" s="449">
        <f t="shared" si="19"/>
        <v>9.8737051129652073E-2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59517687</v>
      </c>
      <c r="D188" s="448">
        <f>LN_ID1+LN_IE1</f>
        <v>67216873</v>
      </c>
      <c r="E188" s="448">
        <f t="shared" ref="E188:E200" si="20">D188-C188</f>
        <v>7699186</v>
      </c>
      <c r="F188" s="449">
        <f t="shared" ref="F188:F200" si="21">IF(C188=0,0,E188/C188)</f>
        <v>0.12935963052462035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21911696</v>
      </c>
      <c r="D189" s="448">
        <f>LN_1D2+LN_IE2</f>
        <v>21137470</v>
      </c>
      <c r="E189" s="448">
        <f t="shared" si="20"/>
        <v>-774226</v>
      </c>
      <c r="F189" s="449">
        <f t="shared" si="21"/>
        <v>-3.5333914818825529E-2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0.36815436056848111</v>
      </c>
      <c r="D190" s="453">
        <f>IF(LN_IF1=0,0,LN_IF2/LN_IF1)</f>
        <v>0.31446672623405136</v>
      </c>
      <c r="E190" s="454">
        <f t="shared" si="20"/>
        <v>-5.3687634334429746E-2</v>
      </c>
      <c r="F190" s="449">
        <f t="shared" si="21"/>
        <v>-0.14582914148165632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3568</v>
      </c>
      <c r="D191" s="456">
        <f>LN_ID4+LN_IE4</f>
        <v>3721</v>
      </c>
      <c r="E191" s="456">
        <f t="shared" si="20"/>
        <v>153</v>
      </c>
      <c r="F191" s="449">
        <f t="shared" si="21"/>
        <v>4.288116591928251E-2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1.0233000000000001</v>
      </c>
      <c r="D192" s="459">
        <f>IF((LN_ID4+LN_IE4)=0,0,(LN_ID6+LN_IE6)/(LN_ID4+LN_IE4))</f>
        <v>1.05047</v>
      </c>
      <c r="E192" s="460">
        <f t="shared" si="20"/>
        <v>2.7169999999999916E-2</v>
      </c>
      <c r="F192" s="449">
        <f t="shared" si="21"/>
        <v>2.655135346428214E-2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3651.1344000000004</v>
      </c>
      <c r="D193" s="463">
        <f>LN_IF4*LN_IF5</f>
        <v>3908.7988700000001</v>
      </c>
      <c r="E193" s="463">
        <f t="shared" si="20"/>
        <v>257.66446999999971</v>
      </c>
      <c r="F193" s="449">
        <f t="shared" si="21"/>
        <v>7.0571072376848051E-2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6001.3392002222645</v>
      </c>
      <c r="D194" s="465">
        <f>IF(LN_IF6=0,0,LN_IF2/LN_IF6)</f>
        <v>5407.6637614255142</v>
      </c>
      <c r="E194" s="465">
        <f t="shared" si="20"/>
        <v>-593.67543879675031</v>
      </c>
      <c r="F194" s="449">
        <f t="shared" si="21"/>
        <v>-9.8923826664349027E-2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3787.11830327403</v>
      </c>
      <c r="D195" s="465">
        <f>LN_IB7-LN_IF7</f>
        <v>5008.6902587089753</v>
      </c>
      <c r="E195" s="465">
        <f t="shared" si="20"/>
        <v>1221.5719554349453</v>
      </c>
      <c r="F195" s="449">
        <f t="shared" si="21"/>
        <v>0.32255975589114155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2470.7461502613496</v>
      </c>
      <c r="D196" s="465">
        <f>LN_IA7-LN_IF7</f>
        <v>2843.0452900392411</v>
      </c>
      <c r="E196" s="465">
        <f t="shared" si="20"/>
        <v>372.29913977789147</v>
      </c>
      <c r="F196" s="449">
        <f t="shared" si="21"/>
        <v>0.1506828776151328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9021026.2628867831</v>
      </c>
      <c r="D197" s="479">
        <f>LN_IF9*LN_IF6</f>
        <v>11112892.217064207</v>
      </c>
      <c r="E197" s="479">
        <f t="shared" si="20"/>
        <v>2091865.9541774243</v>
      </c>
      <c r="F197" s="449">
        <f t="shared" si="21"/>
        <v>0.23188780225411013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13442</v>
      </c>
      <c r="D198" s="456">
        <f>LN_ID11+LN_IE11</f>
        <v>14042</v>
      </c>
      <c r="E198" s="456">
        <f t="shared" si="20"/>
        <v>600</v>
      </c>
      <c r="F198" s="449">
        <f t="shared" si="21"/>
        <v>4.463621484898081E-2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1630.0919506025889</v>
      </c>
      <c r="D199" s="519">
        <f>IF(LN_IF11=0,0,LN_IF2/LN_IF11)</f>
        <v>1505.3033755875231</v>
      </c>
      <c r="E199" s="519">
        <f t="shared" si="20"/>
        <v>-124.78857501506582</v>
      </c>
      <c r="F199" s="449">
        <f t="shared" si="21"/>
        <v>-7.6553089516782025E-2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3.7673766816143499</v>
      </c>
      <c r="D200" s="466">
        <f>IF(LN_IF4=0,0,LN_IF11/LN_IF4)</f>
        <v>3.7737167428110725</v>
      </c>
      <c r="E200" s="466">
        <f t="shared" si="20"/>
        <v>6.3400611967225906E-3</v>
      </c>
      <c r="F200" s="449">
        <f t="shared" si="21"/>
        <v>1.6828848645965037E-3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119782447</v>
      </c>
      <c r="D203" s="448">
        <f>LN_ID14+LN_IE14</f>
        <v>139462150</v>
      </c>
      <c r="E203" s="448">
        <f t="shared" ref="E203:E211" si="22">D203-C203</f>
        <v>19679703</v>
      </c>
      <c r="F203" s="449">
        <f t="shared" ref="F203:F211" si="23">IF(C203=0,0,E203/C203)</f>
        <v>0.16429538294538265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28101645</v>
      </c>
      <c r="D204" s="448">
        <f>LN_ID15+LN_IE15</f>
        <v>29023262</v>
      </c>
      <c r="E204" s="448">
        <f t="shared" si="22"/>
        <v>921617</v>
      </c>
      <c r="F204" s="449">
        <f t="shared" si="23"/>
        <v>3.2795838108409671E-2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0.23460570145139881</v>
      </c>
      <c r="D205" s="453">
        <f>IF(LN_IF14=0,0,LN_IF15/LN_IF14)</f>
        <v>0.20810852263499452</v>
      </c>
      <c r="E205" s="454">
        <f t="shared" si="22"/>
        <v>-2.6497178816404288E-2</v>
      </c>
      <c r="F205" s="449">
        <f t="shared" si="23"/>
        <v>-0.11294345641422306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2.0125521174907215</v>
      </c>
      <c r="D206" s="453">
        <f>IF(LN_IF1=0,0,LN_IF14/LN_IF1)</f>
        <v>2.0748086570465722</v>
      </c>
      <c r="E206" s="454">
        <f t="shared" si="22"/>
        <v>6.2256539555850754E-2</v>
      </c>
      <c r="F206" s="449">
        <f t="shared" si="23"/>
        <v>3.0934125389742995E-2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7180.785955206894</v>
      </c>
      <c r="D207" s="463">
        <f>LN_ID18+LN_IE18</f>
        <v>7720.3630128702953</v>
      </c>
      <c r="E207" s="463">
        <f t="shared" si="22"/>
        <v>539.57705766340132</v>
      </c>
      <c r="F207" s="449">
        <f t="shared" si="23"/>
        <v>7.5141782672431004E-2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3913.4497498317828</v>
      </c>
      <c r="D208" s="465">
        <f>IF(LN_IF18=0,0,LN_IF15/LN_IF18)</f>
        <v>3759.3131244756923</v>
      </c>
      <c r="E208" s="465">
        <f t="shared" si="22"/>
        <v>-154.13662535609046</v>
      </c>
      <c r="F208" s="449">
        <f t="shared" si="23"/>
        <v>-3.9386381634954157E-2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4565.2984917347658</v>
      </c>
      <c r="D209" s="465">
        <f>LN_IB18-LN_IF19</f>
        <v>5263.9845505307449</v>
      </c>
      <c r="E209" s="465">
        <f t="shared" si="22"/>
        <v>698.68605879597908</v>
      </c>
      <c r="F209" s="449">
        <f t="shared" si="23"/>
        <v>0.15304279885771185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2306.2464330749449</v>
      </c>
      <c r="D210" s="465">
        <f>LN_IA16-LN_IF19</f>
        <v>3074.4975184535988</v>
      </c>
      <c r="E210" s="465">
        <f t="shared" si="22"/>
        <v>768.2510853786539</v>
      </c>
      <c r="F210" s="449">
        <f t="shared" si="23"/>
        <v>0.33311751700113673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16560661.99587056</v>
      </c>
      <c r="D211" s="441">
        <f>LN_IF21*LN_IF18</f>
        <v>23736236.924630672</v>
      </c>
      <c r="E211" s="441">
        <f t="shared" si="22"/>
        <v>7175574.9287601113</v>
      </c>
      <c r="F211" s="449">
        <f t="shared" si="23"/>
        <v>0.43329034374044695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179300134</v>
      </c>
      <c r="D214" s="448">
        <f>LN_IF1+LN_IF14</f>
        <v>206679023</v>
      </c>
      <c r="E214" s="448">
        <f>D214-C214</f>
        <v>27378889</v>
      </c>
      <c r="F214" s="449">
        <f>IF(C214=0,0,E214/C214)</f>
        <v>0.15269865330942808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50013341</v>
      </c>
      <c r="D215" s="448">
        <f>LN_IF2+LN_IF15</f>
        <v>50160732</v>
      </c>
      <c r="E215" s="448">
        <f>D215-C215</f>
        <v>147391</v>
      </c>
      <c r="F215" s="449">
        <f>IF(C215=0,0,E215/C215)</f>
        <v>2.9470336724755101E-3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129286793</v>
      </c>
      <c r="D216" s="448">
        <f>LN_IF23-LN_IF24</f>
        <v>156518291</v>
      </c>
      <c r="E216" s="448">
        <f>D216-C216</f>
        <v>27231498</v>
      </c>
      <c r="F216" s="449">
        <f>IF(C216=0,0,E216/C216)</f>
        <v>0.21062861386004059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208043</v>
      </c>
      <c r="D221" s="448">
        <v>596664</v>
      </c>
      <c r="E221" s="448">
        <f t="shared" ref="E221:E230" si="24">D221-C221</f>
        <v>388621</v>
      </c>
      <c r="F221" s="449">
        <f t="shared" ref="F221:F230" si="25">IF(C221=0,0,E221/C221)</f>
        <v>1.8679840225338031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62761</v>
      </c>
      <c r="D222" s="448">
        <v>185111</v>
      </c>
      <c r="E222" s="448">
        <f t="shared" si="24"/>
        <v>122350</v>
      </c>
      <c r="F222" s="449">
        <f t="shared" si="25"/>
        <v>1.9494590589697423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0.3016732117879477</v>
      </c>
      <c r="D223" s="453">
        <f>IF(LN_IG1=0,0,LN_IG2/LN_IG1)</f>
        <v>0.31024328600351286</v>
      </c>
      <c r="E223" s="454">
        <f t="shared" si="24"/>
        <v>8.5700742155651599E-3</v>
      </c>
      <c r="F223" s="449">
        <f t="shared" si="25"/>
        <v>2.8408469432112657E-2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21</v>
      </c>
      <c r="D224" s="456">
        <v>25</v>
      </c>
      <c r="E224" s="456">
        <f t="shared" si="24"/>
        <v>4</v>
      </c>
      <c r="F224" s="449">
        <f t="shared" si="25"/>
        <v>0.19047619047619047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0.74590000000000001</v>
      </c>
      <c r="D225" s="459">
        <v>1.14717</v>
      </c>
      <c r="E225" s="460">
        <f t="shared" si="24"/>
        <v>0.40127000000000002</v>
      </c>
      <c r="F225" s="449">
        <f t="shared" si="25"/>
        <v>0.53796755597265056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15.6639</v>
      </c>
      <c r="D226" s="463">
        <f>LN_IG3*LN_IG4</f>
        <v>28.67925</v>
      </c>
      <c r="E226" s="463">
        <f t="shared" si="24"/>
        <v>13.01535</v>
      </c>
      <c r="F226" s="449">
        <f t="shared" si="25"/>
        <v>0.83091375711029813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4006.7288478603668</v>
      </c>
      <c r="D227" s="465">
        <f>IF(LN_IG5=0,0,LN_IG2/LN_IG5)</f>
        <v>6454.5272278738112</v>
      </c>
      <c r="E227" s="465">
        <f t="shared" si="24"/>
        <v>2447.7983800134443</v>
      </c>
      <c r="F227" s="449">
        <f t="shared" si="25"/>
        <v>0.61092189488205395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49</v>
      </c>
      <c r="D228" s="456">
        <v>68</v>
      </c>
      <c r="E228" s="456">
        <f t="shared" si="24"/>
        <v>19</v>
      </c>
      <c r="F228" s="449">
        <f t="shared" si="25"/>
        <v>0.38775510204081631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1280.8367346938776</v>
      </c>
      <c r="D229" s="465">
        <f>IF(LN_IG6=0,0,LN_IG2/LN_IG6)</f>
        <v>2722.2205882352941</v>
      </c>
      <c r="E229" s="465">
        <f t="shared" si="24"/>
        <v>1441.3838535414166</v>
      </c>
      <c r="F229" s="449">
        <f t="shared" si="25"/>
        <v>1.1253454983752555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2.3333333333333335</v>
      </c>
      <c r="D230" s="466">
        <f>IF(LN_IG3=0,0,LN_IG6/LN_IG3)</f>
        <v>2.72</v>
      </c>
      <c r="E230" s="466">
        <f t="shared" si="24"/>
        <v>0.38666666666666671</v>
      </c>
      <c r="F230" s="449">
        <f t="shared" si="25"/>
        <v>0.16571428571428573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763864</v>
      </c>
      <c r="D233" s="448">
        <v>904569</v>
      </c>
      <c r="E233" s="448">
        <f>D233-C233</f>
        <v>140705</v>
      </c>
      <c r="F233" s="449">
        <f>IF(C233=0,0,E233/C233)</f>
        <v>0.18420163798791409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163459</v>
      </c>
      <c r="D234" s="448">
        <v>193957</v>
      </c>
      <c r="E234" s="448">
        <f>D234-C234</f>
        <v>30498</v>
      </c>
      <c r="F234" s="449">
        <f>IF(C234=0,0,E234/C234)</f>
        <v>0.18657889746052528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971907</v>
      </c>
      <c r="D237" s="448">
        <f>LN_IG1+LN_IG9</f>
        <v>1501233</v>
      </c>
      <c r="E237" s="448">
        <f>D237-C237</f>
        <v>529326</v>
      </c>
      <c r="F237" s="449">
        <f>IF(C237=0,0,E237/C237)</f>
        <v>0.5446261833693965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226220</v>
      </c>
      <c r="D238" s="448">
        <f>LN_IG2+LN_IG10</f>
        <v>379068</v>
      </c>
      <c r="E238" s="448">
        <f>D238-C238</f>
        <v>152848</v>
      </c>
      <c r="F238" s="449">
        <f>IF(C238=0,0,E238/C238)</f>
        <v>0.67566086110865531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745687</v>
      </c>
      <c r="D239" s="448">
        <f>LN_IG13-LN_IG14</f>
        <v>1122165</v>
      </c>
      <c r="E239" s="448">
        <f>D239-C239</f>
        <v>376478</v>
      </c>
      <c r="F239" s="449">
        <f>IF(C239=0,0,E239/C239)</f>
        <v>0.50487402891561739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8705634</v>
      </c>
      <c r="D243" s="448">
        <v>8206510</v>
      </c>
      <c r="E243" s="441">
        <f>D243-C243</f>
        <v>-499124</v>
      </c>
      <c r="F243" s="503">
        <f>IF(C243=0,0,E243/C243)</f>
        <v>-5.7333446363584777E-2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227226738</v>
      </c>
      <c r="D244" s="448">
        <v>241388483</v>
      </c>
      <c r="E244" s="441">
        <f>D244-C244</f>
        <v>14161745</v>
      </c>
      <c r="F244" s="503">
        <f>IF(C244=0,0,E244/C244)</f>
        <v>6.232428949448722E-2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894442</v>
      </c>
      <c r="D248" s="441">
        <v>3174277</v>
      </c>
      <c r="E248" s="441">
        <f>D248-C248</f>
        <v>2279835</v>
      </c>
      <c r="F248" s="449">
        <f>IF(C248=0,0,E248/C248)</f>
        <v>2.5488908168444686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10078145</v>
      </c>
      <c r="D249" s="441">
        <v>8179905</v>
      </c>
      <c r="E249" s="441">
        <f>D249-C249</f>
        <v>-1898240</v>
      </c>
      <c r="F249" s="449">
        <f>IF(C249=0,0,E249/C249)</f>
        <v>-0.18835212233997428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10972587</v>
      </c>
      <c r="D250" s="441">
        <f>LN_IH4+LN_IH5</f>
        <v>11354182</v>
      </c>
      <c r="E250" s="441">
        <f>D250-C250</f>
        <v>381595</v>
      </c>
      <c r="F250" s="449">
        <f>IF(C250=0,0,E250/C250)</f>
        <v>3.4777122295772185E-2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3658858.8113529617</v>
      </c>
      <c r="D251" s="441">
        <f>LN_IH6*LN_III10</f>
        <v>3553743.260990907</v>
      </c>
      <c r="E251" s="441">
        <f>D251-C251</f>
        <v>-105115.55036205472</v>
      </c>
      <c r="F251" s="449">
        <f>IF(C251=0,0,E251/C251)</f>
        <v>-2.8729053451282374E-2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179300134</v>
      </c>
      <c r="D254" s="441">
        <f>LN_IF23</f>
        <v>206679023</v>
      </c>
      <c r="E254" s="441">
        <f>D254-C254</f>
        <v>27378889</v>
      </c>
      <c r="F254" s="449">
        <f>IF(C254=0,0,E254/C254)</f>
        <v>0.15269865330942808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50013341</v>
      </c>
      <c r="D255" s="441">
        <f>LN_IF24</f>
        <v>50160732</v>
      </c>
      <c r="E255" s="441">
        <f>D255-C255</f>
        <v>147391</v>
      </c>
      <c r="F255" s="449">
        <f>IF(C255=0,0,E255/C255)</f>
        <v>2.9470336724755101E-3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59788441.427957393</v>
      </c>
      <c r="D256" s="441">
        <f>LN_IH8*LN_III10</f>
        <v>64688428.032458402</v>
      </c>
      <c r="E256" s="441">
        <f>D256-C256</f>
        <v>4899986.604501009</v>
      </c>
      <c r="F256" s="449">
        <f>IF(C256=0,0,E256/C256)</f>
        <v>8.1955416255586638E-2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9775100.4279573932</v>
      </c>
      <c r="D257" s="441">
        <f>LN_IH10-LN_IH9</f>
        <v>14527696.032458402</v>
      </c>
      <c r="E257" s="441">
        <f>D257-C257</f>
        <v>4752595.604501009</v>
      </c>
      <c r="F257" s="449">
        <f>IF(C257=0,0,E257/C257)</f>
        <v>0.48619404368555547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284206299</v>
      </c>
      <c r="D261" s="448">
        <f>LN_IA1+LN_IB1+LN_IF1+LN_IG1</f>
        <v>306598080</v>
      </c>
      <c r="E261" s="448">
        <f t="shared" ref="E261:E274" si="26">D261-C261</f>
        <v>22391781</v>
      </c>
      <c r="F261" s="503">
        <f t="shared" ref="F261:F274" si="27">IF(C261=0,0,E261/C261)</f>
        <v>7.8787067981206146E-2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127499145</v>
      </c>
      <c r="D262" s="448">
        <f>+LN_IA2+LN_IB2+LN_IF2+LN_IG2</f>
        <v>128141594</v>
      </c>
      <c r="E262" s="448">
        <f t="shared" si="26"/>
        <v>642449</v>
      </c>
      <c r="F262" s="503">
        <f t="shared" si="27"/>
        <v>5.0388494762062912E-3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0.44861477542410133</v>
      </c>
      <c r="D263" s="453">
        <f>IF(LN_IIA1=0,0,LN_IIA2/LN_IIA1)</f>
        <v>0.41794649855602489</v>
      </c>
      <c r="E263" s="454">
        <f t="shared" si="26"/>
        <v>-3.0668276868076438E-2</v>
      </c>
      <c r="F263" s="458">
        <f t="shared" si="27"/>
        <v>-6.8362164039478979E-2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11642</v>
      </c>
      <c r="D264" s="456">
        <f>LN_IA4+LN_IB4+LN_IF4+LN_IG3</f>
        <v>11845</v>
      </c>
      <c r="E264" s="456">
        <f t="shared" si="26"/>
        <v>203</v>
      </c>
      <c r="F264" s="503">
        <f t="shared" si="27"/>
        <v>1.7436866517780449E-2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1.3322283542346676</v>
      </c>
      <c r="D265" s="525">
        <f>IF(LN_IIA4=0,0,LN_IIA6/LN_IIA4)</f>
        <v>1.3425310527648799</v>
      </c>
      <c r="E265" s="525">
        <f t="shared" si="26"/>
        <v>1.0302698530212373E-2</v>
      </c>
      <c r="F265" s="503">
        <f t="shared" si="27"/>
        <v>7.7334328589118038E-3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15509.8025</v>
      </c>
      <c r="D266" s="463">
        <f>LN_IA6+LN_IB6+LN_IF6+LN_IG5</f>
        <v>15902.280320000002</v>
      </c>
      <c r="E266" s="463">
        <f t="shared" si="26"/>
        <v>392.47782000000188</v>
      </c>
      <c r="F266" s="503">
        <f t="shared" si="27"/>
        <v>2.530514621317724E-2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379762392</v>
      </c>
      <c r="D267" s="448">
        <f>LN_IA11+LN_IB13+LN_IF14+LN_IG9</f>
        <v>440154258</v>
      </c>
      <c r="E267" s="448">
        <f t="shared" si="26"/>
        <v>60391866</v>
      </c>
      <c r="F267" s="503">
        <f t="shared" si="27"/>
        <v>0.15902539922910533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1.3362208836898439</v>
      </c>
      <c r="D268" s="453">
        <f>IF(LN_IIA1=0,0,LN_IIA7/LN_IIA1)</f>
        <v>1.4356067004724882</v>
      </c>
      <c r="E268" s="454">
        <f t="shared" si="26"/>
        <v>9.9385816782644243E-2</v>
      </c>
      <c r="F268" s="458">
        <f t="shared" si="27"/>
        <v>7.4378284305959941E-2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101369196</v>
      </c>
      <c r="D269" s="448">
        <f>LN_IA12+LN_IB14+LN_IF15+LN_IG10</f>
        <v>114763653</v>
      </c>
      <c r="E269" s="448">
        <f t="shared" si="26"/>
        <v>13394457</v>
      </c>
      <c r="F269" s="503">
        <f t="shared" si="27"/>
        <v>0.13213537769402847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0.26692794793645602</v>
      </c>
      <c r="D270" s="453">
        <f>IF(LN_IIA7=0,0,LN_IIA9/LN_IIA7)</f>
        <v>0.26073507392946771</v>
      </c>
      <c r="E270" s="454">
        <f t="shared" si="26"/>
        <v>-6.1928740069883137E-3</v>
      </c>
      <c r="F270" s="458">
        <f t="shared" si="27"/>
        <v>-2.3200545521230204E-2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663968691</v>
      </c>
      <c r="D271" s="441">
        <f>LN_IIA1+LN_IIA7</f>
        <v>746752338</v>
      </c>
      <c r="E271" s="441">
        <f t="shared" si="26"/>
        <v>82783647</v>
      </c>
      <c r="F271" s="503">
        <f t="shared" si="27"/>
        <v>0.12468004609572773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228868341</v>
      </c>
      <c r="D272" s="441">
        <f>LN_IIA2+LN_IIA9</f>
        <v>242905247</v>
      </c>
      <c r="E272" s="441">
        <f t="shared" si="26"/>
        <v>14036906</v>
      </c>
      <c r="F272" s="503">
        <f t="shared" si="27"/>
        <v>6.1331794247593205E-2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0.34469748965919239</v>
      </c>
      <c r="D273" s="453">
        <f>IF(LN_IIA11=0,0,LN_IIA12/LN_IIA11)</f>
        <v>0.32528220487473053</v>
      </c>
      <c r="E273" s="454">
        <f t="shared" si="26"/>
        <v>-1.9415284784461861E-2</v>
      </c>
      <c r="F273" s="458">
        <f t="shared" si="27"/>
        <v>-5.6325576387742327E-2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50924</v>
      </c>
      <c r="D274" s="508">
        <f>LN_IA8+LN_IB10+LN_IF11+LN_IG6</f>
        <v>50556</v>
      </c>
      <c r="E274" s="528">
        <f t="shared" si="26"/>
        <v>-368</v>
      </c>
      <c r="F274" s="458">
        <f t="shared" si="27"/>
        <v>-7.2264551095750527E-3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208009787</v>
      </c>
      <c r="D277" s="448">
        <f>LN_IA1+LN_IF1+LN_IG1</f>
        <v>229603208</v>
      </c>
      <c r="E277" s="448">
        <f t="shared" ref="E277:E291" si="28">D277-C277</f>
        <v>21593421</v>
      </c>
      <c r="F277" s="503">
        <f t="shared" ref="F277:F291" si="29">IF(C277=0,0,E277/C277)</f>
        <v>0.10380963949547239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88908535</v>
      </c>
      <c r="D278" s="448">
        <f>LN_IA2+LN_IF2+LN_IG2</f>
        <v>89177701</v>
      </c>
      <c r="E278" s="448">
        <f t="shared" si="28"/>
        <v>269166</v>
      </c>
      <c r="F278" s="503">
        <f t="shared" si="29"/>
        <v>3.0274483771439943E-3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0.42742476823939057</v>
      </c>
      <c r="D279" s="453">
        <f>IF(D277=0,0,LN_IIB2/D277)</f>
        <v>0.38839919431787728</v>
      </c>
      <c r="E279" s="454">
        <f t="shared" si="28"/>
        <v>-3.902557392151329E-2</v>
      </c>
      <c r="F279" s="458">
        <f t="shared" si="29"/>
        <v>-9.1303959951277283E-2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8658</v>
      </c>
      <c r="D280" s="456">
        <f>LN_IA4+LN_IF4+LN_IG3</f>
        <v>8972</v>
      </c>
      <c r="E280" s="456">
        <f t="shared" si="28"/>
        <v>314</v>
      </c>
      <c r="F280" s="503">
        <f t="shared" si="29"/>
        <v>3.6267036267036264E-2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1.3360293023793022</v>
      </c>
      <c r="D281" s="525">
        <f>IF(LN_IIB4=0,0,LN_IIB6/LN_IIB4)</f>
        <v>1.3555098439589837</v>
      </c>
      <c r="E281" s="525">
        <f t="shared" si="28"/>
        <v>1.9480541579681487E-2</v>
      </c>
      <c r="F281" s="503">
        <f t="shared" si="29"/>
        <v>1.4580923895148904E-2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11567.341699999999</v>
      </c>
      <c r="D282" s="463">
        <f>LN_IA6+LN_IF6+LN_IG5</f>
        <v>12161.634320000001</v>
      </c>
      <c r="E282" s="463">
        <f t="shared" si="28"/>
        <v>594.29262000000199</v>
      </c>
      <c r="F282" s="503">
        <f t="shared" si="29"/>
        <v>5.1376767057897323E-2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229122936</v>
      </c>
      <c r="D283" s="448">
        <f>LN_IA11+LN_IF14+LN_IG9</f>
        <v>273098232</v>
      </c>
      <c r="E283" s="448">
        <f t="shared" si="28"/>
        <v>43975296</v>
      </c>
      <c r="F283" s="503">
        <f t="shared" si="29"/>
        <v>0.19192882549305321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1.1015007481354711</v>
      </c>
      <c r="D284" s="453">
        <f>IF(D277=0,0,LN_IIB7/D277)</f>
        <v>1.189435611021602</v>
      </c>
      <c r="E284" s="454">
        <f t="shared" si="28"/>
        <v>8.7934862886130949E-2</v>
      </c>
      <c r="F284" s="458">
        <f t="shared" si="29"/>
        <v>7.9831868507560966E-2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51350288</v>
      </c>
      <c r="D285" s="448">
        <f>LN_IA12+LN_IF15+LN_IG10</f>
        <v>58516408</v>
      </c>
      <c r="E285" s="448">
        <f t="shared" si="28"/>
        <v>7166120</v>
      </c>
      <c r="F285" s="503">
        <f t="shared" si="29"/>
        <v>0.13955364768353393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0.22411675101789025</v>
      </c>
      <c r="D286" s="453">
        <f>IF(LN_IIB7=0,0,LN_IIB9/LN_IIB7)</f>
        <v>0.21426871778503495</v>
      </c>
      <c r="E286" s="454">
        <f t="shared" si="28"/>
        <v>-9.8480332328552966E-3</v>
      </c>
      <c r="F286" s="458">
        <f t="shared" si="29"/>
        <v>-4.3941531314047884E-2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437132723</v>
      </c>
      <c r="D287" s="441">
        <f>D277+LN_IIB7</f>
        <v>502701440</v>
      </c>
      <c r="E287" s="441">
        <f t="shared" si="28"/>
        <v>65568717</v>
      </c>
      <c r="F287" s="503">
        <f t="shared" si="29"/>
        <v>0.14999727439759755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140258823</v>
      </c>
      <c r="D288" s="441">
        <f>LN_IIB2+LN_IIB9</f>
        <v>147694109</v>
      </c>
      <c r="E288" s="441">
        <f t="shared" si="28"/>
        <v>7435286</v>
      </c>
      <c r="F288" s="503">
        <f t="shared" si="29"/>
        <v>5.301118204877564E-2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0.32086095508342899</v>
      </c>
      <c r="D289" s="453">
        <f>IF(LN_IIB11=0,0,LN_IIB12/LN_IIB11)</f>
        <v>0.29380084727825723</v>
      </c>
      <c r="E289" s="454">
        <f t="shared" si="28"/>
        <v>-2.7060107805171763E-2</v>
      </c>
      <c r="F289" s="458">
        <f t="shared" si="29"/>
        <v>-8.4335932360905988E-2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39727</v>
      </c>
      <c r="D290" s="508">
        <f>LN_IA8+LN_IF11+LN_IG6</f>
        <v>40235</v>
      </c>
      <c r="E290" s="528">
        <f t="shared" si="28"/>
        <v>508</v>
      </c>
      <c r="F290" s="458">
        <f t="shared" si="29"/>
        <v>1.2787273139174868E-2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296873900</v>
      </c>
      <c r="D291" s="516">
        <f>LN_IIB11-LN_IIB12</f>
        <v>355007331</v>
      </c>
      <c r="E291" s="441">
        <f t="shared" si="28"/>
        <v>58133431</v>
      </c>
      <c r="F291" s="503">
        <f t="shared" si="29"/>
        <v>0.19581859840154356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5.1757743144604458</v>
      </c>
      <c r="D294" s="466">
        <f>IF(LN_IA4=0,0,LN_IA8/LN_IA4)</f>
        <v>4.9990432453119018</v>
      </c>
      <c r="E294" s="466">
        <f t="shared" ref="E294:E300" si="30">D294-C294</f>
        <v>-0.17673106914854397</v>
      </c>
      <c r="F294" s="503">
        <f t="shared" ref="F294:F300" si="31">IF(C294=0,0,E294/C294)</f>
        <v>-3.414582213424186E-2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3.7523458445040214</v>
      </c>
      <c r="D295" s="466">
        <f>IF(LN_IB4=0,0,(LN_IB10)/(LN_IB4))</f>
        <v>3.5924121127741038</v>
      </c>
      <c r="E295" s="466">
        <f t="shared" si="30"/>
        <v>-0.15993373172991765</v>
      </c>
      <c r="F295" s="503">
        <f t="shared" si="31"/>
        <v>-4.2622332364211334E-2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3.3826086956521739</v>
      </c>
      <c r="D296" s="466">
        <f>IF(LN_IC4=0,0,LN_IC11/LN_IC4)</f>
        <v>2.8461538461538463</v>
      </c>
      <c r="E296" s="466">
        <f t="shared" si="30"/>
        <v>-0.53645484949832767</v>
      </c>
      <c r="F296" s="503">
        <f t="shared" si="31"/>
        <v>-0.15859205062289891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3.7673766816143499</v>
      </c>
      <c r="D297" s="466">
        <f>IF(LN_ID4=0,0,LN_ID11/LN_ID4)</f>
        <v>3.7737167428110725</v>
      </c>
      <c r="E297" s="466">
        <f t="shared" si="30"/>
        <v>6.3400611967225906E-3</v>
      </c>
      <c r="F297" s="503">
        <f t="shared" si="31"/>
        <v>1.6828848645965037E-3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2.3333333333333335</v>
      </c>
      <c r="D299" s="466">
        <f>IF(LN_IG3=0,0,LN_IG6/LN_IG3)</f>
        <v>2.72</v>
      </c>
      <c r="E299" s="466">
        <f t="shared" si="30"/>
        <v>0.38666666666666671</v>
      </c>
      <c r="F299" s="503">
        <f t="shared" si="31"/>
        <v>0.16571428571428573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4.3741625150317818</v>
      </c>
      <c r="D300" s="466">
        <f>IF(LN_IIA4=0,0,LN_IIA14/LN_IIA4)</f>
        <v>4.2681300126635708</v>
      </c>
      <c r="E300" s="466">
        <f t="shared" si="30"/>
        <v>-0.10603250236821093</v>
      </c>
      <c r="F300" s="503">
        <f t="shared" si="31"/>
        <v>-2.4240640809259122E-2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663968691</v>
      </c>
      <c r="D304" s="441">
        <f>LN_IIA11</f>
        <v>746752338</v>
      </c>
      <c r="E304" s="441">
        <f t="shared" ref="E304:E316" si="32">D304-C304</f>
        <v>82783647</v>
      </c>
      <c r="F304" s="449">
        <f>IF(C304=0,0,E304/C304)</f>
        <v>0.12468004609572773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296873900</v>
      </c>
      <c r="D305" s="441">
        <f>LN_IIB14</f>
        <v>355007331</v>
      </c>
      <c r="E305" s="441">
        <f t="shared" si="32"/>
        <v>58133431</v>
      </c>
      <c r="F305" s="449">
        <f>IF(C305=0,0,E305/C305)</f>
        <v>0.19581859840154356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10972587</v>
      </c>
      <c r="D306" s="441">
        <f>LN_IH6</f>
        <v>11354182</v>
      </c>
      <c r="E306" s="441">
        <f t="shared" si="32"/>
        <v>381595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127253863</v>
      </c>
      <c r="D307" s="441">
        <f>LN_IB32-LN_IB33</f>
        <v>137485578</v>
      </c>
      <c r="E307" s="441">
        <f t="shared" si="32"/>
        <v>10231715</v>
      </c>
      <c r="F307" s="449">
        <f t="shared" ref="F307:F316" si="33">IF(C307=0,0,E307/C307)</f>
        <v>8.0403963846661375E-2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7464975</v>
      </c>
      <c r="D308" s="441">
        <v>9179375</v>
      </c>
      <c r="E308" s="441">
        <f t="shared" si="32"/>
        <v>1714400</v>
      </c>
      <c r="F308" s="449">
        <f t="shared" si="33"/>
        <v>0.22965917501398198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442565325</v>
      </c>
      <c r="D309" s="441">
        <f>LN_III2+LN_III3+LN_III4+LN_III5</f>
        <v>513026466</v>
      </c>
      <c r="E309" s="441">
        <f t="shared" si="32"/>
        <v>70461141</v>
      </c>
      <c r="F309" s="449">
        <f t="shared" si="33"/>
        <v>0.15921071313031585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221403366</v>
      </c>
      <c r="D310" s="441">
        <f>LN_III1-LN_III6</f>
        <v>233725872</v>
      </c>
      <c r="E310" s="441">
        <f t="shared" si="32"/>
        <v>12322506</v>
      </c>
      <c r="F310" s="449">
        <f t="shared" si="33"/>
        <v>5.5656362514380199E-2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221403366</v>
      </c>
      <c r="D312" s="441">
        <f>LN_III7+LN_III8</f>
        <v>233725872</v>
      </c>
      <c r="E312" s="441">
        <f t="shared" si="32"/>
        <v>12322506</v>
      </c>
      <c r="F312" s="449">
        <f t="shared" si="33"/>
        <v>5.5656362514380199E-2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0.33345452730089647</v>
      </c>
      <c r="D313" s="532">
        <f>IF(LN_III1=0,0,LN_III9/LN_III1)</f>
        <v>0.31298980948085092</v>
      </c>
      <c r="E313" s="532">
        <f t="shared" si="32"/>
        <v>-2.0464717820045553E-2</v>
      </c>
      <c r="F313" s="449">
        <f t="shared" si="33"/>
        <v>-6.1371839769861582E-2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3658858.8113529617</v>
      </c>
      <c r="D314" s="441">
        <f>D313*LN_III5</f>
        <v>3553743.260990907</v>
      </c>
      <c r="E314" s="441">
        <f t="shared" si="32"/>
        <v>-105115.55036205472</v>
      </c>
      <c r="F314" s="449">
        <f t="shared" si="33"/>
        <v>-2.8729053451282374E-2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9775100.4279573932</v>
      </c>
      <c r="D315" s="441">
        <f>D313*LN_IH8-LN_IH9</f>
        <v>14527696.032458402</v>
      </c>
      <c r="E315" s="441">
        <f t="shared" si="32"/>
        <v>4752595.604501009</v>
      </c>
      <c r="F315" s="449">
        <f t="shared" si="33"/>
        <v>0.48619404368555547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13433959.239310354</v>
      </c>
      <c r="D318" s="441">
        <f>D314+D315+D316</f>
        <v>18081439.293449309</v>
      </c>
      <c r="E318" s="441">
        <f>D318-C318</f>
        <v>4647480.0541389547</v>
      </c>
      <c r="F318" s="449">
        <f>IF(C318=0,0,E318/C318)</f>
        <v>0.34595013810519332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16560661.99587056</v>
      </c>
      <c r="D322" s="441">
        <f>LN_ID22</f>
        <v>23736236.924630672</v>
      </c>
      <c r="E322" s="441">
        <f>LN_IV2-C322</f>
        <v>7175574.9287601113</v>
      </c>
      <c r="F322" s="449">
        <f>IF(C322=0,0,E322/C322)</f>
        <v>0.43329034374044695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4591150.9300523158</v>
      </c>
      <c r="D324" s="441">
        <f>LN_IC10+LN_IC22</f>
        <v>4268725.2522580437</v>
      </c>
      <c r="E324" s="441">
        <f>LN_IV1-C324</f>
        <v>-322425.67779427208</v>
      </c>
      <c r="F324" s="449">
        <f>IF(C324=0,0,E324/C324)</f>
        <v>-7.0227636317457778E-2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21151812.925922878</v>
      </c>
      <c r="D325" s="516">
        <f>LN_IV1+LN_IV2+LN_IV3</f>
        <v>28004962.176888715</v>
      </c>
      <c r="E325" s="441">
        <f>LN_IV4-C325</f>
        <v>6853149.2509658374</v>
      </c>
      <c r="F325" s="449">
        <f>IF(C325=0,0,E325/C325)</f>
        <v>0.32399819698513271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11348829</v>
      </c>
      <c r="D329" s="518">
        <v>13563930</v>
      </c>
      <c r="E329" s="518">
        <f t="shared" ref="E329:E335" si="34">D329-C329</f>
        <v>2215101</v>
      </c>
      <c r="F329" s="542">
        <f t="shared" ref="F329:F335" si="35">IF(C329=0,0,E329/C329)</f>
        <v>0.19518322110589559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9860854</v>
      </c>
      <c r="D330" s="516">
        <v>9015555</v>
      </c>
      <c r="E330" s="518">
        <f t="shared" si="34"/>
        <v>-845299</v>
      </c>
      <c r="F330" s="543">
        <f t="shared" si="35"/>
        <v>-8.5722697040236065E-2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238729196</v>
      </c>
      <c r="D331" s="516">
        <v>251920802</v>
      </c>
      <c r="E331" s="518">
        <f t="shared" si="34"/>
        <v>13191606</v>
      </c>
      <c r="F331" s="542">
        <f t="shared" si="35"/>
        <v>5.5257614992344717E-2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663968691</v>
      </c>
      <c r="D333" s="516">
        <v>746752338</v>
      </c>
      <c r="E333" s="518">
        <f t="shared" si="34"/>
        <v>82783647</v>
      </c>
      <c r="F333" s="542">
        <f t="shared" si="35"/>
        <v>0.12468004609572773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10972587</v>
      </c>
      <c r="D335" s="516">
        <v>11354182</v>
      </c>
      <c r="E335" s="516">
        <f t="shared" si="34"/>
        <v>381595</v>
      </c>
      <c r="F335" s="542">
        <f t="shared" si="35"/>
        <v>3.4777122295772185E-2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horizontalDpi="1200" verticalDpi="1200" r:id="rId1"/>
  <headerFooter>
    <oddHeader>&amp;LOFFICE OF HEALTH CARE ACCESS&amp;CTWELVE MONTHS ACTUAL FILING&amp;RSAINT MARY`S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C8" sqref="C1:C6553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42578125" style="420" bestFit="1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76196512</v>
      </c>
      <c r="D14" s="589">
        <v>76994872</v>
      </c>
      <c r="E14" s="590">
        <f t="shared" ref="E14:E22" si="0">D14-C14</f>
        <v>798360</v>
      </c>
    </row>
    <row r="15" spans="1:5" s="421" customFormat="1" x14ac:dyDescent="0.2">
      <c r="A15" s="588">
        <v>2</v>
      </c>
      <c r="B15" s="587" t="s">
        <v>636</v>
      </c>
      <c r="C15" s="589">
        <v>148284057</v>
      </c>
      <c r="D15" s="591">
        <v>161789671</v>
      </c>
      <c r="E15" s="590">
        <f t="shared" si="0"/>
        <v>13505614</v>
      </c>
    </row>
    <row r="16" spans="1:5" s="421" customFormat="1" x14ac:dyDescent="0.2">
      <c r="A16" s="588">
        <v>3</v>
      </c>
      <c r="B16" s="587" t="s">
        <v>778</v>
      </c>
      <c r="C16" s="589">
        <v>59517687</v>
      </c>
      <c r="D16" s="591">
        <v>67216873</v>
      </c>
      <c r="E16" s="590">
        <f t="shared" si="0"/>
        <v>7699186</v>
      </c>
    </row>
    <row r="17" spans="1:5" s="421" customFormat="1" x14ac:dyDescent="0.2">
      <c r="A17" s="588">
        <v>4</v>
      </c>
      <c r="B17" s="587" t="s">
        <v>115</v>
      </c>
      <c r="C17" s="589">
        <v>59517687</v>
      </c>
      <c r="D17" s="591">
        <v>67216873</v>
      </c>
      <c r="E17" s="590">
        <f t="shared" si="0"/>
        <v>7699186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208043</v>
      </c>
      <c r="D19" s="591">
        <v>596664</v>
      </c>
      <c r="E19" s="590">
        <f t="shared" si="0"/>
        <v>388621</v>
      </c>
    </row>
    <row r="20" spans="1:5" s="421" customFormat="1" x14ac:dyDescent="0.2">
      <c r="A20" s="588">
        <v>7</v>
      </c>
      <c r="B20" s="587" t="s">
        <v>759</v>
      </c>
      <c r="C20" s="589">
        <v>1781260</v>
      </c>
      <c r="D20" s="591">
        <v>1331888</v>
      </c>
      <c r="E20" s="590">
        <f t="shared" si="0"/>
        <v>-449372</v>
      </c>
    </row>
    <row r="21" spans="1:5" s="421" customFormat="1" x14ac:dyDescent="0.2">
      <c r="A21" s="588"/>
      <c r="B21" s="592" t="s">
        <v>779</v>
      </c>
      <c r="C21" s="593">
        <f>SUM(C15+C16+C19)</f>
        <v>208009787</v>
      </c>
      <c r="D21" s="593">
        <f>SUM(D15+D16+D19)</f>
        <v>229603208</v>
      </c>
      <c r="E21" s="593">
        <f t="shared" si="0"/>
        <v>21593421</v>
      </c>
    </row>
    <row r="22" spans="1:5" s="421" customFormat="1" x14ac:dyDescent="0.2">
      <c r="A22" s="588"/>
      <c r="B22" s="592" t="s">
        <v>465</v>
      </c>
      <c r="C22" s="593">
        <f>SUM(C14+C21)</f>
        <v>284206299</v>
      </c>
      <c r="D22" s="593">
        <f>SUM(D14+D21)</f>
        <v>306598080</v>
      </c>
      <c r="E22" s="593">
        <f t="shared" si="0"/>
        <v>22391781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150639456</v>
      </c>
      <c r="D25" s="589">
        <v>167056026</v>
      </c>
      <c r="E25" s="590">
        <f t="shared" ref="E25:E33" si="1">D25-C25</f>
        <v>16416570</v>
      </c>
    </row>
    <row r="26" spans="1:5" s="421" customFormat="1" x14ac:dyDescent="0.2">
      <c r="A26" s="588">
        <v>2</v>
      </c>
      <c r="B26" s="587" t="s">
        <v>636</v>
      </c>
      <c r="C26" s="589">
        <v>108576625</v>
      </c>
      <c r="D26" s="591">
        <v>132731513</v>
      </c>
      <c r="E26" s="590">
        <f t="shared" si="1"/>
        <v>24154888</v>
      </c>
    </row>
    <row r="27" spans="1:5" s="421" customFormat="1" x14ac:dyDescent="0.2">
      <c r="A27" s="588">
        <v>3</v>
      </c>
      <c r="B27" s="587" t="s">
        <v>778</v>
      </c>
      <c r="C27" s="589">
        <v>119782447</v>
      </c>
      <c r="D27" s="591">
        <v>139462150</v>
      </c>
      <c r="E27" s="590">
        <f t="shared" si="1"/>
        <v>19679703</v>
      </c>
    </row>
    <row r="28" spans="1:5" s="421" customFormat="1" x14ac:dyDescent="0.2">
      <c r="A28" s="588">
        <v>4</v>
      </c>
      <c r="B28" s="587" t="s">
        <v>115</v>
      </c>
      <c r="C28" s="589">
        <v>119782447</v>
      </c>
      <c r="D28" s="591">
        <v>139462150</v>
      </c>
      <c r="E28" s="590">
        <f t="shared" si="1"/>
        <v>19679703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763864</v>
      </c>
      <c r="D30" s="591">
        <v>904569</v>
      </c>
      <c r="E30" s="590">
        <f t="shared" si="1"/>
        <v>140705</v>
      </c>
    </row>
    <row r="31" spans="1:5" s="421" customFormat="1" x14ac:dyDescent="0.2">
      <c r="A31" s="588">
        <v>7</v>
      </c>
      <c r="B31" s="587" t="s">
        <v>759</v>
      </c>
      <c r="C31" s="590">
        <v>9596163</v>
      </c>
      <c r="D31" s="594">
        <v>10625605</v>
      </c>
      <c r="E31" s="590">
        <f t="shared" si="1"/>
        <v>1029442</v>
      </c>
    </row>
    <row r="32" spans="1:5" s="421" customFormat="1" x14ac:dyDescent="0.2">
      <c r="A32" s="588"/>
      <c r="B32" s="592" t="s">
        <v>781</v>
      </c>
      <c r="C32" s="593">
        <f>SUM(C26+C27+C30)</f>
        <v>229122936</v>
      </c>
      <c r="D32" s="593">
        <f>SUM(D26+D27+D30)</f>
        <v>273098232</v>
      </c>
      <c r="E32" s="593">
        <f t="shared" si="1"/>
        <v>43975296</v>
      </c>
    </row>
    <row r="33" spans="1:5" s="421" customFormat="1" x14ac:dyDescent="0.2">
      <c r="A33" s="588"/>
      <c r="B33" s="592" t="s">
        <v>467</v>
      </c>
      <c r="C33" s="593">
        <f>SUM(C25+C32)</f>
        <v>379762392</v>
      </c>
      <c r="D33" s="593">
        <f>SUM(D25+D32)</f>
        <v>440154258</v>
      </c>
      <c r="E33" s="593">
        <f t="shared" si="1"/>
        <v>60391866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226835968</v>
      </c>
      <c r="D36" s="590">
        <f t="shared" si="2"/>
        <v>244050898</v>
      </c>
      <c r="E36" s="590">
        <f t="shared" ref="E36:E44" si="3">D36-C36</f>
        <v>17214930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256860682</v>
      </c>
      <c r="D37" s="590">
        <f t="shared" si="2"/>
        <v>294521184</v>
      </c>
      <c r="E37" s="590">
        <f t="shared" si="3"/>
        <v>37660502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179300134</v>
      </c>
      <c r="D38" s="590">
        <f t="shared" si="2"/>
        <v>206679023</v>
      </c>
      <c r="E38" s="590">
        <f t="shared" si="3"/>
        <v>27378889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179300134</v>
      </c>
      <c r="D39" s="590">
        <f t="shared" si="2"/>
        <v>206679023</v>
      </c>
      <c r="E39" s="590">
        <f t="shared" si="3"/>
        <v>27378889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971907</v>
      </c>
      <c r="D41" s="590">
        <f t="shared" si="2"/>
        <v>1501233</v>
      </c>
      <c r="E41" s="590">
        <f t="shared" si="3"/>
        <v>529326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11377423</v>
      </c>
      <c r="D42" s="590">
        <f t="shared" si="2"/>
        <v>11957493</v>
      </c>
      <c r="E42" s="590">
        <f t="shared" si="3"/>
        <v>580070</v>
      </c>
    </row>
    <row r="43" spans="1:5" s="421" customFormat="1" x14ac:dyDescent="0.2">
      <c r="A43" s="588"/>
      <c r="B43" s="592" t="s">
        <v>789</v>
      </c>
      <c r="C43" s="593">
        <f>SUM(C37+C38+C41)</f>
        <v>437132723</v>
      </c>
      <c r="D43" s="593">
        <f>SUM(D37+D38+D41)</f>
        <v>502701440</v>
      </c>
      <c r="E43" s="593">
        <f t="shared" si="3"/>
        <v>65568717</v>
      </c>
    </row>
    <row r="44" spans="1:5" s="421" customFormat="1" x14ac:dyDescent="0.2">
      <c r="A44" s="588"/>
      <c r="B44" s="592" t="s">
        <v>726</v>
      </c>
      <c r="C44" s="593">
        <f>SUM(C36+C43)</f>
        <v>663968691</v>
      </c>
      <c r="D44" s="593">
        <f>SUM(D36+D43)</f>
        <v>746752338</v>
      </c>
      <c r="E44" s="593">
        <f t="shared" si="3"/>
        <v>82783647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38590610</v>
      </c>
      <c r="D47" s="589">
        <v>38963893</v>
      </c>
      <c r="E47" s="590">
        <f t="shared" ref="E47:E55" si="4">D47-C47</f>
        <v>373283</v>
      </c>
    </row>
    <row r="48" spans="1:5" s="421" customFormat="1" x14ac:dyDescent="0.2">
      <c r="A48" s="588">
        <v>2</v>
      </c>
      <c r="B48" s="587" t="s">
        <v>636</v>
      </c>
      <c r="C48" s="589">
        <v>66934078</v>
      </c>
      <c r="D48" s="591">
        <v>67855120</v>
      </c>
      <c r="E48" s="590">
        <f t="shared" si="4"/>
        <v>921042</v>
      </c>
    </row>
    <row r="49" spans="1:5" s="421" customFormat="1" x14ac:dyDescent="0.2">
      <c r="A49" s="588">
        <v>3</v>
      </c>
      <c r="B49" s="587" t="s">
        <v>778</v>
      </c>
      <c r="C49" s="589">
        <v>21911696</v>
      </c>
      <c r="D49" s="591">
        <v>21137470</v>
      </c>
      <c r="E49" s="590">
        <f t="shared" si="4"/>
        <v>-774226</v>
      </c>
    </row>
    <row r="50" spans="1:5" s="421" customFormat="1" x14ac:dyDescent="0.2">
      <c r="A50" s="588">
        <v>4</v>
      </c>
      <c r="B50" s="587" t="s">
        <v>115</v>
      </c>
      <c r="C50" s="589">
        <v>21911696</v>
      </c>
      <c r="D50" s="591">
        <v>21137470</v>
      </c>
      <c r="E50" s="590">
        <f t="shared" si="4"/>
        <v>-774226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62761</v>
      </c>
      <c r="D52" s="591">
        <v>185111</v>
      </c>
      <c r="E52" s="590">
        <f t="shared" si="4"/>
        <v>122350</v>
      </c>
    </row>
    <row r="53" spans="1:5" s="421" customFormat="1" x14ac:dyDescent="0.2">
      <c r="A53" s="588">
        <v>7</v>
      </c>
      <c r="B53" s="587" t="s">
        <v>759</v>
      </c>
      <c r="C53" s="589">
        <v>21594</v>
      </c>
      <c r="D53" s="591">
        <v>91946</v>
      </c>
      <c r="E53" s="590">
        <f t="shared" si="4"/>
        <v>70352</v>
      </c>
    </row>
    <row r="54" spans="1:5" s="421" customFormat="1" x14ac:dyDescent="0.2">
      <c r="A54" s="588"/>
      <c r="B54" s="592" t="s">
        <v>791</v>
      </c>
      <c r="C54" s="593">
        <f>SUM(C48+C49+C52)</f>
        <v>88908535</v>
      </c>
      <c r="D54" s="593">
        <f>SUM(D48+D49+D52)</f>
        <v>89177701</v>
      </c>
      <c r="E54" s="593">
        <f t="shared" si="4"/>
        <v>269166</v>
      </c>
    </row>
    <row r="55" spans="1:5" s="421" customFormat="1" x14ac:dyDescent="0.2">
      <c r="A55" s="588"/>
      <c r="B55" s="592" t="s">
        <v>466</v>
      </c>
      <c r="C55" s="593">
        <f>SUM(C47+C54)</f>
        <v>127499145</v>
      </c>
      <c r="D55" s="593">
        <f>SUM(D47+D54)</f>
        <v>128141594</v>
      </c>
      <c r="E55" s="593">
        <f t="shared" si="4"/>
        <v>642449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50018908</v>
      </c>
      <c r="D58" s="589">
        <v>56247245</v>
      </c>
      <c r="E58" s="590">
        <f t="shared" ref="E58:E66" si="5">D58-C58</f>
        <v>6228337</v>
      </c>
    </row>
    <row r="59" spans="1:5" s="421" customFormat="1" x14ac:dyDescent="0.2">
      <c r="A59" s="588">
        <v>2</v>
      </c>
      <c r="B59" s="587" t="s">
        <v>636</v>
      </c>
      <c r="C59" s="589">
        <v>23085184</v>
      </c>
      <c r="D59" s="591">
        <v>29299189</v>
      </c>
      <c r="E59" s="590">
        <f t="shared" si="5"/>
        <v>6214005</v>
      </c>
    </row>
    <row r="60" spans="1:5" s="421" customFormat="1" x14ac:dyDescent="0.2">
      <c r="A60" s="588">
        <v>3</v>
      </c>
      <c r="B60" s="587" t="s">
        <v>778</v>
      </c>
      <c r="C60" s="589">
        <f>C61+C62</f>
        <v>28101645</v>
      </c>
      <c r="D60" s="591">
        <f>D61+D62</f>
        <v>29023262</v>
      </c>
      <c r="E60" s="590">
        <f t="shared" si="5"/>
        <v>921617</v>
      </c>
    </row>
    <row r="61" spans="1:5" s="421" customFormat="1" x14ac:dyDescent="0.2">
      <c r="A61" s="588">
        <v>4</v>
      </c>
      <c r="B61" s="587" t="s">
        <v>115</v>
      </c>
      <c r="C61" s="589">
        <v>28101645</v>
      </c>
      <c r="D61" s="591">
        <v>29023262</v>
      </c>
      <c r="E61" s="590">
        <f t="shared" si="5"/>
        <v>921617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163459</v>
      </c>
      <c r="D63" s="591">
        <v>193957</v>
      </c>
      <c r="E63" s="590">
        <f t="shared" si="5"/>
        <v>30498</v>
      </c>
    </row>
    <row r="64" spans="1:5" s="421" customFormat="1" x14ac:dyDescent="0.2">
      <c r="A64" s="588">
        <v>7</v>
      </c>
      <c r="B64" s="587" t="s">
        <v>759</v>
      </c>
      <c r="C64" s="589">
        <v>383242</v>
      </c>
      <c r="D64" s="591">
        <v>511365</v>
      </c>
      <c r="E64" s="590">
        <f t="shared" si="5"/>
        <v>128123</v>
      </c>
    </row>
    <row r="65" spans="1:5" s="421" customFormat="1" x14ac:dyDescent="0.2">
      <c r="A65" s="588"/>
      <c r="B65" s="592" t="s">
        <v>793</v>
      </c>
      <c r="C65" s="593">
        <f>SUM(C59+C60+C63)</f>
        <v>51350288</v>
      </c>
      <c r="D65" s="593">
        <f>SUM(D59+D60+D63)</f>
        <v>58516408</v>
      </c>
      <c r="E65" s="593">
        <f t="shared" si="5"/>
        <v>7166120</v>
      </c>
    </row>
    <row r="66" spans="1:5" s="421" customFormat="1" x14ac:dyDescent="0.2">
      <c r="A66" s="588"/>
      <c r="B66" s="592" t="s">
        <v>468</v>
      </c>
      <c r="C66" s="593">
        <f>SUM(C58+C65)</f>
        <v>101369196</v>
      </c>
      <c r="D66" s="593">
        <f>SUM(D58+D65)</f>
        <v>114763653</v>
      </c>
      <c r="E66" s="593">
        <f t="shared" si="5"/>
        <v>13394457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88609518</v>
      </c>
      <c r="D69" s="590">
        <f t="shared" si="6"/>
        <v>95211138</v>
      </c>
      <c r="E69" s="590">
        <f t="shared" ref="E69:E77" si="7">D69-C69</f>
        <v>6601620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90019262</v>
      </c>
      <c r="D70" s="590">
        <f t="shared" si="6"/>
        <v>97154309</v>
      </c>
      <c r="E70" s="590">
        <f t="shared" si="7"/>
        <v>7135047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50013341</v>
      </c>
      <c r="D71" s="590">
        <f t="shared" si="6"/>
        <v>50160732</v>
      </c>
      <c r="E71" s="590">
        <f t="shared" si="7"/>
        <v>147391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50013341</v>
      </c>
      <c r="D72" s="590">
        <f t="shared" si="6"/>
        <v>50160732</v>
      </c>
      <c r="E72" s="590">
        <f t="shared" si="7"/>
        <v>147391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226220</v>
      </c>
      <c r="D74" s="590">
        <f t="shared" si="6"/>
        <v>379068</v>
      </c>
      <c r="E74" s="590">
        <f t="shared" si="7"/>
        <v>152848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404836</v>
      </c>
      <c r="D75" s="590">
        <f t="shared" si="6"/>
        <v>603311</v>
      </c>
      <c r="E75" s="590">
        <f t="shared" si="7"/>
        <v>198475</v>
      </c>
    </row>
    <row r="76" spans="1:5" s="421" customFormat="1" x14ac:dyDescent="0.2">
      <c r="A76" s="588"/>
      <c r="B76" s="592" t="s">
        <v>794</v>
      </c>
      <c r="C76" s="593">
        <f>SUM(C70+C71+C74)</f>
        <v>140258823</v>
      </c>
      <c r="D76" s="593">
        <f>SUM(D70+D71+D74)</f>
        <v>147694109</v>
      </c>
      <c r="E76" s="593">
        <f t="shared" si="7"/>
        <v>7435286</v>
      </c>
    </row>
    <row r="77" spans="1:5" s="421" customFormat="1" x14ac:dyDescent="0.2">
      <c r="A77" s="588"/>
      <c r="B77" s="592" t="s">
        <v>727</v>
      </c>
      <c r="C77" s="593">
        <f>SUM(C69+C76)</f>
        <v>228868341</v>
      </c>
      <c r="D77" s="593">
        <f>SUM(D69+D76)</f>
        <v>242905247</v>
      </c>
      <c r="E77" s="593">
        <f t="shared" si="7"/>
        <v>14036906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0.11475919427050213</v>
      </c>
      <c r="D83" s="599">
        <f t="shared" si="8"/>
        <v>0.10310630189148468</v>
      </c>
      <c r="E83" s="599">
        <f t="shared" ref="E83:E91" si="9">D83-C83</f>
        <v>-1.1652892379017454E-2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0.22332989342715859</v>
      </c>
      <c r="D84" s="599">
        <f t="shared" si="8"/>
        <v>0.21665773612884223</v>
      </c>
      <c r="E84" s="599">
        <f t="shared" si="9"/>
        <v>-6.6721572983163557E-3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8.9639297465006526E-2</v>
      </c>
      <c r="D85" s="599">
        <f t="shared" si="8"/>
        <v>9.0012269904670858E-2</v>
      </c>
      <c r="E85" s="599">
        <f t="shared" si="9"/>
        <v>3.7297243966433191E-4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8.9639297465006526E-2</v>
      </c>
      <c r="D86" s="599">
        <f t="shared" si="8"/>
        <v>9.0012269904670858E-2</v>
      </c>
      <c r="E86" s="599">
        <f t="shared" si="9"/>
        <v>3.7297243966433191E-4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3.1333254537449268E-4</v>
      </c>
      <c r="D88" s="599">
        <f t="shared" si="8"/>
        <v>7.9901189408797008E-4</v>
      </c>
      <c r="E88" s="599">
        <f t="shared" si="9"/>
        <v>4.856793487134774E-4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2.6827469791041699E-3</v>
      </c>
      <c r="D89" s="599">
        <f t="shared" si="8"/>
        <v>1.783573927022643E-3</v>
      </c>
      <c r="E89" s="599">
        <f t="shared" si="9"/>
        <v>-8.9917305208152688E-4</v>
      </c>
    </row>
    <row r="90" spans="1:5" s="421" customFormat="1" x14ac:dyDescent="0.2">
      <c r="A90" s="588"/>
      <c r="B90" s="592" t="s">
        <v>797</v>
      </c>
      <c r="C90" s="600">
        <f>SUM(C84+C85+C88)</f>
        <v>0.3132825234375396</v>
      </c>
      <c r="D90" s="600">
        <f>SUM(D84+D85+D88)</f>
        <v>0.30746901792760106</v>
      </c>
      <c r="E90" s="601">
        <f t="shared" si="9"/>
        <v>-5.8135055099385324E-3</v>
      </c>
    </row>
    <row r="91" spans="1:5" s="421" customFormat="1" x14ac:dyDescent="0.2">
      <c r="A91" s="588"/>
      <c r="B91" s="592" t="s">
        <v>798</v>
      </c>
      <c r="C91" s="600">
        <f>SUM(C83+C90)</f>
        <v>0.42804171770804172</v>
      </c>
      <c r="D91" s="600">
        <f>SUM(D83+D90)</f>
        <v>0.41057531981908574</v>
      </c>
      <c r="E91" s="601">
        <f t="shared" si="9"/>
        <v>-1.7466397888955987E-2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0.22687734834774009</v>
      </c>
      <c r="D95" s="599">
        <f t="shared" si="10"/>
        <v>0.22371008097198619</v>
      </c>
      <c r="E95" s="599">
        <f t="shared" ref="E95:E103" si="11">D95-C95</f>
        <v>-3.1672673757539016E-3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0.1635267241840474</v>
      </c>
      <c r="D96" s="599">
        <f t="shared" si="10"/>
        <v>0.17774502501791967</v>
      </c>
      <c r="E96" s="599">
        <f t="shared" si="11"/>
        <v>1.4218300833872266E-2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0.18040375792357957</v>
      </c>
      <c r="D97" s="599">
        <f t="shared" si="10"/>
        <v>0.18675823683862372</v>
      </c>
      <c r="E97" s="599">
        <f t="shared" si="11"/>
        <v>6.3544789150441483E-3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0.18040375792357957</v>
      </c>
      <c r="D98" s="599">
        <f t="shared" si="10"/>
        <v>0.18675823683862372</v>
      </c>
      <c r="E98" s="599">
        <f t="shared" si="11"/>
        <v>6.3544789150441483E-3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1.1504518365911926E-3</v>
      </c>
      <c r="D100" s="599">
        <f t="shared" si="10"/>
        <v>1.2113373523846937E-3</v>
      </c>
      <c r="E100" s="599">
        <f t="shared" si="11"/>
        <v>6.0885515793501115E-5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1.4452734187732958E-2</v>
      </c>
      <c r="D101" s="599">
        <f t="shared" si="10"/>
        <v>1.4229088359412676E-2</v>
      </c>
      <c r="E101" s="599">
        <f t="shared" si="11"/>
        <v>-2.236458283202819E-4</v>
      </c>
    </row>
    <row r="102" spans="1:5" s="421" customFormat="1" x14ac:dyDescent="0.2">
      <c r="A102" s="588"/>
      <c r="B102" s="592" t="s">
        <v>800</v>
      </c>
      <c r="C102" s="600">
        <f>SUM(C96+C97+C100)</f>
        <v>0.34508093394421818</v>
      </c>
      <c r="D102" s="600">
        <f>SUM(D96+D97+D100)</f>
        <v>0.36571459920892807</v>
      </c>
      <c r="E102" s="601">
        <f t="shared" si="11"/>
        <v>2.0633665264709888E-2</v>
      </c>
    </row>
    <row r="103" spans="1:5" s="421" customFormat="1" x14ac:dyDescent="0.2">
      <c r="A103" s="588"/>
      <c r="B103" s="592" t="s">
        <v>801</v>
      </c>
      <c r="C103" s="600">
        <f>SUM(C95+C102)</f>
        <v>0.57195828229195822</v>
      </c>
      <c r="D103" s="600">
        <f>SUM(D95+D102)</f>
        <v>0.58942468018091421</v>
      </c>
      <c r="E103" s="601">
        <f t="shared" si="11"/>
        <v>1.7466397888955987E-2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0.16861488937869307</v>
      </c>
      <c r="D109" s="599">
        <f t="shared" si="12"/>
        <v>0.16040778649791784</v>
      </c>
      <c r="E109" s="599">
        <f t="shared" ref="E109:E117" si="13">D109-C109</f>
        <v>-8.2071028807752244E-3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0.29245669238280536</v>
      </c>
      <c r="D110" s="599">
        <f t="shared" si="12"/>
        <v>0.27934810317209824</v>
      </c>
      <c r="E110" s="599">
        <f t="shared" si="13"/>
        <v>-1.3108589210707122E-2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9.5739305420141099E-2</v>
      </c>
      <c r="D111" s="599">
        <f t="shared" si="12"/>
        <v>8.701940473109665E-2</v>
      </c>
      <c r="E111" s="599">
        <f t="shared" si="13"/>
        <v>-8.7199006890444491E-3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9.5739305420141099E-2</v>
      </c>
      <c r="D112" s="599">
        <f t="shared" si="12"/>
        <v>8.701940473109665E-2</v>
      </c>
      <c r="E112" s="599">
        <f t="shared" si="13"/>
        <v>-8.7199006890444491E-3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2.7422316134148063E-4</v>
      </c>
      <c r="D114" s="599">
        <f t="shared" si="12"/>
        <v>7.6207081685641812E-4</v>
      </c>
      <c r="E114" s="599">
        <f t="shared" si="13"/>
        <v>4.8784765551493749E-4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9.4351188572647533E-5</v>
      </c>
      <c r="D115" s="599">
        <f t="shared" si="12"/>
        <v>3.7852619955961678E-4</v>
      </c>
      <c r="E115" s="599">
        <f t="shared" si="13"/>
        <v>2.8417501098696926E-4</v>
      </c>
    </row>
    <row r="116" spans="1:5" s="421" customFormat="1" x14ac:dyDescent="0.2">
      <c r="A116" s="588"/>
      <c r="B116" s="592" t="s">
        <v>797</v>
      </c>
      <c r="C116" s="600">
        <f>SUM(C110+C111+C114)</f>
        <v>0.3884702209642879</v>
      </c>
      <c r="D116" s="600">
        <f>SUM(D110+D111+D114)</f>
        <v>0.36712957872005131</v>
      </c>
      <c r="E116" s="601">
        <f t="shared" si="13"/>
        <v>-2.1340642244236596E-2</v>
      </c>
    </row>
    <row r="117" spans="1:5" s="421" customFormat="1" x14ac:dyDescent="0.2">
      <c r="A117" s="588"/>
      <c r="B117" s="592" t="s">
        <v>798</v>
      </c>
      <c r="C117" s="600">
        <f>SUM(C109+C116)</f>
        <v>0.55708511034298103</v>
      </c>
      <c r="D117" s="600">
        <f>SUM(D109+D116)</f>
        <v>0.52753736521796912</v>
      </c>
      <c r="E117" s="601">
        <f t="shared" si="13"/>
        <v>-2.9547745125011904E-2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0.21854882934638828</v>
      </c>
      <c r="D121" s="599">
        <f t="shared" si="14"/>
        <v>0.23156043640341784</v>
      </c>
      <c r="E121" s="599">
        <f t="shared" ref="E121:E129" si="15">D121-C121</f>
        <v>1.3011607057029556E-2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0.10086665503465156</v>
      </c>
      <c r="D122" s="599">
        <f t="shared" si="14"/>
        <v>0.12061982753299685</v>
      </c>
      <c r="E122" s="599">
        <f t="shared" si="15"/>
        <v>1.9753172498345295E-2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0.1227851998979623</v>
      </c>
      <c r="D123" s="599">
        <f t="shared" si="14"/>
        <v>0.11948388253630438</v>
      </c>
      <c r="E123" s="599">
        <f t="shared" si="15"/>
        <v>-3.3013173616579239E-3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0.1227851998979623</v>
      </c>
      <c r="D124" s="599">
        <f t="shared" si="14"/>
        <v>0.11948388253630438</v>
      </c>
      <c r="E124" s="599">
        <f t="shared" si="15"/>
        <v>-3.3013173616579239E-3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7.1420537801687473E-4</v>
      </c>
      <c r="D126" s="599">
        <f t="shared" si="14"/>
        <v>7.9848830931181984E-4</v>
      </c>
      <c r="E126" s="599">
        <f t="shared" si="15"/>
        <v>8.4282931294945109E-5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1.674508576963906E-3</v>
      </c>
      <c r="D127" s="599">
        <f t="shared" si="14"/>
        <v>2.1052035981750528E-3</v>
      </c>
      <c r="E127" s="599">
        <f t="shared" si="15"/>
        <v>4.3069502121114681E-4</v>
      </c>
    </row>
    <row r="128" spans="1:5" s="421" customFormat="1" x14ac:dyDescent="0.2">
      <c r="A128" s="588"/>
      <c r="B128" s="592" t="s">
        <v>800</v>
      </c>
      <c r="C128" s="600">
        <f>SUM(C122+C123+C126)</f>
        <v>0.22436606031063072</v>
      </c>
      <c r="D128" s="600">
        <f>SUM(D122+D123+D126)</f>
        <v>0.24090219837861304</v>
      </c>
      <c r="E128" s="601">
        <f t="shared" si="15"/>
        <v>1.653613806798232E-2</v>
      </c>
    </row>
    <row r="129" spans="1:5" s="421" customFormat="1" x14ac:dyDescent="0.2">
      <c r="A129" s="588"/>
      <c r="B129" s="592" t="s">
        <v>801</v>
      </c>
      <c r="C129" s="600">
        <f>SUM(C121+C128)</f>
        <v>0.44291488965701897</v>
      </c>
      <c r="D129" s="600">
        <f>SUM(D121+D128)</f>
        <v>0.47246263478203088</v>
      </c>
      <c r="E129" s="601">
        <f t="shared" si="15"/>
        <v>2.9547745125011904E-2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2984</v>
      </c>
      <c r="D137" s="606">
        <v>2873</v>
      </c>
      <c r="E137" s="607">
        <f t="shared" ref="E137:E145" si="16">D137-C137</f>
        <v>-111</v>
      </c>
    </row>
    <row r="138" spans="1:5" s="421" customFormat="1" x14ac:dyDescent="0.2">
      <c r="A138" s="588">
        <v>2</v>
      </c>
      <c r="B138" s="587" t="s">
        <v>636</v>
      </c>
      <c r="C138" s="606">
        <v>5069</v>
      </c>
      <c r="D138" s="606">
        <v>5226</v>
      </c>
      <c r="E138" s="607">
        <f t="shared" si="16"/>
        <v>157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3568</v>
      </c>
      <c r="D139" s="606">
        <f>D140+D141</f>
        <v>3721</v>
      </c>
      <c r="E139" s="607">
        <f t="shared" si="16"/>
        <v>153</v>
      </c>
    </row>
    <row r="140" spans="1:5" s="421" customFormat="1" x14ac:dyDescent="0.2">
      <c r="A140" s="588">
        <v>4</v>
      </c>
      <c r="B140" s="587" t="s">
        <v>115</v>
      </c>
      <c r="C140" s="606">
        <v>3568</v>
      </c>
      <c r="D140" s="606">
        <v>3721</v>
      </c>
      <c r="E140" s="607">
        <f t="shared" si="16"/>
        <v>153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21</v>
      </c>
      <c r="D142" s="606">
        <v>25</v>
      </c>
      <c r="E142" s="607">
        <f t="shared" si="16"/>
        <v>4</v>
      </c>
    </row>
    <row r="143" spans="1:5" s="421" customFormat="1" x14ac:dyDescent="0.2">
      <c r="A143" s="588">
        <v>7</v>
      </c>
      <c r="B143" s="587" t="s">
        <v>759</v>
      </c>
      <c r="C143" s="606">
        <v>115</v>
      </c>
      <c r="D143" s="606">
        <v>78</v>
      </c>
      <c r="E143" s="607">
        <f t="shared" si="16"/>
        <v>-37</v>
      </c>
    </row>
    <row r="144" spans="1:5" s="421" customFormat="1" x14ac:dyDescent="0.2">
      <c r="A144" s="588"/>
      <c r="B144" s="592" t="s">
        <v>808</v>
      </c>
      <c r="C144" s="608">
        <f>SUM(C138+C139+C142)</f>
        <v>8658</v>
      </c>
      <c r="D144" s="608">
        <f>SUM(D138+D139+D142)</f>
        <v>8972</v>
      </c>
      <c r="E144" s="609">
        <f t="shared" si="16"/>
        <v>314</v>
      </c>
    </row>
    <row r="145" spans="1:5" s="421" customFormat="1" x14ac:dyDescent="0.2">
      <c r="A145" s="588"/>
      <c r="B145" s="592" t="s">
        <v>138</v>
      </c>
      <c r="C145" s="608">
        <f>SUM(C137+C144)</f>
        <v>11642</v>
      </c>
      <c r="D145" s="608">
        <f>SUM(D137+D144)</f>
        <v>11845</v>
      </c>
      <c r="E145" s="609">
        <f t="shared" si="16"/>
        <v>203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11197</v>
      </c>
      <c r="D149" s="610">
        <v>10321</v>
      </c>
      <c r="E149" s="607">
        <f t="shared" ref="E149:E157" si="17">D149-C149</f>
        <v>-876</v>
      </c>
    </row>
    <row r="150" spans="1:5" s="421" customFormat="1" x14ac:dyDescent="0.2">
      <c r="A150" s="588">
        <v>2</v>
      </c>
      <c r="B150" s="587" t="s">
        <v>636</v>
      </c>
      <c r="C150" s="610">
        <v>26236</v>
      </c>
      <c r="D150" s="610">
        <v>26125</v>
      </c>
      <c r="E150" s="607">
        <f t="shared" si="17"/>
        <v>-111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13442</v>
      </c>
      <c r="D151" s="610">
        <f>D152+D153</f>
        <v>14042</v>
      </c>
      <c r="E151" s="607">
        <f t="shared" si="17"/>
        <v>600</v>
      </c>
    </row>
    <row r="152" spans="1:5" s="421" customFormat="1" x14ac:dyDescent="0.2">
      <c r="A152" s="588">
        <v>4</v>
      </c>
      <c r="B152" s="587" t="s">
        <v>115</v>
      </c>
      <c r="C152" s="610">
        <v>13442</v>
      </c>
      <c r="D152" s="610">
        <v>14042</v>
      </c>
      <c r="E152" s="607">
        <f t="shared" si="17"/>
        <v>600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49</v>
      </c>
      <c r="D154" s="610">
        <v>68</v>
      </c>
      <c r="E154" s="607">
        <f t="shared" si="17"/>
        <v>19</v>
      </c>
    </row>
    <row r="155" spans="1:5" s="421" customFormat="1" x14ac:dyDescent="0.2">
      <c r="A155" s="588">
        <v>7</v>
      </c>
      <c r="B155" s="587" t="s">
        <v>759</v>
      </c>
      <c r="C155" s="610">
        <v>389</v>
      </c>
      <c r="D155" s="610">
        <v>222</v>
      </c>
      <c r="E155" s="607">
        <f t="shared" si="17"/>
        <v>-167</v>
      </c>
    </row>
    <row r="156" spans="1:5" s="421" customFormat="1" x14ac:dyDescent="0.2">
      <c r="A156" s="588"/>
      <c r="B156" s="592" t="s">
        <v>809</v>
      </c>
      <c r="C156" s="608">
        <f>SUM(C150+C151+C154)</f>
        <v>39727</v>
      </c>
      <c r="D156" s="608">
        <f>SUM(D150+D151+D154)</f>
        <v>40235</v>
      </c>
      <c r="E156" s="609">
        <f t="shared" si="17"/>
        <v>508</v>
      </c>
    </row>
    <row r="157" spans="1:5" s="421" customFormat="1" x14ac:dyDescent="0.2">
      <c r="A157" s="588"/>
      <c r="B157" s="592" t="s">
        <v>140</v>
      </c>
      <c r="C157" s="608">
        <f>SUM(C149+C156)</f>
        <v>50924</v>
      </c>
      <c r="D157" s="608">
        <f>SUM(D149+D156)</f>
        <v>50556</v>
      </c>
      <c r="E157" s="609">
        <f t="shared" si="17"/>
        <v>-368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3.7523458445040214</v>
      </c>
      <c r="D161" s="612">
        <f t="shared" si="18"/>
        <v>3.5924121127741038</v>
      </c>
      <c r="E161" s="613">
        <f t="shared" ref="E161:E169" si="19">D161-C161</f>
        <v>-0.15993373172991765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5.1757743144604458</v>
      </c>
      <c r="D162" s="612">
        <f t="shared" si="18"/>
        <v>4.9990432453119018</v>
      </c>
      <c r="E162" s="613">
        <f t="shared" si="19"/>
        <v>-0.17673106914854397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3.7673766816143499</v>
      </c>
      <c r="D163" s="612">
        <f t="shared" si="18"/>
        <v>3.7737167428110725</v>
      </c>
      <c r="E163" s="613">
        <f t="shared" si="19"/>
        <v>6.3400611967225906E-3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3.7673766816143499</v>
      </c>
      <c r="D164" s="612">
        <f t="shared" si="18"/>
        <v>3.7737167428110725</v>
      </c>
      <c r="E164" s="613">
        <f t="shared" si="19"/>
        <v>6.3400611967225906E-3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2.3333333333333335</v>
      </c>
      <c r="D166" s="612">
        <f t="shared" si="18"/>
        <v>2.72</v>
      </c>
      <c r="E166" s="613">
        <f t="shared" si="19"/>
        <v>0.38666666666666671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3.3826086956521739</v>
      </c>
      <c r="D167" s="612">
        <f t="shared" si="18"/>
        <v>2.8461538461538463</v>
      </c>
      <c r="E167" s="613">
        <f t="shared" si="19"/>
        <v>-0.53645484949832767</v>
      </c>
    </row>
    <row r="168" spans="1:5" s="421" customFormat="1" x14ac:dyDescent="0.2">
      <c r="A168" s="588"/>
      <c r="B168" s="592" t="s">
        <v>811</v>
      </c>
      <c r="C168" s="614">
        <f t="shared" si="18"/>
        <v>4.5884730884730889</v>
      </c>
      <c r="D168" s="614">
        <f t="shared" si="18"/>
        <v>4.4845073562193489</v>
      </c>
      <c r="E168" s="615">
        <f t="shared" si="19"/>
        <v>-0.10396573225373995</v>
      </c>
    </row>
    <row r="169" spans="1:5" s="421" customFormat="1" x14ac:dyDescent="0.2">
      <c r="A169" s="588"/>
      <c r="B169" s="592" t="s">
        <v>745</v>
      </c>
      <c r="C169" s="614">
        <f t="shared" si="18"/>
        <v>4.3741625150317818</v>
      </c>
      <c r="D169" s="614">
        <f t="shared" si="18"/>
        <v>4.2681300126635708</v>
      </c>
      <c r="E169" s="615">
        <f t="shared" si="19"/>
        <v>-0.10603250236821093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1.3211999999999999</v>
      </c>
      <c r="D173" s="617">
        <f t="shared" si="20"/>
        <v>1.302</v>
      </c>
      <c r="E173" s="618">
        <f t="shared" ref="E173:E181" si="21">D173-C173</f>
        <v>-1.9199999999999884E-2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1.5586</v>
      </c>
      <c r="D174" s="617">
        <f t="shared" si="20"/>
        <v>1.5737000000000003</v>
      </c>
      <c r="E174" s="618">
        <f t="shared" si="21"/>
        <v>1.5100000000000335E-2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1.0233000000000001</v>
      </c>
      <c r="D175" s="617">
        <f t="shared" si="20"/>
        <v>1.05047</v>
      </c>
      <c r="E175" s="618">
        <f t="shared" si="21"/>
        <v>2.7169999999999916E-2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1.0233000000000001</v>
      </c>
      <c r="D176" s="617">
        <f t="shared" si="20"/>
        <v>1.05047</v>
      </c>
      <c r="E176" s="618">
        <f t="shared" si="21"/>
        <v>2.7169999999999916E-2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0.74590000000000001</v>
      </c>
      <c r="D178" s="617">
        <f t="shared" si="20"/>
        <v>1.14717</v>
      </c>
      <c r="E178" s="618">
        <f t="shared" si="21"/>
        <v>0.40127000000000002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1.1728000000000001</v>
      </c>
      <c r="D179" s="617">
        <f t="shared" si="20"/>
        <v>0.96269000000000005</v>
      </c>
      <c r="E179" s="618">
        <f t="shared" si="21"/>
        <v>-0.21011000000000002</v>
      </c>
    </row>
    <row r="180" spans="1:5" s="421" customFormat="1" x14ac:dyDescent="0.2">
      <c r="A180" s="588"/>
      <c r="B180" s="592" t="s">
        <v>813</v>
      </c>
      <c r="C180" s="619">
        <f t="shared" si="20"/>
        <v>1.3360293023793022</v>
      </c>
      <c r="D180" s="619">
        <f t="shared" si="20"/>
        <v>1.3555098439589837</v>
      </c>
      <c r="E180" s="620">
        <f t="shared" si="21"/>
        <v>1.9480541579681487E-2</v>
      </c>
    </row>
    <row r="181" spans="1:5" s="421" customFormat="1" x14ac:dyDescent="0.2">
      <c r="A181" s="588"/>
      <c r="B181" s="592" t="s">
        <v>724</v>
      </c>
      <c r="C181" s="619">
        <f t="shared" si="20"/>
        <v>1.3322283542346673</v>
      </c>
      <c r="D181" s="619">
        <f t="shared" si="20"/>
        <v>1.3425310527648799</v>
      </c>
      <c r="E181" s="620">
        <f t="shared" si="21"/>
        <v>1.0302698530212595E-2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215458545</v>
      </c>
      <c r="D185" s="589">
        <v>232093405</v>
      </c>
      <c r="E185" s="590">
        <f>D185-C185</f>
        <v>16634860</v>
      </c>
    </row>
    <row r="186" spans="1:5" s="421" customFormat="1" ht="25.5" x14ac:dyDescent="0.2">
      <c r="A186" s="588">
        <v>2</v>
      </c>
      <c r="B186" s="587" t="s">
        <v>816</v>
      </c>
      <c r="C186" s="589">
        <v>88204682</v>
      </c>
      <c r="D186" s="589">
        <v>94607827</v>
      </c>
      <c r="E186" s="590">
        <f>D186-C186</f>
        <v>6403145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127253863</v>
      </c>
      <c r="D188" s="622">
        <f>+D185-D186</f>
        <v>137485578</v>
      </c>
      <c r="E188" s="590">
        <f t="shared" ref="E188:E197" si="22">D188-C188</f>
        <v>10231715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0.59061878005349011</v>
      </c>
      <c r="D189" s="623">
        <f>IF(D185=0,0,+D188/D185)</f>
        <v>0.59237175653483132</v>
      </c>
      <c r="E189" s="599">
        <f t="shared" si="22"/>
        <v>1.7529764813412063E-3</v>
      </c>
    </row>
    <row r="190" spans="1:5" s="421" customFormat="1" x14ac:dyDescent="0.2">
      <c r="A190" s="588">
        <v>5</v>
      </c>
      <c r="B190" s="587" t="s">
        <v>763</v>
      </c>
      <c r="C190" s="589">
        <v>11348829</v>
      </c>
      <c r="D190" s="589">
        <v>13563930</v>
      </c>
      <c r="E190" s="622">
        <f t="shared" si="22"/>
        <v>2215101</v>
      </c>
    </row>
    <row r="191" spans="1:5" s="421" customFormat="1" x14ac:dyDescent="0.2">
      <c r="A191" s="588">
        <v>6</v>
      </c>
      <c r="B191" s="587" t="s">
        <v>749</v>
      </c>
      <c r="C191" s="589">
        <v>7464975</v>
      </c>
      <c r="D191" s="589">
        <v>9179375</v>
      </c>
      <c r="E191" s="622">
        <f t="shared" si="22"/>
        <v>1714400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894442</v>
      </c>
      <c r="D193" s="589">
        <v>3174277</v>
      </c>
      <c r="E193" s="622">
        <f t="shared" si="22"/>
        <v>2279835</v>
      </c>
    </row>
    <row r="194" spans="1:5" s="421" customFormat="1" x14ac:dyDescent="0.2">
      <c r="A194" s="588">
        <v>9</v>
      </c>
      <c r="B194" s="587" t="s">
        <v>819</v>
      </c>
      <c r="C194" s="589">
        <v>10078145</v>
      </c>
      <c r="D194" s="589">
        <v>8179905</v>
      </c>
      <c r="E194" s="622">
        <f t="shared" si="22"/>
        <v>-1898240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10972587</v>
      </c>
      <c r="D195" s="589">
        <f>+D193+D194</f>
        <v>11354182</v>
      </c>
      <c r="E195" s="625">
        <f t="shared" si="22"/>
        <v>381595</v>
      </c>
    </row>
    <row r="196" spans="1:5" s="421" customFormat="1" x14ac:dyDescent="0.2">
      <c r="A196" s="588">
        <v>11</v>
      </c>
      <c r="B196" s="587" t="s">
        <v>821</v>
      </c>
      <c r="C196" s="589">
        <v>8705634</v>
      </c>
      <c r="D196" s="589">
        <v>8206510</v>
      </c>
      <c r="E196" s="622">
        <f t="shared" si="22"/>
        <v>-499124</v>
      </c>
    </row>
    <row r="197" spans="1:5" s="421" customFormat="1" x14ac:dyDescent="0.2">
      <c r="A197" s="588">
        <v>12</v>
      </c>
      <c r="B197" s="587" t="s">
        <v>711</v>
      </c>
      <c r="C197" s="589">
        <v>227226738</v>
      </c>
      <c r="D197" s="589">
        <v>241388483</v>
      </c>
      <c r="E197" s="622">
        <f t="shared" si="22"/>
        <v>14161745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3942.4607999999998</v>
      </c>
      <c r="D203" s="629">
        <v>3740.6460000000002</v>
      </c>
      <c r="E203" s="630">
        <f t="shared" ref="E203:E211" si="23">D203-C203</f>
        <v>-201.81479999999965</v>
      </c>
    </row>
    <row r="204" spans="1:5" s="421" customFormat="1" x14ac:dyDescent="0.2">
      <c r="A204" s="588">
        <v>2</v>
      </c>
      <c r="B204" s="587" t="s">
        <v>636</v>
      </c>
      <c r="C204" s="629">
        <v>7900.5433999999996</v>
      </c>
      <c r="D204" s="629">
        <v>8224.1562000000013</v>
      </c>
      <c r="E204" s="630">
        <f t="shared" si="23"/>
        <v>323.6128000000017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3651.1344000000004</v>
      </c>
      <c r="D205" s="629">
        <f>D206+D207</f>
        <v>3908.7988700000001</v>
      </c>
      <c r="E205" s="630">
        <f t="shared" si="23"/>
        <v>257.66446999999971</v>
      </c>
    </row>
    <row r="206" spans="1:5" s="421" customFormat="1" x14ac:dyDescent="0.2">
      <c r="A206" s="588">
        <v>4</v>
      </c>
      <c r="B206" s="587" t="s">
        <v>115</v>
      </c>
      <c r="C206" s="629">
        <v>3651.1344000000004</v>
      </c>
      <c r="D206" s="629">
        <v>3908.7988700000001</v>
      </c>
      <c r="E206" s="630">
        <f t="shared" si="23"/>
        <v>257.66446999999971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15.6639</v>
      </c>
      <c r="D208" s="629">
        <v>28.67925</v>
      </c>
      <c r="E208" s="630">
        <f t="shared" si="23"/>
        <v>13.01535</v>
      </c>
    </row>
    <row r="209" spans="1:5" s="421" customFormat="1" x14ac:dyDescent="0.2">
      <c r="A209" s="588">
        <v>7</v>
      </c>
      <c r="B209" s="587" t="s">
        <v>759</v>
      </c>
      <c r="C209" s="629">
        <v>134.87200000000001</v>
      </c>
      <c r="D209" s="629">
        <v>75.089820000000003</v>
      </c>
      <c r="E209" s="630">
        <f t="shared" si="23"/>
        <v>-59.782180000000011</v>
      </c>
    </row>
    <row r="210" spans="1:5" s="421" customFormat="1" x14ac:dyDescent="0.2">
      <c r="A210" s="588"/>
      <c r="B210" s="592" t="s">
        <v>824</v>
      </c>
      <c r="C210" s="631">
        <f>C204+C205+C208</f>
        <v>11567.341699999999</v>
      </c>
      <c r="D210" s="631">
        <f>D204+D205+D208</f>
        <v>12161.634320000001</v>
      </c>
      <c r="E210" s="632">
        <f t="shared" si="23"/>
        <v>594.29262000000199</v>
      </c>
    </row>
    <row r="211" spans="1:5" s="421" customFormat="1" x14ac:dyDescent="0.2">
      <c r="A211" s="588"/>
      <c r="B211" s="592" t="s">
        <v>725</v>
      </c>
      <c r="C211" s="631">
        <f>C210+C203</f>
        <v>15509.802499999998</v>
      </c>
      <c r="D211" s="631">
        <f>D210+D203</f>
        <v>15902.280320000002</v>
      </c>
      <c r="E211" s="632">
        <f t="shared" si="23"/>
        <v>392.4778200000037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5899.3269495590557</v>
      </c>
      <c r="D215" s="633">
        <f>IF(D14*D137=0,0,D25/D14*D137)</f>
        <v>6233.5575114405028</v>
      </c>
      <c r="E215" s="633">
        <f t="shared" ref="E215:E223" si="24">D215-C215</f>
        <v>334.2305618814471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3711.6256680581646</v>
      </c>
      <c r="D216" s="633">
        <f>IF(D15*D138=0,0,D26/D15*D138)</f>
        <v>4287.3867203673344</v>
      </c>
      <c r="E216" s="633">
        <f t="shared" si="24"/>
        <v>575.76105230916983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7180.785955206894</v>
      </c>
      <c r="D217" s="633">
        <f>D218+D219</f>
        <v>7720.3630128702953</v>
      </c>
      <c r="E217" s="633">
        <f t="shared" si="24"/>
        <v>539.57705766340132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7180.785955206894</v>
      </c>
      <c r="D218" s="633">
        <f t="shared" si="25"/>
        <v>7720.3630128702953</v>
      </c>
      <c r="E218" s="633">
        <f t="shared" si="24"/>
        <v>539.57705766340132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77.104944650865448</v>
      </c>
      <c r="D220" s="633">
        <f t="shared" si="25"/>
        <v>37.901105144603996</v>
      </c>
      <c r="E220" s="633">
        <f t="shared" si="24"/>
        <v>-39.203839506261453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619.5382734693419</v>
      </c>
      <c r="D221" s="633">
        <f t="shared" si="25"/>
        <v>622.27243582042934</v>
      </c>
      <c r="E221" s="633">
        <f t="shared" si="24"/>
        <v>2.7341623510874342</v>
      </c>
    </row>
    <row r="222" spans="1:5" s="421" customFormat="1" x14ac:dyDescent="0.2">
      <c r="A222" s="588"/>
      <c r="B222" s="592" t="s">
        <v>826</v>
      </c>
      <c r="C222" s="634">
        <f>C216+C218+C219+C220</f>
        <v>10969.516567915925</v>
      </c>
      <c r="D222" s="634">
        <f>D216+D218+D219+D220</f>
        <v>12045.650838382233</v>
      </c>
      <c r="E222" s="634">
        <f t="shared" si="24"/>
        <v>1076.1342704663075</v>
      </c>
    </row>
    <row r="223" spans="1:5" s="421" customFormat="1" x14ac:dyDescent="0.2">
      <c r="A223" s="588"/>
      <c r="B223" s="592" t="s">
        <v>827</v>
      </c>
      <c r="C223" s="634">
        <f>C215+C222</f>
        <v>16868.843517474983</v>
      </c>
      <c r="D223" s="634">
        <f>D215+D222</f>
        <v>18279.208349822737</v>
      </c>
      <c r="E223" s="634">
        <f t="shared" si="24"/>
        <v>1410.3648323477537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9788.4575034962945</v>
      </c>
      <c r="D227" s="636">
        <f t="shared" si="26"/>
        <v>10416.354020134489</v>
      </c>
      <c r="E227" s="636">
        <f t="shared" ref="E227:E235" si="27">D227-C227</f>
        <v>627.89651663819495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8472.0853504836141</v>
      </c>
      <c r="D228" s="636">
        <f t="shared" si="26"/>
        <v>8250.7090514647552</v>
      </c>
      <c r="E228" s="636">
        <f t="shared" si="27"/>
        <v>-221.37629901885884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6001.3392002222645</v>
      </c>
      <c r="D229" s="636">
        <f t="shared" si="26"/>
        <v>5407.6637614255142</v>
      </c>
      <c r="E229" s="636">
        <f t="shared" si="27"/>
        <v>-593.67543879675031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6001.3392002222645</v>
      </c>
      <c r="D230" s="636">
        <f t="shared" si="26"/>
        <v>5407.6637614255142</v>
      </c>
      <c r="E230" s="636">
        <f t="shared" si="27"/>
        <v>-593.67543879675031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4006.7288478603668</v>
      </c>
      <c r="D232" s="636">
        <f t="shared" si="26"/>
        <v>6454.5272278738112</v>
      </c>
      <c r="E232" s="636">
        <f t="shared" si="27"/>
        <v>2447.7983800134443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160.10736105344324</v>
      </c>
      <c r="D233" s="636">
        <f t="shared" si="26"/>
        <v>1224.4802291442434</v>
      </c>
      <c r="E233" s="636">
        <f t="shared" si="27"/>
        <v>1064.3728680908002</v>
      </c>
    </row>
    <row r="234" spans="1:5" x14ac:dyDescent="0.2">
      <c r="A234" s="588"/>
      <c r="B234" s="592" t="s">
        <v>829</v>
      </c>
      <c r="C234" s="637">
        <f t="shared" si="26"/>
        <v>7686.1682922360642</v>
      </c>
      <c r="D234" s="637">
        <f t="shared" si="26"/>
        <v>7332.7069909794818</v>
      </c>
      <c r="E234" s="637">
        <f t="shared" si="27"/>
        <v>-353.46130125658237</v>
      </c>
    </row>
    <row r="235" spans="1:5" s="421" customFormat="1" x14ac:dyDescent="0.2">
      <c r="A235" s="588"/>
      <c r="B235" s="592" t="s">
        <v>830</v>
      </c>
      <c r="C235" s="637">
        <f t="shared" si="26"/>
        <v>8220.5524538433037</v>
      </c>
      <c r="D235" s="637">
        <f t="shared" si="26"/>
        <v>8058.0640902700416</v>
      </c>
      <c r="E235" s="637">
        <f t="shared" si="27"/>
        <v>-162.48836357326218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8478.748241566549</v>
      </c>
      <c r="D239" s="636">
        <f t="shared" si="28"/>
        <v>9023.2976750064372</v>
      </c>
      <c r="E239" s="638">
        <f t="shared" ref="E239:E247" si="29">D239-C239</f>
        <v>544.54943343988816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6219.6961829067277</v>
      </c>
      <c r="D240" s="636">
        <f t="shared" si="28"/>
        <v>6833.8106429292911</v>
      </c>
      <c r="E240" s="638">
        <f t="shared" si="29"/>
        <v>614.11446002256343</v>
      </c>
    </row>
    <row r="241" spans="1:5" x14ac:dyDescent="0.2">
      <c r="A241" s="588">
        <v>3</v>
      </c>
      <c r="B241" s="587" t="s">
        <v>778</v>
      </c>
      <c r="C241" s="636">
        <f t="shared" si="28"/>
        <v>3913.4497498317828</v>
      </c>
      <c r="D241" s="636">
        <f t="shared" si="28"/>
        <v>3759.3131244756923</v>
      </c>
      <c r="E241" s="638">
        <f t="shared" si="29"/>
        <v>-154.13662535609046</v>
      </c>
    </row>
    <row r="242" spans="1:5" x14ac:dyDescent="0.2">
      <c r="A242" s="588">
        <v>4</v>
      </c>
      <c r="B242" s="587" t="s">
        <v>115</v>
      </c>
      <c r="C242" s="636">
        <f t="shared" si="28"/>
        <v>3913.4497498317828</v>
      </c>
      <c r="D242" s="636">
        <f t="shared" si="28"/>
        <v>3759.3131244756923</v>
      </c>
      <c r="E242" s="638">
        <f t="shared" si="29"/>
        <v>-154.13662535609046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2119.9548322114683</v>
      </c>
      <c r="D244" s="636">
        <f t="shared" si="28"/>
        <v>5117.4497223760709</v>
      </c>
      <c r="E244" s="638">
        <f t="shared" si="29"/>
        <v>2997.4948901646026</v>
      </c>
    </row>
    <row r="245" spans="1:5" x14ac:dyDescent="0.2">
      <c r="A245" s="588">
        <v>7</v>
      </c>
      <c r="B245" s="587" t="s">
        <v>759</v>
      </c>
      <c r="C245" s="636">
        <f t="shared" si="28"/>
        <v>618.59293672671686</v>
      </c>
      <c r="D245" s="636">
        <f t="shared" si="28"/>
        <v>821.77028993064039</v>
      </c>
      <c r="E245" s="638">
        <f t="shared" si="29"/>
        <v>203.17735320392353</v>
      </c>
    </row>
    <row r="246" spans="1:5" ht="25.5" x14ac:dyDescent="0.2">
      <c r="A246" s="588"/>
      <c r="B246" s="592" t="s">
        <v>832</v>
      </c>
      <c r="C246" s="637">
        <f t="shared" si="28"/>
        <v>4681.1805864071848</v>
      </c>
      <c r="D246" s="637">
        <f t="shared" si="28"/>
        <v>4857.8867829659694</v>
      </c>
      <c r="E246" s="639">
        <f t="shared" si="29"/>
        <v>176.70619655878454</v>
      </c>
    </row>
    <row r="247" spans="1:5" x14ac:dyDescent="0.2">
      <c r="A247" s="588"/>
      <c r="B247" s="592" t="s">
        <v>833</v>
      </c>
      <c r="C247" s="637">
        <f t="shared" si="28"/>
        <v>6009.2558150170971</v>
      </c>
      <c r="D247" s="637">
        <f t="shared" si="28"/>
        <v>6278.3710762349792</v>
      </c>
      <c r="E247" s="639">
        <f t="shared" si="29"/>
        <v>269.11526121788211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16560661.99587056</v>
      </c>
      <c r="D251" s="622">
        <f>((IF((IF(D15=0,0,D26/D15)*D138)=0,0,D59/(IF(D15=0,0,D26/D15)*D138)))-(IF((IF(D17=0,0,D28/D17)*D140)=0,0,D61/(IF(D17=0,0,D28/D17)*D140))))*(IF(D17=0,0,D28/D17)*D140)</f>
        <v>23736236.924630672</v>
      </c>
      <c r="E251" s="622">
        <f>D251-C251</f>
        <v>7175574.9287601113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4591150.9300523158</v>
      </c>
      <c r="D253" s="622">
        <f>IF(D233=0,0,(D228-D233)*D209+IF(D221=0,0,(D240-D245)*D221))</f>
        <v>4268725.2522580437</v>
      </c>
      <c r="E253" s="622">
        <f>D253-C253</f>
        <v>-322425.67779427208</v>
      </c>
    </row>
    <row r="254" spans="1:5" ht="15" customHeight="1" x14ac:dyDescent="0.2">
      <c r="A254" s="588"/>
      <c r="B254" s="592" t="s">
        <v>760</v>
      </c>
      <c r="C254" s="640">
        <f>+C251+C252+C253</f>
        <v>21151812.925922878</v>
      </c>
      <c r="D254" s="640">
        <f>+D251+D252+D253</f>
        <v>28004962.176888715</v>
      </c>
      <c r="E254" s="640">
        <f>D254-C254</f>
        <v>6853149.2509658374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663968691</v>
      </c>
      <c r="D258" s="625">
        <f>+D44</f>
        <v>746752338</v>
      </c>
      <c r="E258" s="622">
        <f t="shared" ref="E258:E271" si="30">D258-C258</f>
        <v>82783647</v>
      </c>
    </row>
    <row r="259" spans="1:5" x14ac:dyDescent="0.2">
      <c r="A259" s="588">
        <v>2</v>
      </c>
      <c r="B259" s="587" t="s">
        <v>743</v>
      </c>
      <c r="C259" s="622">
        <f>+(C43-C76)</f>
        <v>296873900</v>
      </c>
      <c r="D259" s="625">
        <f>+(D43-D76)</f>
        <v>355007331</v>
      </c>
      <c r="E259" s="622">
        <f t="shared" si="30"/>
        <v>58133431</v>
      </c>
    </row>
    <row r="260" spans="1:5" x14ac:dyDescent="0.2">
      <c r="A260" s="588">
        <v>3</v>
      </c>
      <c r="B260" s="587" t="s">
        <v>747</v>
      </c>
      <c r="C260" s="622">
        <f>C195</f>
        <v>10972587</v>
      </c>
      <c r="D260" s="622">
        <f>D195</f>
        <v>11354182</v>
      </c>
      <c r="E260" s="622">
        <f t="shared" si="30"/>
        <v>381595</v>
      </c>
    </row>
    <row r="261" spans="1:5" x14ac:dyDescent="0.2">
      <c r="A261" s="588">
        <v>4</v>
      </c>
      <c r="B261" s="587" t="s">
        <v>748</v>
      </c>
      <c r="C261" s="622">
        <f>C188</f>
        <v>127253863</v>
      </c>
      <c r="D261" s="622">
        <f>D188</f>
        <v>137485578</v>
      </c>
      <c r="E261" s="622">
        <f t="shared" si="30"/>
        <v>10231715</v>
      </c>
    </row>
    <row r="262" spans="1:5" x14ac:dyDescent="0.2">
      <c r="A262" s="588">
        <v>5</v>
      </c>
      <c r="B262" s="587" t="s">
        <v>749</v>
      </c>
      <c r="C262" s="622">
        <f>C191</f>
        <v>7464975</v>
      </c>
      <c r="D262" s="622">
        <f>D191</f>
        <v>9179375</v>
      </c>
      <c r="E262" s="622">
        <f t="shared" si="30"/>
        <v>1714400</v>
      </c>
    </row>
    <row r="263" spans="1:5" x14ac:dyDescent="0.2">
      <c r="A263" s="588">
        <v>6</v>
      </c>
      <c r="B263" s="587" t="s">
        <v>750</v>
      </c>
      <c r="C263" s="622">
        <f>+C259+C260+C261+C262</f>
        <v>442565325</v>
      </c>
      <c r="D263" s="622">
        <f>+D259+D260+D261+D262</f>
        <v>513026466</v>
      </c>
      <c r="E263" s="622">
        <f t="shared" si="30"/>
        <v>70461141</v>
      </c>
    </row>
    <row r="264" spans="1:5" x14ac:dyDescent="0.2">
      <c r="A264" s="588">
        <v>7</v>
      </c>
      <c r="B264" s="587" t="s">
        <v>655</v>
      </c>
      <c r="C264" s="622">
        <f>+C258-C263</f>
        <v>221403366</v>
      </c>
      <c r="D264" s="622">
        <f>+D258-D263</f>
        <v>233725872</v>
      </c>
      <c r="E264" s="622">
        <f t="shared" si="30"/>
        <v>12322506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221403366</v>
      </c>
      <c r="D266" s="622">
        <f>+D264+D265</f>
        <v>233725872</v>
      </c>
      <c r="E266" s="641">
        <f t="shared" si="30"/>
        <v>12322506</v>
      </c>
    </row>
    <row r="267" spans="1:5" x14ac:dyDescent="0.2">
      <c r="A267" s="588">
        <v>10</v>
      </c>
      <c r="B267" s="587" t="s">
        <v>838</v>
      </c>
      <c r="C267" s="642">
        <f>IF(C258=0,0,C266/C258)</f>
        <v>0.33345452730089647</v>
      </c>
      <c r="D267" s="642">
        <f>IF(D258=0,0,D266/D258)</f>
        <v>0.31298980948085092</v>
      </c>
      <c r="E267" s="643">
        <f t="shared" si="30"/>
        <v>-2.0464717820045553E-2</v>
      </c>
    </row>
    <row r="268" spans="1:5" x14ac:dyDescent="0.2">
      <c r="A268" s="588">
        <v>11</v>
      </c>
      <c r="B268" s="587" t="s">
        <v>717</v>
      </c>
      <c r="C268" s="622">
        <f>+C260*C267</f>
        <v>3658858.8113529617</v>
      </c>
      <c r="D268" s="644">
        <f>+D260*D267</f>
        <v>3553743.260990907</v>
      </c>
      <c r="E268" s="622">
        <f t="shared" si="30"/>
        <v>-105115.55036205472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9775100.4279573932</v>
      </c>
      <c r="D269" s="644">
        <f>((D17+D18+D28+D29)*D267)-(D50+D51+D61+D62)</f>
        <v>14527696.032458402</v>
      </c>
      <c r="E269" s="622">
        <f t="shared" si="30"/>
        <v>4752595.604501009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13433959.239310354</v>
      </c>
      <c r="D271" s="622">
        <f>+D268+D269+D270</f>
        <v>18081439.293449309</v>
      </c>
      <c r="E271" s="625">
        <f t="shared" si="30"/>
        <v>4647480.0541389547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0.50646163435932601</v>
      </c>
      <c r="D276" s="623">
        <f t="shared" si="31"/>
        <v>0.50605828658303376</v>
      </c>
      <c r="E276" s="650">
        <f t="shared" ref="E276:E284" si="32">D276-C276</f>
        <v>-4.0334777629225105E-4</v>
      </c>
    </row>
    <row r="277" spans="1:5" x14ac:dyDescent="0.2">
      <c r="A277" s="588">
        <v>2</v>
      </c>
      <c r="B277" s="587" t="s">
        <v>636</v>
      </c>
      <c r="C277" s="623">
        <f t="shared" si="31"/>
        <v>0.45139092734696351</v>
      </c>
      <c r="D277" s="623">
        <f t="shared" si="31"/>
        <v>0.4194032881122553</v>
      </c>
      <c r="E277" s="650">
        <f t="shared" si="32"/>
        <v>-3.1987639234708209E-2</v>
      </c>
    </row>
    <row r="278" spans="1:5" x14ac:dyDescent="0.2">
      <c r="A278" s="588">
        <v>3</v>
      </c>
      <c r="B278" s="587" t="s">
        <v>778</v>
      </c>
      <c r="C278" s="623">
        <f t="shared" si="31"/>
        <v>0.36815436056848111</v>
      </c>
      <c r="D278" s="623">
        <f t="shared" si="31"/>
        <v>0.31446672623405136</v>
      </c>
      <c r="E278" s="650">
        <f t="shared" si="32"/>
        <v>-5.3687634334429746E-2</v>
      </c>
    </row>
    <row r="279" spans="1:5" x14ac:dyDescent="0.2">
      <c r="A279" s="588">
        <v>4</v>
      </c>
      <c r="B279" s="587" t="s">
        <v>115</v>
      </c>
      <c r="C279" s="623">
        <f t="shared" si="31"/>
        <v>0.36815436056848111</v>
      </c>
      <c r="D279" s="623">
        <f t="shared" si="31"/>
        <v>0.31446672623405136</v>
      </c>
      <c r="E279" s="650">
        <f t="shared" si="32"/>
        <v>-5.3687634334429746E-2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0.3016732117879477</v>
      </c>
      <c r="D281" s="623">
        <f t="shared" si="31"/>
        <v>0.31024328600351286</v>
      </c>
      <c r="E281" s="650">
        <f t="shared" si="32"/>
        <v>8.5700742155651599E-3</v>
      </c>
    </row>
    <row r="282" spans="1:5" x14ac:dyDescent="0.2">
      <c r="A282" s="588">
        <v>7</v>
      </c>
      <c r="B282" s="587" t="s">
        <v>759</v>
      </c>
      <c r="C282" s="623">
        <f t="shared" si="31"/>
        <v>1.2122879310151241E-2</v>
      </c>
      <c r="D282" s="623">
        <f t="shared" si="31"/>
        <v>6.903433321720745E-2</v>
      </c>
      <c r="E282" s="650">
        <f t="shared" si="32"/>
        <v>5.6911453907056209E-2</v>
      </c>
    </row>
    <row r="283" spans="1:5" ht="29.25" customHeight="1" x14ac:dyDescent="0.2">
      <c r="A283" s="588"/>
      <c r="B283" s="592" t="s">
        <v>845</v>
      </c>
      <c r="C283" s="651">
        <f t="shared" si="31"/>
        <v>0.42742476823939057</v>
      </c>
      <c r="D283" s="651">
        <f t="shared" si="31"/>
        <v>0.38839919431787728</v>
      </c>
      <c r="E283" s="652">
        <f t="shared" si="32"/>
        <v>-3.902557392151329E-2</v>
      </c>
    </row>
    <row r="284" spans="1:5" x14ac:dyDescent="0.2">
      <c r="A284" s="588"/>
      <c r="B284" s="592" t="s">
        <v>846</v>
      </c>
      <c r="C284" s="651">
        <f t="shared" si="31"/>
        <v>0.44861477542410133</v>
      </c>
      <c r="D284" s="651">
        <f t="shared" si="31"/>
        <v>0.41794649855602489</v>
      </c>
      <c r="E284" s="652">
        <f t="shared" si="32"/>
        <v>-3.0668276868076438E-2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0.33204387036554356</v>
      </c>
      <c r="D287" s="623">
        <f t="shared" si="33"/>
        <v>0.33669689353199389</v>
      </c>
      <c r="E287" s="650">
        <f t="shared" ref="E287:E295" si="34">D287-C287</f>
        <v>4.6530231664503319E-3</v>
      </c>
    </row>
    <row r="288" spans="1:5" x14ac:dyDescent="0.2">
      <c r="A288" s="588">
        <v>2</v>
      </c>
      <c r="B288" s="587" t="s">
        <v>636</v>
      </c>
      <c r="C288" s="623">
        <f t="shared" si="33"/>
        <v>0.2126165185186038</v>
      </c>
      <c r="D288" s="623">
        <f t="shared" si="33"/>
        <v>0.22074026233694782</v>
      </c>
      <c r="E288" s="650">
        <f t="shared" si="34"/>
        <v>8.1237438183440203E-3</v>
      </c>
    </row>
    <row r="289" spans="1:5" x14ac:dyDescent="0.2">
      <c r="A289" s="588">
        <v>3</v>
      </c>
      <c r="B289" s="587" t="s">
        <v>778</v>
      </c>
      <c r="C289" s="623">
        <f t="shared" si="33"/>
        <v>0.23460570145139881</v>
      </c>
      <c r="D289" s="623">
        <f t="shared" si="33"/>
        <v>0.20810852263499452</v>
      </c>
      <c r="E289" s="650">
        <f t="shared" si="34"/>
        <v>-2.6497178816404288E-2</v>
      </c>
    </row>
    <row r="290" spans="1:5" x14ac:dyDescent="0.2">
      <c r="A290" s="588">
        <v>4</v>
      </c>
      <c r="B290" s="587" t="s">
        <v>115</v>
      </c>
      <c r="C290" s="623">
        <f t="shared" si="33"/>
        <v>0.23460570145139881</v>
      </c>
      <c r="D290" s="623">
        <f t="shared" si="33"/>
        <v>0.20810852263499452</v>
      </c>
      <c r="E290" s="650">
        <f t="shared" si="34"/>
        <v>-2.6497178816404288E-2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0.21398966308138623</v>
      </c>
      <c r="D292" s="623">
        <f t="shared" si="33"/>
        <v>0.21441924275538959</v>
      </c>
      <c r="E292" s="650">
        <f t="shared" si="34"/>
        <v>4.2957967400336639E-4</v>
      </c>
    </row>
    <row r="293" spans="1:5" x14ac:dyDescent="0.2">
      <c r="A293" s="588">
        <v>7</v>
      </c>
      <c r="B293" s="587" t="s">
        <v>759</v>
      </c>
      <c r="C293" s="623">
        <f t="shared" si="33"/>
        <v>3.9937003987948097E-2</v>
      </c>
      <c r="D293" s="623">
        <f t="shared" si="33"/>
        <v>4.8125730252536206E-2</v>
      </c>
      <c r="E293" s="650">
        <f t="shared" si="34"/>
        <v>8.1887262645881087E-3</v>
      </c>
    </row>
    <row r="294" spans="1:5" ht="29.25" customHeight="1" x14ac:dyDescent="0.2">
      <c r="A294" s="588"/>
      <c r="B294" s="592" t="s">
        <v>848</v>
      </c>
      <c r="C294" s="651">
        <f t="shared" si="33"/>
        <v>0.22411675101789025</v>
      </c>
      <c r="D294" s="651">
        <f t="shared" si="33"/>
        <v>0.21426871778503495</v>
      </c>
      <c r="E294" s="652">
        <f t="shared" si="34"/>
        <v>-9.8480332328552966E-3</v>
      </c>
    </row>
    <row r="295" spans="1:5" x14ac:dyDescent="0.2">
      <c r="A295" s="588"/>
      <c r="B295" s="592" t="s">
        <v>849</v>
      </c>
      <c r="C295" s="651">
        <f t="shared" si="33"/>
        <v>0.26692794793645602</v>
      </c>
      <c r="D295" s="651">
        <f t="shared" si="33"/>
        <v>0.26073507392946771</v>
      </c>
      <c r="E295" s="652">
        <f t="shared" si="34"/>
        <v>-6.1928740069883137E-3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228868341</v>
      </c>
      <c r="D301" s="590">
        <f>+D48+D47+D50+D51+D52+D59+D58+D61+D62+D63</f>
        <v>242905247</v>
      </c>
      <c r="E301" s="590">
        <f>D301-C301</f>
        <v>14036906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228868341</v>
      </c>
      <c r="D303" s="593">
        <f>+D301+D302</f>
        <v>242905247</v>
      </c>
      <c r="E303" s="593">
        <f>D303-C303</f>
        <v>14036906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9860854</v>
      </c>
      <c r="D305" s="654">
        <v>9015555</v>
      </c>
      <c r="E305" s="655">
        <f>D305-C305</f>
        <v>-845299</v>
      </c>
    </row>
    <row r="306" spans="1:5" x14ac:dyDescent="0.2">
      <c r="A306" s="588">
        <v>4</v>
      </c>
      <c r="B306" s="592" t="s">
        <v>856</v>
      </c>
      <c r="C306" s="593">
        <f>+C303+C305+C194+C190-C191</f>
        <v>252691194</v>
      </c>
      <c r="D306" s="593">
        <f>+D303+D305</f>
        <v>251920802</v>
      </c>
      <c r="E306" s="656">
        <f>D306-C306</f>
        <v>-770392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238729196</v>
      </c>
      <c r="D308" s="589">
        <v>251920802</v>
      </c>
      <c r="E308" s="590">
        <f>D308-C308</f>
        <v>13191606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13961998</v>
      </c>
      <c r="D310" s="658">
        <f>D306-D308</f>
        <v>0</v>
      </c>
      <c r="E310" s="656">
        <f>D310-C310</f>
        <v>-13961998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663968691</v>
      </c>
      <c r="D314" s="590">
        <f>+D14+D15+D16+D19+D25+D26+D27+D30</f>
        <v>746752338</v>
      </c>
      <c r="E314" s="590">
        <f>D314-C314</f>
        <v>82783647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663968691</v>
      </c>
      <c r="D316" s="657">
        <f>D314+D315</f>
        <v>746752338</v>
      </c>
      <c r="E316" s="593">
        <f>D316-C316</f>
        <v>82783647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663968691</v>
      </c>
      <c r="D318" s="589">
        <v>746752338</v>
      </c>
      <c r="E318" s="590">
        <f>D318-C318</f>
        <v>82783647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10972587</v>
      </c>
      <c r="D324" s="589">
        <f>+D193+D194</f>
        <v>11354182</v>
      </c>
      <c r="E324" s="590">
        <f>D324-C324</f>
        <v>381595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10972587</v>
      </c>
      <c r="D326" s="657">
        <f>D324+D325</f>
        <v>11354182</v>
      </c>
      <c r="E326" s="593">
        <f>D326-C326</f>
        <v>381595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10972587</v>
      </c>
      <c r="D328" s="589">
        <v>11354182</v>
      </c>
      <c r="E328" s="590">
        <f>D328-C328</f>
        <v>381595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FILING&amp;RSAINT MARY`S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76994872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161789671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67216873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67216873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596664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1331888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229603208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306598080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167056026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132731513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139462150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139462150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904569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10625605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273098232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440154258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244050898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502701440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746752338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38963893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67855120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21137470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21137470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185111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91946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89177701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128141594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56247245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29299189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29023262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29023262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193957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511365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58516408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114763653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95211138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147694109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242905247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2873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5226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3721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3721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25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78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8972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11845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1.302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1.5737000000000001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1.05047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1.05047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1.14717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0.96269000000000005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1.3555098439589837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1.3425310527648799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232093405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94607827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137485578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0.59237175653483132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13563930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9179375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3174277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8179905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11354182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8206510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241388483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242905247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242905247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9015555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251920802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251920802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746752338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746752338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746752338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11354182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11354182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11354182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FILING&amp;RSAINT MARY`S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267</v>
      </c>
      <c r="D12" s="185">
        <v>902</v>
      </c>
      <c r="E12" s="185">
        <f>+D12-C12</f>
        <v>635</v>
      </c>
      <c r="F12" s="77">
        <f>IF(C12=0,0,+E12/C12)</f>
        <v>2.3782771535580522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264</v>
      </c>
      <c r="D13" s="185">
        <v>879</v>
      </c>
      <c r="E13" s="185">
        <f>+D13-C13</f>
        <v>615</v>
      </c>
      <c r="F13" s="77">
        <f>IF(C13=0,0,+E13/C13)</f>
        <v>2.3295454545454546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894442</v>
      </c>
      <c r="D15" s="76">
        <v>3174277</v>
      </c>
      <c r="E15" s="76">
        <f>+D15-C15</f>
        <v>2279835</v>
      </c>
      <c r="F15" s="77">
        <f>IF(C15=0,0,+E15/C15)</f>
        <v>2.5488908168444686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3388.037878787879</v>
      </c>
      <c r="D16" s="79">
        <f>IF(D13=0,0,+D15/+D13)</f>
        <v>3611.236632536974</v>
      </c>
      <c r="E16" s="79">
        <f>+D16-C16</f>
        <v>223.19875374909498</v>
      </c>
      <c r="F16" s="80">
        <f>IF(C16=0,0,+E16/C16)</f>
        <v>6.5878470588099702E-2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0.36709599999999998</v>
      </c>
      <c r="D18" s="704">
        <v>0.33779599999999999</v>
      </c>
      <c r="E18" s="704">
        <f>+D18-C18</f>
        <v>-2.9299999999999993E-2</v>
      </c>
      <c r="F18" s="77">
        <f>IF(C18=0,0,+E18/C18)</f>
        <v>-7.9815634057576204E-2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328346.08043199999</v>
      </c>
      <c r="D19" s="79">
        <f>+D15*D18</f>
        <v>1072258.0734919999</v>
      </c>
      <c r="E19" s="79">
        <f>+D19-C19</f>
        <v>743911.99305999989</v>
      </c>
      <c r="F19" s="80">
        <f>IF(C19=0,0,+E19/C19)</f>
        <v>2.2656338460969172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1243.7351531515151</v>
      </c>
      <c r="D20" s="79">
        <f>IF(D13=0,0,+D19/D13)</f>
        <v>1219.8612895244594</v>
      </c>
      <c r="E20" s="79">
        <f>+D20-C20</f>
        <v>-23.873863627055698</v>
      </c>
      <c r="F20" s="80">
        <f>IF(C20=0,0,+E20/C20)</f>
        <v>-1.9195295370209191E-2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328802</v>
      </c>
      <c r="D22" s="76">
        <v>1158143</v>
      </c>
      <c r="E22" s="76">
        <f>+D22-C22</f>
        <v>829341</v>
      </c>
      <c r="F22" s="77">
        <f>IF(C22=0,0,+E22/C22)</f>
        <v>2.522311299809612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294437</v>
      </c>
      <c r="D23" s="185">
        <v>1083233</v>
      </c>
      <c r="E23" s="185">
        <f>+D23-C23</f>
        <v>788796</v>
      </c>
      <c r="F23" s="77">
        <f>IF(C23=0,0,+E23/C23)</f>
        <v>2.6789975444662186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271203</v>
      </c>
      <c r="D24" s="185">
        <v>932901</v>
      </c>
      <c r="E24" s="185">
        <f>+D24-C24</f>
        <v>661698</v>
      </c>
      <c r="F24" s="77">
        <f>IF(C24=0,0,+E24/C24)</f>
        <v>2.4398623909027557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894442</v>
      </c>
      <c r="D25" s="79">
        <f>+D22+D23+D24</f>
        <v>3174277</v>
      </c>
      <c r="E25" s="79">
        <f>+E22+E23+E24</f>
        <v>2279835</v>
      </c>
      <c r="F25" s="80">
        <f>IF(C25=0,0,+E25/C25)</f>
        <v>2.5488908168444686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57</v>
      </c>
      <c r="D27" s="185">
        <v>165</v>
      </c>
      <c r="E27" s="185">
        <f>+D27-C27</f>
        <v>108</v>
      </c>
      <c r="F27" s="77">
        <f>IF(C27=0,0,+E27/C27)</f>
        <v>1.8947368421052631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14</v>
      </c>
      <c r="D28" s="185">
        <v>49</v>
      </c>
      <c r="E28" s="185">
        <f>+D28-C28</f>
        <v>35</v>
      </c>
      <c r="F28" s="77">
        <f>IF(C28=0,0,+E28/C28)</f>
        <v>2.5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134</v>
      </c>
      <c r="D29" s="185">
        <v>666</v>
      </c>
      <c r="E29" s="185">
        <f>+D29-C29</f>
        <v>532</v>
      </c>
      <c r="F29" s="77">
        <f>IF(C29=0,0,+E29/C29)</f>
        <v>3.9701492537313432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116</v>
      </c>
      <c r="D30" s="185">
        <v>506</v>
      </c>
      <c r="E30" s="185">
        <f>+D30-C30</f>
        <v>390</v>
      </c>
      <c r="F30" s="77">
        <f>IF(C30=0,0,+E30/C30)</f>
        <v>3.3620689655172415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1429144</v>
      </c>
      <c r="D33" s="76">
        <v>81799</v>
      </c>
      <c r="E33" s="76">
        <f>+D33-C33</f>
        <v>-1347345</v>
      </c>
      <c r="F33" s="77">
        <f>IF(C33=0,0,+E33/C33)</f>
        <v>-0.94276364033295457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1534434</v>
      </c>
      <c r="D34" s="185">
        <v>1885598</v>
      </c>
      <c r="E34" s="185">
        <f>+D34-C34</f>
        <v>351164</v>
      </c>
      <c r="F34" s="77">
        <f>IF(C34=0,0,+E34/C34)</f>
        <v>0.22885572139303484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7114567</v>
      </c>
      <c r="D35" s="185">
        <v>6212508</v>
      </c>
      <c r="E35" s="185">
        <f>+D35-C35</f>
        <v>-902059</v>
      </c>
      <c r="F35" s="77">
        <f>IF(C35=0,0,+E35/C35)</f>
        <v>-0.12679042870774848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10078145</v>
      </c>
      <c r="D36" s="79">
        <f>+D33+D34+D35</f>
        <v>8179905</v>
      </c>
      <c r="E36" s="79">
        <f>+E33+E34+E35</f>
        <v>-1898240</v>
      </c>
      <c r="F36" s="80">
        <f>IF(C36=0,0,+E36/C36)</f>
        <v>-0.18835212233997428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894442</v>
      </c>
      <c r="D39" s="76">
        <f>+D25</f>
        <v>3174277</v>
      </c>
      <c r="E39" s="76">
        <f>+D39-C39</f>
        <v>2279835</v>
      </c>
      <c r="F39" s="77">
        <f>IF(C39=0,0,+E39/C39)</f>
        <v>2.5488908168444686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10078145</v>
      </c>
      <c r="D40" s="185">
        <f>+D36</f>
        <v>8179905</v>
      </c>
      <c r="E40" s="185">
        <f>+D40-C40</f>
        <v>-1898240</v>
      </c>
      <c r="F40" s="77">
        <f>IF(C40=0,0,+E40/C40)</f>
        <v>-0.18835212233997428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10972587</v>
      </c>
      <c r="D41" s="79">
        <f>+D39+D40</f>
        <v>11354182</v>
      </c>
      <c r="E41" s="79">
        <f>+E39+E40</f>
        <v>381595</v>
      </c>
      <c r="F41" s="80">
        <f>IF(C41=0,0,+E41/C41)</f>
        <v>3.4777122295772185E-2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1757946</v>
      </c>
      <c r="D43" s="76">
        <f t="shared" si="0"/>
        <v>1239942</v>
      </c>
      <c r="E43" s="76">
        <f>+D43-C43</f>
        <v>-518004</v>
      </c>
      <c r="F43" s="77">
        <f>IF(C43=0,0,+E43/C43)</f>
        <v>-0.29466434122549839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1828871</v>
      </c>
      <c r="D44" s="185">
        <f t="shared" si="0"/>
        <v>2968831</v>
      </c>
      <c r="E44" s="185">
        <f>+D44-C44</f>
        <v>1139960</v>
      </c>
      <c r="F44" s="77">
        <f>IF(C44=0,0,+E44/C44)</f>
        <v>0.62331350871657976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7385770</v>
      </c>
      <c r="D45" s="185">
        <f t="shared" si="0"/>
        <v>7145409</v>
      </c>
      <c r="E45" s="185">
        <f>+D45-C45</f>
        <v>-240361</v>
      </c>
      <c r="F45" s="77">
        <f>IF(C45=0,0,+E45/C45)</f>
        <v>-3.2543797058397432E-2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10972587</v>
      </c>
      <c r="D46" s="79">
        <f>+D43+D44+D45</f>
        <v>11354182</v>
      </c>
      <c r="E46" s="79">
        <f>+E43+E44+E45</f>
        <v>381595</v>
      </c>
      <c r="F46" s="80">
        <f>IF(C46=0,0,+E46/C46)</f>
        <v>3.4777122295772185E-2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scale="75" fitToHeight="0" orientation="portrait" horizontalDpi="1200" verticalDpi="1200" r:id="rId1"/>
  <headerFooter>
    <oddHeader>_x000D_
                  &amp;LOFFICE OF HEALTH CARE ACCESS&amp;CTWELVE MONTHS ACTUAL FILING&amp;RSAINT MARY`S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215458545</v>
      </c>
      <c r="D15" s="76">
        <v>232093405</v>
      </c>
      <c r="E15" s="76">
        <f>+D15-C15</f>
        <v>16634860</v>
      </c>
      <c r="F15" s="77">
        <f>IF(C15=0,0,E15/C15)</f>
        <v>7.7206777758570683E-2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127253863</v>
      </c>
      <c r="D17" s="76">
        <v>137485578</v>
      </c>
      <c r="E17" s="76">
        <f>+D17-C17</f>
        <v>10231715</v>
      </c>
      <c r="F17" s="77">
        <f>IF(C17=0,0,E17/C17)</f>
        <v>8.0403963846661375E-2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88204682</v>
      </c>
      <c r="D19" s="79">
        <f>+D15-D17</f>
        <v>94607827</v>
      </c>
      <c r="E19" s="79">
        <f>+D19-C19</f>
        <v>6403145</v>
      </c>
      <c r="F19" s="80">
        <f>IF(C19=0,0,E19/C19)</f>
        <v>7.2594162291747727E-2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0.59061878005349011</v>
      </c>
      <c r="D21" s="720">
        <f>IF(D15=0,0,D17/D15)</f>
        <v>0.59237175653483132</v>
      </c>
      <c r="E21" s="720">
        <f>+D21-C21</f>
        <v>1.7529764813412063E-3</v>
      </c>
      <c r="F21" s="80">
        <f>IF(C21=0,0,E21/C21)</f>
        <v>2.968033764829567E-3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fitToHeight="0" orientation="landscape" horizontalDpi="1200" verticalDpi="1200" r:id="rId1"/>
  <headerFooter>
    <oddHeader>&amp;L&amp;12OFFICE OF HEALTH CARE ACCESS&amp;C&amp;12TWELVE MONTHS ACTUAL FILING&amp;R&amp;12SAINT MARY`S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262675487</v>
      </c>
      <c r="D10" s="744">
        <v>284206299</v>
      </c>
      <c r="E10" s="744">
        <v>306598080</v>
      </c>
    </row>
    <row r="11" spans="1:6" ht="26.1" customHeight="1" x14ac:dyDescent="0.25">
      <c r="A11" s="742">
        <v>2</v>
      </c>
      <c r="B11" s="743" t="s">
        <v>933</v>
      </c>
      <c r="C11" s="744">
        <v>335927153</v>
      </c>
      <c r="D11" s="744">
        <v>379762392</v>
      </c>
      <c r="E11" s="744">
        <v>440154258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598602640</v>
      </c>
      <c r="D12" s="744">
        <f>+D11+D10</f>
        <v>663968691</v>
      </c>
      <c r="E12" s="744">
        <f>+E11+E10</f>
        <v>746752338</v>
      </c>
    </row>
    <row r="13" spans="1:6" ht="26.1" customHeight="1" x14ac:dyDescent="0.25">
      <c r="A13" s="742">
        <v>4</v>
      </c>
      <c r="B13" s="743" t="s">
        <v>507</v>
      </c>
      <c r="C13" s="744">
        <v>227491163</v>
      </c>
      <c r="D13" s="744">
        <v>238729196</v>
      </c>
      <c r="E13" s="744">
        <v>251920803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221915377</v>
      </c>
      <c r="D16" s="744">
        <v>227226738</v>
      </c>
      <c r="E16" s="744">
        <v>241388483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51833</v>
      </c>
      <c r="D19" s="747">
        <v>50924</v>
      </c>
      <c r="E19" s="747">
        <v>50556</v>
      </c>
    </row>
    <row r="20" spans="1:5" ht="26.1" customHeight="1" x14ac:dyDescent="0.25">
      <c r="A20" s="742">
        <v>2</v>
      </c>
      <c r="B20" s="743" t="s">
        <v>381</v>
      </c>
      <c r="C20" s="748">
        <v>11729</v>
      </c>
      <c r="D20" s="748">
        <v>11642</v>
      </c>
      <c r="E20" s="748">
        <v>11845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4.4192173245801003</v>
      </c>
      <c r="D21" s="749">
        <f>IF(D20=0,0,+D19/D20)</f>
        <v>4.3741625150317818</v>
      </c>
      <c r="E21" s="749">
        <f>IF(E20=0,0,+E19/E20)</f>
        <v>4.2681300126635708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118120.54102756837</v>
      </c>
      <c r="D22" s="748">
        <f>IF(D10=0,0,D19*(D12/D10))</f>
        <v>118969.71228102161</v>
      </c>
      <c r="E22" s="748">
        <f>IF(E10=0,0,E19*(E12/E10))</f>
        <v>123134.53234908712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26728.837337455858</v>
      </c>
      <c r="D23" s="748">
        <f>IF(D10=0,0,D20*(D12/D10))</f>
        <v>27198.283527917163</v>
      </c>
      <c r="E23" s="748">
        <f>IF(E10=0,0,E20*(E12/E10))</f>
        <v>28849.761367096624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1.2825714170005968</v>
      </c>
      <c r="D26" s="750">
        <v>1.3322283542346676</v>
      </c>
      <c r="E26" s="750">
        <v>1.3425310527648799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66479.524257391939</v>
      </c>
      <c r="D27" s="748">
        <f>D19*D26</f>
        <v>67842.396711046211</v>
      </c>
      <c r="E27" s="748">
        <f>E19*E26</f>
        <v>67872.999903581265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15043.280150000001</v>
      </c>
      <c r="D28" s="748">
        <f>D20*D26</f>
        <v>15509.8025</v>
      </c>
      <c r="E28" s="748">
        <f>E20*E26</f>
        <v>15902.280320000003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151498.0296826055</v>
      </c>
      <c r="D29" s="748">
        <f>D22*D26</f>
        <v>158494.82399591734</v>
      </c>
      <c r="E29" s="748">
        <f>E22*E26</f>
        <v>165311.93334633109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34281.642778679219</v>
      </c>
      <c r="D30" s="748">
        <f>D23*D26</f>
        <v>36234.324502404954</v>
      </c>
      <c r="E30" s="748">
        <f>E23*E26</f>
        <v>38731.70050018379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11548.678255165629</v>
      </c>
      <c r="D33" s="744">
        <f>IF(D19=0,0,D12/D19)</f>
        <v>13038.423749116329</v>
      </c>
      <c r="E33" s="744">
        <f>IF(E19=0,0,E12/E19)</f>
        <v>14770.795513885592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51036.119021229431</v>
      </c>
      <c r="D34" s="744">
        <f>IF(D20=0,0,D12/D20)</f>
        <v>57032.184418484794</v>
      </c>
      <c r="E34" s="744">
        <f>IF(E20=0,0,E12/E20)</f>
        <v>63043.675643731534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5067.7268728416257</v>
      </c>
      <c r="D35" s="744">
        <f>IF(D22=0,0,D12/D22)</f>
        <v>5580.9892977770796</v>
      </c>
      <c r="E35" s="744">
        <f>IF(E22=0,0,E12/E22)</f>
        <v>6064.5240920958931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22395.386392701846</v>
      </c>
      <c r="D36" s="744">
        <f>IF(D23=0,0,D12/D23)</f>
        <v>24412.154183130046</v>
      </c>
      <c r="E36" s="744">
        <f>IF(E23=0,0,E12/E23)</f>
        <v>25884.17728999578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3951.223928483405</v>
      </c>
      <c r="D37" s="744">
        <f>IF(D29=0,0,D12/D29)</f>
        <v>4189.2137185319261</v>
      </c>
      <c r="E37" s="744">
        <f>IF(E29=0,0,E12/E29)</f>
        <v>4517.2318953861741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17461.317238049309</v>
      </c>
      <c r="D38" s="744">
        <f>IF(D30=0,0,D12/D30)</f>
        <v>18324.301615059248</v>
      </c>
      <c r="E38" s="744">
        <f>IF(E30=0,0,E12/E30)</f>
        <v>19280.133026858879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2223.791769957214</v>
      </c>
      <c r="D39" s="744">
        <f>IF(D22=0,0,D10/D22)</f>
        <v>2388.8962455306987</v>
      </c>
      <c r="E39" s="744">
        <f>IF(E22=0,0,E10/E22)</f>
        <v>2489.9439186628219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9827.4191160535665</v>
      </c>
      <c r="D40" s="744">
        <f>IF(D23=0,0,D10/D23)</f>
        <v>10449.420409500543</v>
      </c>
      <c r="E40" s="744">
        <f>IF(E23=0,0,E10/E23)</f>
        <v>10627.404369093932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4388.9252599695174</v>
      </c>
      <c r="D43" s="744">
        <f>IF(D19=0,0,D13/D19)</f>
        <v>4687.9505930406094</v>
      </c>
      <c r="E43" s="744">
        <f>IF(E19=0,0,E13/E19)</f>
        <v>4983.0050439117022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19395.614545144512</v>
      </c>
      <c r="D44" s="744">
        <f>IF(D20=0,0,D13/D20)</f>
        <v>20505.857756399244</v>
      </c>
      <c r="E44" s="744">
        <f>IF(E20=0,0,E13/E20)</f>
        <v>21268.113381173491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1925.9238149519263</v>
      </c>
      <c r="D45" s="744">
        <f>IF(D22=0,0,D13/D22)</f>
        <v>2006.6384243755356</v>
      </c>
      <c r="E45" s="744">
        <f>IF(E22=0,0,E13/E22)</f>
        <v>2045.8988895641642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8511.0758888569526</v>
      </c>
      <c r="D46" s="744">
        <f>IF(D23=0,0,D13/D23)</f>
        <v>8777.362577125903</v>
      </c>
      <c r="E46" s="744">
        <f>IF(E23=0,0,E13/E23)</f>
        <v>8732.1624534238817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1501.6113640329395</v>
      </c>
      <c r="D47" s="744">
        <f>IF(D29=0,0,D13/D29)</f>
        <v>1506.2270803628855</v>
      </c>
      <c r="E47" s="744">
        <f>IF(E29=0,0,E13/E29)</f>
        <v>1523.9117824133239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6635.9469547207218</v>
      </c>
      <c r="D48" s="744">
        <f>IF(D30=0,0,D13/D30)</f>
        <v>6588.482034049096</v>
      </c>
      <c r="E48" s="744">
        <f>IF(E30=0,0,E13/E30)</f>
        <v>6504.2536151699451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4281.353134103756</v>
      </c>
      <c r="D51" s="744">
        <f>IF(D19=0,0,D16/D19)</f>
        <v>4462.0756028591622</v>
      </c>
      <c r="E51" s="744">
        <f>IF(E19=0,0,E16/E19)</f>
        <v>4774.6752709866287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18920.229942876631</v>
      </c>
      <c r="D52" s="744">
        <f>IF(D20=0,0,D16/D20)</f>
        <v>19517.843841264388</v>
      </c>
      <c r="E52" s="744">
        <f>IF(E20=0,0,E16/E20)</f>
        <v>20378.934824820601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1878.7196119276728</v>
      </c>
      <c r="D53" s="744">
        <f>IF(D22=0,0,D16/D22)</f>
        <v>1909.9545055909819</v>
      </c>
      <c r="E53" s="744">
        <f>IF(E22=0,0,E16/E22)</f>
        <v>1960.3638264176147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8302.4702570591744</v>
      </c>
      <c r="D54" s="744">
        <f>IF(D23=0,0,D16/D23)</f>
        <v>8354.4514037721328</v>
      </c>
      <c r="E54" s="744">
        <f>IF(E23=0,0,E16/E23)</f>
        <v>8367.087683273021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1464.8070173910623</v>
      </c>
      <c r="D55" s="744">
        <f>IF(D29=0,0,D16/D29)</f>
        <v>1433.6539974696784</v>
      </c>
      <c r="E55" s="744">
        <f>IF(E29=0,0,E16/E29)</f>
        <v>1460.1999874642283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6473.3005484210871</v>
      </c>
      <c r="D56" s="744">
        <f>IF(D30=0,0,D16/D30)</f>
        <v>6271.035575257335</v>
      </c>
      <c r="E56" s="744">
        <f>IF(E30=0,0,E16/E30)</f>
        <v>6232.3233909870432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28956807</v>
      </c>
      <c r="D59" s="752">
        <v>32118192</v>
      </c>
      <c r="E59" s="752">
        <v>32984221</v>
      </c>
    </row>
    <row r="60" spans="1:6" ht="26.1" customHeight="1" x14ac:dyDescent="0.25">
      <c r="A60" s="742">
        <v>2</v>
      </c>
      <c r="B60" s="743" t="s">
        <v>969</v>
      </c>
      <c r="C60" s="752">
        <v>6967392</v>
      </c>
      <c r="D60" s="752">
        <v>6966676</v>
      </c>
      <c r="E60" s="752">
        <v>7751649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35924199</v>
      </c>
      <c r="D61" s="755">
        <f>D59+D60</f>
        <v>39084868</v>
      </c>
      <c r="E61" s="755">
        <f>E59+E60</f>
        <v>40735870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3289143</v>
      </c>
      <c r="D64" s="744">
        <v>3880024</v>
      </c>
      <c r="E64" s="752">
        <v>3794093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1124776</v>
      </c>
      <c r="D65" s="752">
        <v>1070317</v>
      </c>
      <c r="E65" s="752">
        <v>1114917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4413919</v>
      </c>
      <c r="D66" s="757">
        <f>D64+D65</f>
        <v>4950341</v>
      </c>
      <c r="E66" s="757">
        <f>E64+E65</f>
        <v>4909010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51910300</v>
      </c>
      <c r="D69" s="752">
        <v>49351637</v>
      </c>
      <c r="E69" s="752">
        <v>52014621</v>
      </c>
    </row>
    <row r="70" spans="1:6" ht="26.1" customHeight="1" x14ac:dyDescent="0.25">
      <c r="A70" s="742">
        <v>2</v>
      </c>
      <c r="B70" s="743" t="s">
        <v>977</v>
      </c>
      <c r="C70" s="752">
        <v>19096852</v>
      </c>
      <c r="D70" s="752">
        <v>16524669</v>
      </c>
      <c r="E70" s="752">
        <v>18695393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71007152</v>
      </c>
      <c r="D71" s="755">
        <f>D69+D70</f>
        <v>65876306</v>
      </c>
      <c r="E71" s="755">
        <f>E69+E70</f>
        <v>70710014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84156250</v>
      </c>
      <c r="D75" s="744">
        <f t="shared" si="0"/>
        <v>85349853</v>
      </c>
      <c r="E75" s="744">
        <f t="shared" si="0"/>
        <v>88792935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27189020</v>
      </c>
      <c r="D76" s="744">
        <f t="shared" si="0"/>
        <v>24561662</v>
      </c>
      <c r="E76" s="744">
        <f t="shared" si="0"/>
        <v>27561959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111345270</v>
      </c>
      <c r="D77" s="757">
        <f>D75+D76</f>
        <v>109911515</v>
      </c>
      <c r="E77" s="757">
        <f>E75+E76</f>
        <v>116354894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347.3</v>
      </c>
      <c r="D80" s="749">
        <v>373.1</v>
      </c>
      <c r="E80" s="749">
        <v>389.3</v>
      </c>
    </row>
    <row r="81" spans="1:5" ht="26.1" customHeight="1" x14ac:dyDescent="0.25">
      <c r="A81" s="742">
        <v>2</v>
      </c>
      <c r="B81" s="743" t="s">
        <v>617</v>
      </c>
      <c r="C81" s="749">
        <v>56.1</v>
      </c>
      <c r="D81" s="749">
        <v>57.3</v>
      </c>
      <c r="E81" s="749">
        <v>56</v>
      </c>
    </row>
    <row r="82" spans="1:5" ht="26.1" customHeight="1" x14ac:dyDescent="0.25">
      <c r="A82" s="742">
        <v>3</v>
      </c>
      <c r="B82" s="743" t="s">
        <v>983</v>
      </c>
      <c r="C82" s="749">
        <v>951.8</v>
      </c>
      <c r="D82" s="749">
        <v>885</v>
      </c>
      <c r="E82" s="749">
        <v>938.9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1355.2</v>
      </c>
      <c r="D83" s="759">
        <f>D80+D81+D82</f>
        <v>1315.4</v>
      </c>
      <c r="E83" s="759">
        <f>E80+E81+E82</f>
        <v>1384.2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83376.927728188879</v>
      </c>
      <c r="D86" s="752">
        <f>IF(D80=0,0,D59/D80)</f>
        <v>86084.674350040194</v>
      </c>
      <c r="E86" s="752">
        <f>IF(E80=0,0,E59/E80)</f>
        <v>84726.99974312869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20061.595162683559</v>
      </c>
      <c r="D87" s="752">
        <f>IF(D80=0,0,D60/D80)</f>
        <v>18672.409541677833</v>
      </c>
      <c r="E87" s="752">
        <f>IF(E80=0,0,E60/E80)</f>
        <v>19911.762137169277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103438.52289087244</v>
      </c>
      <c r="D88" s="755">
        <f>+D86+D87</f>
        <v>104757.08389171802</v>
      </c>
      <c r="E88" s="755">
        <f>+E86+E87</f>
        <v>104638.76188029797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58630</v>
      </c>
      <c r="D91" s="744">
        <f>IF(D81=0,0,D64/D81)</f>
        <v>67714.205933682373</v>
      </c>
      <c r="E91" s="744">
        <f>IF(E81=0,0,E64/E81)</f>
        <v>67751.66071428571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20049.483065953653</v>
      </c>
      <c r="D92" s="744">
        <f>IF(D81=0,0,D65/D81)</f>
        <v>18679.179755671903</v>
      </c>
      <c r="E92" s="744">
        <f>IF(E81=0,0,E65/E81)</f>
        <v>19909.232142857141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78679.483065953653</v>
      </c>
      <c r="D93" s="757">
        <f>+D91+D92</f>
        <v>86393.385689354269</v>
      </c>
      <c r="E93" s="757">
        <f>+E91+E92</f>
        <v>87660.892857142855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54539.083841143103</v>
      </c>
      <c r="D96" s="752">
        <f>IF(D82=0,0,D69/D82)</f>
        <v>55764.561581920905</v>
      </c>
      <c r="E96" s="752">
        <f>IF(E82=0,0,E69/E82)</f>
        <v>55399.532431568856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20063.933599495693</v>
      </c>
      <c r="D97" s="752">
        <f>IF(D82=0,0,D70/D82)</f>
        <v>18671.942372881356</v>
      </c>
      <c r="E97" s="752">
        <f>IF(E82=0,0,E70/E82)</f>
        <v>19912.017254233677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74603.017440638796</v>
      </c>
      <c r="D98" s="757">
        <f>+D96+D97</f>
        <v>74436.503954802261</v>
      </c>
      <c r="E98" s="757">
        <f>+E96+E97</f>
        <v>75311.549685802529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62098.767709563159</v>
      </c>
      <c r="D101" s="744">
        <f>IF(D83=0,0,D75/D83)</f>
        <v>64885.094267903296</v>
      </c>
      <c r="E101" s="744">
        <f>IF(E83=0,0,E75/E83)</f>
        <v>64147.475075856091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20062.736127508855</v>
      </c>
      <c r="D102" s="761">
        <f>IF(D83=0,0,D76/D83)</f>
        <v>18672.390147483653</v>
      </c>
      <c r="E102" s="761">
        <f>IF(E83=0,0,E76/E83)</f>
        <v>19911.832827626065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82161.503837072014</v>
      </c>
      <c r="D103" s="757">
        <f>+D101+D102</f>
        <v>83557.484415386949</v>
      </c>
      <c r="E103" s="757">
        <f>+E101+E102</f>
        <v>84059.307903482157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2148.1540717303646</v>
      </c>
      <c r="D108" s="744">
        <f>IF(D19=0,0,D77/D19)</f>
        <v>2158.3441010132747</v>
      </c>
      <c r="E108" s="744">
        <f>IF(E19=0,0,E77/E19)</f>
        <v>2301.5051428119314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9493.1596896581123</v>
      </c>
      <c r="D109" s="744">
        <f>IF(D20=0,0,D77/D20)</f>
        <v>9440.947861192235</v>
      </c>
      <c r="E109" s="744">
        <f>IF(E20=0,0,E77/E20)</f>
        <v>9823.1231743351618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942.64104305120759</v>
      </c>
      <c r="D110" s="744">
        <f>IF(D22=0,0,D77/D22)</f>
        <v>923.86131640274129</v>
      </c>
      <c r="E110" s="744">
        <f>IF(E22=0,0,E77/E22)</f>
        <v>944.94121007527917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4165.7356283121526</v>
      </c>
      <c r="D111" s="744">
        <f>IF(D23=0,0,D77/D23)</f>
        <v>4041.119539296787</v>
      </c>
      <c r="E111" s="744">
        <f>IF(E23=0,0,E77/E23)</f>
        <v>4033.131938924932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734.96183569695825</v>
      </c>
      <c r="D112" s="744">
        <f>IF(D29=0,0,D77/D29)</f>
        <v>693.47069026576673</v>
      </c>
      <c r="E112" s="744">
        <f>IF(E29=0,0,E77/E29)</f>
        <v>703.85054269636225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3247.9560772171908</v>
      </c>
      <c r="D113" s="744">
        <f>IF(D30=0,0,D77/D30)</f>
        <v>3033.3534986337313</v>
      </c>
      <c r="E113" s="744">
        <f>IF(E30=0,0,E77/E30)</f>
        <v>3004.1256257118862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&amp;L&amp;"Arial,Bold"&amp;12OFFICE OF HEALTH CARE ACCESS&amp;C&amp;"Arial,Bold"&amp;12TWELVE MONTHS ACTUAL FILING&amp;R&amp;"Arial,Bold"&amp;12SAINT MARY`S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663968691</v>
      </c>
      <c r="D12" s="76">
        <v>746752338</v>
      </c>
      <c r="E12" s="76">
        <f t="shared" ref="E12:E21" si="0">D12-C12</f>
        <v>82783647</v>
      </c>
      <c r="F12" s="77">
        <f t="shared" ref="F12:F21" si="1">IF(C12=0,0,E12/C12)</f>
        <v>0.12468004609572773</v>
      </c>
    </row>
    <row r="13" spans="1:8" ht="23.1" customHeight="1" x14ac:dyDescent="0.2">
      <c r="A13" s="74">
        <v>2</v>
      </c>
      <c r="B13" s="75" t="s">
        <v>72</v>
      </c>
      <c r="C13" s="76">
        <v>414266908</v>
      </c>
      <c r="D13" s="76">
        <v>483477353</v>
      </c>
      <c r="E13" s="76">
        <f t="shared" si="0"/>
        <v>69210445</v>
      </c>
      <c r="F13" s="77">
        <f t="shared" si="1"/>
        <v>0.16706727876029143</v>
      </c>
    </row>
    <row r="14" spans="1:8" ht="23.1" customHeight="1" x14ac:dyDescent="0.2">
      <c r="A14" s="74">
        <v>3</v>
      </c>
      <c r="B14" s="75" t="s">
        <v>73</v>
      </c>
      <c r="C14" s="76">
        <v>894442</v>
      </c>
      <c r="D14" s="76">
        <v>3174277</v>
      </c>
      <c r="E14" s="76">
        <f t="shared" si="0"/>
        <v>2279835</v>
      </c>
      <c r="F14" s="77">
        <f t="shared" si="1"/>
        <v>2.5488908168444686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248807341</v>
      </c>
      <c r="D16" s="79">
        <f>D12-D13-D14-D15</f>
        <v>260100708</v>
      </c>
      <c r="E16" s="79">
        <f t="shared" si="0"/>
        <v>11293367</v>
      </c>
      <c r="F16" s="80">
        <f t="shared" si="1"/>
        <v>4.539000720240003E-2</v>
      </c>
    </row>
    <row r="17" spans="1:7" ht="23.1" customHeight="1" x14ac:dyDescent="0.2">
      <c r="A17" s="74">
        <v>5</v>
      </c>
      <c r="B17" s="75" t="s">
        <v>76</v>
      </c>
      <c r="C17" s="76">
        <v>10078145</v>
      </c>
      <c r="D17" s="76">
        <v>8179905</v>
      </c>
      <c r="E17" s="76">
        <f t="shared" si="0"/>
        <v>-1898240</v>
      </c>
      <c r="F17" s="77">
        <f t="shared" si="1"/>
        <v>-0.18835212233997428</v>
      </c>
      <c r="G17" s="65"/>
    </row>
    <row r="18" spans="1:7" ht="31.5" customHeight="1" x14ac:dyDescent="0.25">
      <c r="A18" s="71"/>
      <c r="B18" s="81" t="s">
        <v>77</v>
      </c>
      <c r="C18" s="79">
        <f>C16-C17</f>
        <v>238729196</v>
      </c>
      <c r="D18" s="79">
        <f>D16-D17</f>
        <v>251920803</v>
      </c>
      <c r="E18" s="79">
        <f t="shared" si="0"/>
        <v>13191607</v>
      </c>
      <c r="F18" s="80">
        <f t="shared" si="1"/>
        <v>5.5257619181191396E-2</v>
      </c>
    </row>
    <row r="19" spans="1:7" ht="23.1" customHeight="1" x14ac:dyDescent="0.2">
      <c r="A19" s="74">
        <v>6</v>
      </c>
      <c r="B19" s="75" t="s">
        <v>78</v>
      </c>
      <c r="C19" s="76">
        <v>8705634</v>
      </c>
      <c r="D19" s="76">
        <v>8206509</v>
      </c>
      <c r="E19" s="76">
        <f t="shared" si="0"/>
        <v>-499125</v>
      </c>
      <c r="F19" s="77">
        <f t="shared" si="1"/>
        <v>-5.733356123172649E-2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247434830</v>
      </c>
      <c r="D21" s="79">
        <f>SUM(D18:D20)</f>
        <v>260127312</v>
      </c>
      <c r="E21" s="79">
        <f t="shared" si="0"/>
        <v>12692482</v>
      </c>
      <c r="F21" s="80">
        <f t="shared" si="1"/>
        <v>5.1296262535068325E-2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85349853</v>
      </c>
      <c r="D24" s="76">
        <v>88792935</v>
      </c>
      <c r="E24" s="76">
        <f t="shared" ref="E24:E33" si="2">D24-C24</f>
        <v>3443082</v>
      </c>
      <c r="F24" s="77">
        <f t="shared" ref="F24:F33" si="3">IF(C24=0,0,E24/C24)</f>
        <v>4.0340807616856704E-2</v>
      </c>
    </row>
    <row r="25" spans="1:7" ht="23.1" customHeight="1" x14ac:dyDescent="0.2">
      <c r="A25" s="74">
        <v>2</v>
      </c>
      <c r="B25" s="75" t="s">
        <v>83</v>
      </c>
      <c r="C25" s="76">
        <v>24561662</v>
      </c>
      <c r="D25" s="76">
        <v>27561959</v>
      </c>
      <c r="E25" s="76">
        <f t="shared" si="2"/>
        <v>3000297</v>
      </c>
      <c r="F25" s="77">
        <f t="shared" si="3"/>
        <v>0.1221536637056564</v>
      </c>
    </row>
    <row r="26" spans="1:7" ht="23.1" customHeight="1" x14ac:dyDescent="0.2">
      <c r="A26" s="74">
        <v>3</v>
      </c>
      <c r="B26" s="75" t="s">
        <v>84</v>
      </c>
      <c r="C26" s="76">
        <v>5874170</v>
      </c>
      <c r="D26" s="76">
        <v>6098792</v>
      </c>
      <c r="E26" s="76">
        <f t="shared" si="2"/>
        <v>224622</v>
      </c>
      <c r="F26" s="77">
        <f t="shared" si="3"/>
        <v>3.8238934181339661E-2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35048979</v>
      </c>
      <c r="D27" s="76">
        <v>41889763</v>
      </c>
      <c r="E27" s="76">
        <f t="shared" si="2"/>
        <v>6840784</v>
      </c>
      <c r="F27" s="77">
        <f t="shared" si="3"/>
        <v>0.19517783955989132</v>
      </c>
    </row>
    <row r="28" spans="1:7" ht="23.1" customHeight="1" x14ac:dyDescent="0.2">
      <c r="A28" s="74">
        <v>5</v>
      </c>
      <c r="B28" s="75" t="s">
        <v>86</v>
      </c>
      <c r="C28" s="76">
        <v>9939122</v>
      </c>
      <c r="D28" s="76">
        <v>11023394</v>
      </c>
      <c r="E28" s="76">
        <f t="shared" si="2"/>
        <v>1084272</v>
      </c>
      <c r="F28" s="77">
        <f t="shared" si="3"/>
        <v>0.10909132617549115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1353274</v>
      </c>
      <c r="D30" s="76">
        <v>962851</v>
      </c>
      <c r="E30" s="76">
        <f t="shared" si="2"/>
        <v>-390423</v>
      </c>
      <c r="F30" s="77">
        <f t="shared" si="3"/>
        <v>-0.28850255011180292</v>
      </c>
    </row>
    <row r="31" spans="1:7" ht="23.1" customHeight="1" x14ac:dyDescent="0.2">
      <c r="A31" s="74">
        <v>8</v>
      </c>
      <c r="B31" s="75" t="s">
        <v>89</v>
      </c>
      <c r="C31" s="76">
        <v>5454971</v>
      </c>
      <c r="D31" s="76">
        <v>3338483</v>
      </c>
      <c r="E31" s="76">
        <f t="shared" si="2"/>
        <v>-2116488</v>
      </c>
      <c r="F31" s="77">
        <f t="shared" si="3"/>
        <v>-0.38799253011610879</v>
      </c>
    </row>
    <row r="32" spans="1:7" ht="23.1" customHeight="1" x14ac:dyDescent="0.2">
      <c r="A32" s="74">
        <v>9</v>
      </c>
      <c r="B32" s="75" t="s">
        <v>90</v>
      </c>
      <c r="C32" s="76">
        <v>59644707</v>
      </c>
      <c r="D32" s="76">
        <v>61720306</v>
      </c>
      <c r="E32" s="76">
        <f t="shared" si="2"/>
        <v>2075599</v>
      </c>
      <c r="F32" s="77">
        <f t="shared" si="3"/>
        <v>3.4799382952790767E-2</v>
      </c>
    </row>
    <row r="33" spans="1:6" ht="23.1" customHeight="1" x14ac:dyDescent="0.25">
      <c r="A33" s="71"/>
      <c r="B33" s="78" t="s">
        <v>91</v>
      </c>
      <c r="C33" s="79">
        <f>SUM(C24:C32)</f>
        <v>227226738</v>
      </c>
      <c r="D33" s="79">
        <f>SUM(D24:D32)</f>
        <v>241388483</v>
      </c>
      <c r="E33" s="79">
        <f t="shared" si="2"/>
        <v>14161745</v>
      </c>
      <c r="F33" s="80">
        <f t="shared" si="3"/>
        <v>6.232428949448722E-2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20208092</v>
      </c>
      <c r="D35" s="79">
        <f>+D21-D33</f>
        <v>18738829</v>
      </c>
      <c r="E35" s="79">
        <f>D35-C35</f>
        <v>-1469263</v>
      </c>
      <c r="F35" s="80">
        <f>IF(C35=0,0,E35/C35)</f>
        <v>-7.2706666220640717E-2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2278869</v>
      </c>
      <c r="D38" s="76">
        <v>1314984</v>
      </c>
      <c r="E38" s="76">
        <f>D38-C38</f>
        <v>-963885</v>
      </c>
      <c r="F38" s="77">
        <f>IF(C38=0,0,E38/C38)</f>
        <v>-0.42296639253945706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2737853</v>
      </c>
      <c r="D40" s="76">
        <v>1206847</v>
      </c>
      <c r="E40" s="76">
        <f>D40-C40</f>
        <v>-1531006</v>
      </c>
      <c r="F40" s="77">
        <f>IF(C40=0,0,E40/C40)</f>
        <v>-0.55919948952701259</v>
      </c>
    </row>
    <row r="41" spans="1:6" ht="23.1" customHeight="1" x14ac:dyDescent="0.25">
      <c r="A41" s="83"/>
      <c r="B41" s="78" t="s">
        <v>97</v>
      </c>
      <c r="C41" s="79">
        <f>SUM(C38:C40)</f>
        <v>5016722</v>
      </c>
      <c r="D41" s="79">
        <f>SUM(D38:D40)</f>
        <v>2521831</v>
      </c>
      <c r="E41" s="79">
        <f>D41-C41</f>
        <v>-2494891</v>
      </c>
      <c r="F41" s="80">
        <f>IF(C41=0,0,E41/C41)</f>
        <v>-0.49731497978161837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25224814</v>
      </c>
      <c r="D43" s="79">
        <f>D35+D41</f>
        <v>21260660</v>
      </c>
      <c r="E43" s="79">
        <f>D43-C43</f>
        <v>-3964154</v>
      </c>
      <c r="F43" s="80">
        <f>IF(C43=0,0,E43/C43)</f>
        <v>-0.15715295264417015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25224814</v>
      </c>
      <c r="D50" s="79">
        <f>D43+D48</f>
        <v>21260660</v>
      </c>
      <c r="E50" s="79">
        <f>D50-C50</f>
        <v>-3964154</v>
      </c>
      <c r="F50" s="80">
        <f>IF(C50=0,0,E50/C50)</f>
        <v>-0.15715295264417015</v>
      </c>
    </row>
    <row r="51" spans="1:6" ht="23.1" customHeight="1" x14ac:dyDescent="0.2">
      <c r="A51" s="85"/>
      <c r="B51" s="75" t="s">
        <v>104</v>
      </c>
      <c r="C51" s="76">
        <v>2490000</v>
      </c>
      <c r="D51" s="76">
        <v>6089000</v>
      </c>
      <c r="E51" s="76">
        <f>D51-C51</f>
        <v>3599000</v>
      </c>
      <c r="F51" s="77">
        <f>IF(C51=0,0,E51/C51)</f>
        <v>1.4453815261044176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FILING&amp;RSAINT MARY`S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111791162</v>
      </c>
      <c r="D14" s="113">
        <v>120222002</v>
      </c>
      <c r="E14" s="113">
        <f t="shared" ref="E14:E25" si="0">D14-C14</f>
        <v>8430840</v>
      </c>
      <c r="F14" s="114">
        <f t="shared" ref="F14:F25" si="1">IF(C14=0,0,E14/C14)</f>
        <v>7.541597966393801E-2</v>
      </c>
    </row>
    <row r="15" spans="1:6" x14ac:dyDescent="0.2">
      <c r="A15" s="115">
        <v>2</v>
      </c>
      <c r="B15" s="116" t="s">
        <v>114</v>
      </c>
      <c r="C15" s="113">
        <v>36492895</v>
      </c>
      <c r="D15" s="113">
        <v>41567669</v>
      </c>
      <c r="E15" s="113">
        <f t="shared" si="0"/>
        <v>5074774</v>
      </c>
      <c r="F15" s="114">
        <f t="shared" si="1"/>
        <v>0.13906197357047173</v>
      </c>
    </row>
    <row r="16" spans="1:6" x14ac:dyDescent="0.2">
      <c r="A16" s="115">
        <v>3</v>
      </c>
      <c r="B16" s="116" t="s">
        <v>115</v>
      </c>
      <c r="C16" s="113">
        <v>59517687</v>
      </c>
      <c r="D16" s="113">
        <v>67216873</v>
      </c>
      <c r="E16" s="113">
        <f t="shared" si="0"/>
        <v>7699186</v>
      </c>
      <c r="F16" s="114">
        <f t="shared" si="1"/>
        <v>0.12935963052462035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208043</v>
      </c>
      <c r="D18" s="113">
        <v>596664</v>
      </c>
      <c r="E18" s="113">
        <f t="shared" si="0"/>
        <v>388621</v>
      </c>
      <c r="F18" s="114">
        <f t="shared" si="1"/>
        <v>1.8679840225338031</v>
      </c>
    </row>
    <row r="19" spans="1:6" x14ac:dyDescent="0.2">
      <c r="A19" s="115">
        <v>6</v>
      </c>
      <c r="B19" s="116" t="s">
        <v>118</v>
      </c>
      <c r="C19" s="113">
        <v>5032812</v>
      </c>
      <c r="D19" s="113">
        <v>5285842</v>
      </c>
      <c r="E19" s="113">
        <f t="shared" si="0"/>
        <v>253030</v>
      </c>
      <c r="F19" s="114">
        <f t="shared" si="1"/>
        <v>5.0276068329196483E-2</v>
      </c>
    </row>
    <row r="20" spans="1:6" x14ac:dyDescent="0.2">
      <c r="A20" s="115">
        <v>7</v>
      </c>
      <c r="B20" s="116" t="s">
        <v>119</v>
      </c>
      <c r="C20" s="113">
        <v>60500230</v>
      </c>
      <c r="D20" s="113">
        <v>62781051</v>
      </c>
      <c r="E20" s="113">
        <f t="shared" si="0"/>
        <v>2280821</v>
      </c>
      <c r="F20" s="114">
        <f t="shared" si="1"/>
        <v>3.7699377341210108E-2</v>
      </c>
    </row>
    <row r="21" spans="1:6" x14ac:dyDescent="0.2">
      <c r="A21" s="115">
        <v>8</v>
      </c>
      <c r="B21" s="116" t="s">
        <v>120</v>
      </c>
      <c r="C21" s="113">
        <v>8882210</v>
      </c>
      <c r="D21" s="113">
        <v>7596091</v>
      </c>
      <c r="E21" s="113">
        <f t="shared" si="0"/>
        <v>-1286119</v>
      </c>
      <c r="F21" s="114">
        <f t="shared" si="1"/>
        <v>-0.14479718448449203</v>
      </c>
    </row>
    <row r="22" spans="1:6" x14ac:dyDescent="0.2">
      <c r="A22" s="115">
        <v>9</v>
      </c>
      <c r="B22" s="116" t="s">
        <v>121</v>
      </c>
      <c r="C22" s="113">
        <v>1781260</v>
      </c>
      <c r="D22" s="113">
        <v>1331888</v>
      </c>
      <c r="E22" s="113">
        <f t="shared" si="0"/>
        <v>-449372</v>
      </c>
      <c r="F22" s="114">
        <f t="shared" si="1"/>
        <v>-0.25227760124855442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284206299</v>
      </c>
      <c r="D25" s="119">
        <f>SUM(D14:D24)</f>
        <v>306598080</v>
      </c>
      <c r="E25" s="119">
        <f t="shared" si="0"/>
        <v>22391781</v>
      </c>
      <c r="F25" s="120">
        <f t="shared" si="1"/>
        <v>7.8787067981206146E-2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79866534</v>
      </c>
      <c r="D27" s="113">
        <v>93562518</v>
      </c>
      <c r="E27" s="113">
        <f t="shared" ref="E27:E38" si="2">D27-C27</f>
        <v>13695984</v>
      </c>
      <c r="F27" s="114">
        <f t="shared" ref="F27:F38" si="3">IF(C27=0,0,E27/C27)</f>
        <v>0.17148589420444862</v>
      </c>
    </row>
    <row r="28" spans="1:6" x14ac:dyDescent="0.2">
      <c r="A28" s="115">
        <v>2</v>
      </c>
      <c r="B28" s="116" t="s">
        <v>114</v>
      </c>
      <c r="C28" s="113">
        <v>28710091</v>
      </c>
      <c r="D28" s="113">
        <v>39168995</v>
      </c>
      <c r="E28" s="113">
        <f t="shared" si="2"/>
        <v>10458904</v>
      </c>
      <c r="F28" s="114">
        <f t="shared" si="3"/>
        <v>0.36429365549555381</v>
      </c>
    </row>
    <row r="29" spans="1:6" x14ac:dyDescent="0.2">
      <c r="A29" s="115">
        <v>3</v>
      </c>
      <c r="B29" s="116" t="s">
        <v>115</v>
      </c>
      <c r="C29" s="113">
        <v>119782447</v>
      </c>
      <c r="D29" s="113">
        <v>139462150</v>
      </c>
      <c r="E29" s="113">
        <f t="shared" si="2"/>
        <v>19679703</v>
      </c>
      <c r="F29" s="114">
        <f t="shared" si="3"/>
        <v>0.16429538294538265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763864</v>
      </c>
      <c r="D31" s="113">
        <v>904569</v>
      </c>
      <c r="E31" s="113">
        <f t="shared" si="2"/>
        <v>140705</v>
      </c>
      <c r="F31" s="114">
        <f t="shared" si="3"/>
        <v>0.18420163798791409</v>
      </c>
    </row>
    <row r="32" spans="1:6" x14ac:dyDescent="0.2">
      <c r="A32" s="115">
        <v>6</v>
      </c>
      <c r="B32" s="116" t="s">
        <v>118</v>
      </c>
      <c r="C32" s="113">
        <v>8197065</v>
      </c>
      <c r="D32" s="113">
        <v>10758245</v>
      </c>
      <c r="E32" s="113">
        <f t="shared" si="2"/>
        <v>2561180</v>
      </c>
      <c r="F32" s="114">
        <f t="shared" si="3"/>
        <v>0.31245085893548485</v>
      </c>
    </row>
    <row r="33" spans="1:6" x14ac:dyDescent="0.2">
      <c r="A33" s="115">
        <v>7</v>
      </c>
      <c r="B33" s="116" t="s">
        <v>119</v>
      </c>
      <c r="C33" s="113">
        <v>124128265</v>
      </c>
      <c r="D33" s="113">
        <v>137796815</v>
      </c>
      <c r="E33" s="113">
        <f t="shared" si="2"/>
        <v>13668550</v>
      </c>
      <c r="F33" s="114">
        <f t="shared" si="3"/>
        <v>0.11011633812814511</v>
      </c>
    </row>
    <row r="34" spans="1:6" x14ac:dyDescent="0.2">
      <c r="A34" s="115">
        <v>8</v>
      </c>
      <c r="B34" s="116" t="s">
        <v>120</v>
      </c>
      <c r="C34" s="113">
        <v>8717963</v>
      </c>
      <c r="D34" s="113">
        <v>7875361</v>
      </c>
      <c r="E34" s="113">
        <f t="shared" si="2"/>
        <v>-842602</v>
      </c>
      <c r="F34" s="114">
        <f t="shared" si="3"/>
        <v>-9.6651247544867994E-2</v>
      </c>
    </row>
    <row r="35" spans="1:6" x14ac:dyDescent="0.2">
      <c r="A35" s="115">
        <v>9</v>
      </c>
      <c r="B35" s="116" t="s">
        <v>121</v>
      </c>
      <c r="C35" s="113">
        <v>9596163</v>
      </c>
      <c r="D35" s="113">
        <v>10625605</v>
      </c>
      <c r="E35" s="113">
        <f t="shared" si="2"/>
        <v>1029442</v>
      </c>
      <c r="F35" s="114">
        <f t="shared" si="3"/>
        <v>0.10727641871026992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379762392</v>
      </c>
      <c r="D38" s="119">
        <f>SUM(D27:D37)</f>
        <v>440154258</v>
      </c>
      <c r="E38" s="119">
        <f t="shared" si="2"/>
        <v>60391866</v>
      </c>
      <c r="F38" s="120">
        <f t="shared" si="3"/>
        <v>0.15902539922910533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191657696</v>
      </c>
      <c r="D41" s="119">
        <f t="shared" si="4"/>
        <v>213784520</v>
      </c>
      <c r="E41" s="123">
        <f t="shared" ref="E41:E52" si="5">D41-C41</f>
        <v>22126824</v>
      </c>
      <c r="F41" s="124">
        <f t="shared" ref="F41:F52" si="6">IF(C41=0,0,E41/C41)</f>
        <v>0.11544970257807961</v>
      </c>
    </row>
    <row r="42" spans="1:6" ht="15.75" x14ac:dyDescent="0.25">
      <c r="A42" s="121">
        <v>2</v>
      </c>
      <c r="B42" s="122" t="s">
        <v>114</v>
      </c>
      <c r="C42" s="119">
        <f t="shared" si="4"/>
        <v>65202986</v>
      </c>
      <c r="D42" s="119">
        <f t="shared" si="4"/>
        <v>80736664</v>
      </c>
      <c r="E42" s="123">
        <f t="shared" si="5"/>
        <v>15533678</v>
      </c>
      <c r="F42" s="124">
        <f t="shared" si="6"/>
        <v>0.2382356844823027</v>
      </c>
    </row>
    <row r="43" spans="1:6" ht="15.75" x14ac:dyDescent="0.25">
      <c r="A43" s="121">
        <v>3</v>
      </c>
      <c r="B43" s="122" t="s">
        <v>115</v>
      </c>
      <c r="C43" s="119">
        <f t="shared" si="4"/>
        <v>179300134</v>
      </c>
      <c r="D43" s="119">
        <f t="shared" si="4"/>
        <v>206679023</v>
      </c>
      <c r="E43" s="123">
        <f t="shared" si="5"/>
        <v>27378889</v>
      </c>
      <c r="F43" s="124">
        <f t="shared" si="6"/>
        <v>0.15269865330942808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971907</v>
      </c>
      <c r="D45" s="119">
        <f t="shared" si="4"/>
        <v>1501233</v>
      </c>
      <c r="E45" s="123">
        <f t="shared" si="5"/>
        <v>529326</v>
      </c>
      <c r="F45" s="124">
        <f t="shared" si="6"/>
        <v>0.5446261833693965</v>
      </c>
    </row>
    <row r="46" spans="1:6" ht="15.75" x14ac:dyDescent="0.25">
      <c r="A46" s="121">
        <v>6</v>
      </c>
      <c r="B46" s="122" t="s">
        <v>118</v>
      </c>
      <c r="C46" s="119">
        <f t="shared" si="4"/>
        <v>13229877</v>
      </c>
      <c r="D46" s="119">
        <f t="shared" si="4"/>
        <v>16044087</v>
      </c>
      <c r="E46" s="123">
        <f t="shared" si="5"/>
        <v>2814210</v>
      </c>
      <c r="F46" s="124">
        <f t="shared" si="6"/>
        <v>0.21271626334848012</v>
      </c>
    </row>
    <row r="47" spans="1:6" ht="15.75" x14ac:dyDescent="0.25">
      <c r="A47" s="121">
        <v>7</v>
      </c>
      <c r="B47" s="122" t="s">
        <v>119</v>
      </c>
      <c r="C47" s="119">
        <f t="shared" si="4"/>
        <v>184628495</v>
      </c>
      <c r="D47" s="119">
        <f t="shared" si="4"/>
        <v>200577866</v>
      </c>
      <c r="E47" s="123">
        <f t="shared" si="5"/>
        <v>15949371</v>
      </c>
      <c r="F47" s="124">
        <f t="shared" si="6"/>
        <v>8.6386291563498904E-2</v>
      </c>
    </row>
    <row r="48" spans="1:6" ht="15.75" x14ac:dyDescent="0.25">
      <c r="A48" s="121">
        <v>8</v>
      </c>
      <c r="B48" s="122" t="s">
        <v>120</v>
      </c>
      <c r="C48" s="119">
        <f t="shared" si="4"/>
        <v>17600173</v>
      </c>
      <c r="D48" s="119">
        <f t="shared" si="4"/>
        <v>15471452</v>
      </c>
      <c r="E48" s="123">
        <f t="shared" si="5"/>
        <v>-2128721</v>
      </c>
      <c r="F48" s="124">
        <f t="shared" si="6"/>
        <v>-0.12094886794578667</v>
      </c>
    </row>
    <row r="49" spans="1:6" ht="15.75" x14ac:dyDescent="0.25">
      <c r="A49" s="121">
        <v>9</v>
      </c>
      <c r="B49" s="122" t="s">
        <v>121</v>
      </c>
      <c r="C49" s="119">
        <f t="shared" si="4"/>
        <v>11377423</v>
      </c>
      <c r="D49" s="119">
        <f t="shared" si="4"/>
        <v>11957493</v>
      </c>
      <c r="E49" s="123">
        <f t="shared" si="5"/>
        <v>580070</v>
      </c>
      <c r="F49" s="124">
        <f t="shared" si="6"/>
        <v>5.0984304618014113E-2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663968691</v>
      </c>
      <c r="D52" s="128">
        <f>SUM(D41:D51)</f>
        <v>746752338</v>
      </c>
      <c r="E52" s="127">
        <f t="shared" si="5"/>
        <v>82783647</v>
      </c>
      <c r="F52" s="129">
        <f t="shared" si="6"/>
        <v>0.12468004609572773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53016836</v>
      </c>
      <c r="D57" s="113">
        <v>52145621</v>
      </c>
      <c r="E57" s="113">
        <f t="shared" ref="E57:E68" si="7">D57-C57</f>
        <v>-871215</v>
      </c>
      <c r="F57" s="114">
        <f t="shared" ref="F57:F68" si="8">IF(C57=0,0,E57/C57)</f>
        <v>-1.6432798818850677E-2</v>
      </c>
    </row>
    <row r="58" spans="1:6" x14ac:dyDescent="0.2">
      <c r="A58" s="115">
        <v>2</v>
      </c>
      <c r="B58" s="116" t="s">
        <v>114</v>
      </c>
      <c r="C58" s="113">
        <v>13917242</v>
      </c>
      <c r="D58" s="113">
        <v>15709499</v>
      </c>
      <c r="E58" s="113">
        <f t="shared" si="7"/>
        <v>1792257</v>
      </c>
      <c r="F58" s="114">
        <f t="shared" si="8"/>
        <v>0.12877961021300052</v>
      </c>
    </row>
    <row r="59" spans="1:6" x14ac:dyDescent="0.2">
      <c r="A59" s="115">
        <v>3</v>
      </c>
      <c r="B59" s="116" t="s">
        <v>115</v>
      </c>
      <c r="C59" s="113">
        <v>21911696</v>
      </c>
      <c r="D59" s="113">
        <v>21137470</v>
      </c>
      <c r="E59" s="113">
        <f t="shared" si="7"/>
        <v>-774226</v>
      </c>
      <c r="F59" s="114">
        <f t="shared" si="8"/>
        <v>-3.5333914818825529E-2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62761</v>
      </c>
      <c r="D61" s="113">
        <v>185111</v>
      </c>
      <c r="E61" s="113">
        <f t="shared" si="7"/>
        <v>122350</v>
      </c>
      <c r="F61" s="114">
        <f t="shared" si="8"/>
        <v>1.9494590589697423</v>
      </c>
    </row>
    <row r="62" spans="1:6" x14ac:dyDescent="0.2">
      <c r="A62" s="115">
        <v>6</v>
      </c>
      <c r="B62" s="116" t="s">
        <v>118</v>
      </c>
      <c r="C62" s="113">
        <v>1866397</v>
      </c>
      <c r="D62" s="113">
        <v>2144958</v>
      </c>
      <c r="E62" s="113">
        <f t="shared" si="7"/>
        <v>278561</v>
      </c>
      <c r="F62" s="114">
        <f t="shared" si="8"/>
        <v>0.14925066853407931</v>
      </c>
    </row>
    <row r="63" spans="1:6" x14ac:dyDescent="0.2">
      <c r="A63" s="115">
        <v>7</v>
      </c>
      <c r="B63" s="116" t="s">
        <v>119</v>
      </c>
      <c r="C63" s="113">
        <v>31579300</v>
      </c>
      <c r="D63" s="113">
        <v>32369474</v>
      </c>
      <c r="E63" s="113">
        <f t="shared" si="7"/>
        <v>790174</v>
      </c>
      <c r="F63" s="114">
        <f t="shared" si="8"/>
        <v>2.5021897255480648E-2</v>
      </c>
    </row>
    <row r="64" spans="1:6" x14ac:dyDescent="0.2">
      <c r="A64" s="115">
        <v>8</v>
      </c>
      <c r="B64" s="116" t="s">
        <v>120</v>
      </c>
      <c r="C64" s="113">
        <v>5123319</v>
      </c>
      <c r="D64" s="113">
        <v>4357515</v>
      </c>
      <c r="E64" s="113">
        <f t="shared" si="7"/>
        <v>-765804</v>
      </c>
      <c r="F64" s="114">
        <f t="shared" si="8"/>
        <v>-0.14947419826873945</v>
      </c>
    </row>
    <row r="65" spans="1:6" x14ac:dyDescent="0.2">
      <c r="A65" s="115">
        <v>9</v>
      </c>
      <c r="B65" s="116" t="s">
        <v>121</v>
      </c>
      <c r="C65" s="113">
        <v>21594</v>
      </c>
      <c r="D65" s="113">
        <v>91946</v>
      </c>
      <c r="E65" s="113">
        <f t="shared" si="7"/>
        <v>70352</v>
      </c>
      <c r="F65" s="114">
        <f t="shared" si="8"/>
        <v>3.2579420209317402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127499145</v>
      </c>
      <c r="D68" s="119">
        <f>SUM(D57:D67)</f>
        <v>128141594</v>
      </c>
      <c r="E68" s="119">
        <f t="shared" si="7"/>
        <v>642449</v>
      </c>
      <c r="F68" s="120">
        <f t="shared" si="8"/>
        <v>5.0388494762062912E-3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17129561</v>
      </c>
      <c r="D70" s="113">
        <v>21086196</v>
      </c>
      <c r="E70" s="113">
        <f t="shared" ref="E70:E81" si="9">D70-C70</f>
        <v>3956635</v>
      </c>
      <c r="F70" s="114">
        <f t="shared" ref="F70:F81" si="10">IF(C70=0,0,E70/C70)</f>
        <v>0.2309828605648446</v>
      </c>
    </row>
    <row r="71" spans="1:6" x14ac:dyDescent="0.2">
      <c r="A71" s="115">
        <v>2</v>
      </c>
      <c r="B71" s="116" t="s">
        <v>114</v>
      </c>
      <c r="C71" s="113">
        <v>5955623</v>
      </c>
      <c r="D71" s="113">
        <v>8212993</v>
      </c>
      <c r="E71" s="113">
        <f t="shared" si="9"/>
        <v>2257370</v>
      </c>
      <c r="F71" s="114">
        <f t="shared" si="10"/>
        <v>0.37903171506994315</v>
      </c>
    </row>
    <row r="72" spans="1:6" x14ac:dyDescent="0.2">
      <c r="A72" s="115">
        <v>3</v>
      </c>
      <c r="B72" s="116" t="s">
        <v>115</v>
      </c>
      <c r="C72" s="113">
        <v>28101645</v>
      </c>
      <c r="D72" s="113">
        <v>29023262</v>
      </c>
      <c r="E72" s="113">
        <f t="shared" si="9"/>
        <v>921617</v>
      </c>
      <c r="F72" s="114">
        <f t="shared" si="10"/>
        <v>3.2795838108409671E-2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163459</v>
      </c>
      <c r="D74" s="113">
        <v>193957</v>
      </c>
      <c r="E74" s="113">
        <f t="shared" si="9"/>
        <v>30498</v>
      </c>
      <c r="F74" s="114">
        <f t="shared" si="10"/>
        <v>0.18657889746052528</v>
      </c>
    </row>
    <row r="75" spans="1:6" x14ac:dyDescent="0.2">
      <c r="A75" s="115">
        <v>6</v>
      </c>
      <c r="B75" s="116" t="s">
        <v>118</v>
      </c>
      <c r="C75" s="113">
        <v>2656520</v>
      </c>
      <c r="D75" s="113">
        <v>3770005</v>
      </c>
      <c r="E75" s="113">
        <f t="shared" si="9"/>
        <v>1113485</v>
      </c>
      <c r="F75" s="114">
        <f t="shared" si="10"/>
        <v>0.41915174739885264</v>
      </c>
    </row>
    <row r="76" spans="1:6" x14ac:dyDescent="0.2">
      <c r="A76" s="115">
        <v>7</v>
      </c>
      <c r="B76" s="116" t="s">
        <v>119</v>
      </c>
      <c r="C76" s="113">
        <v>41501265</v>
      </c>
      <c r="D76" s="113">
        <v>48198163</v>
      </c>
      <c r="E76" s="113">
        <f t="shared" si="9"/>
        <v>6696898</v>
      </c>
      <c r="F76" s="114">
        <f t="shared" si="10"/>
        <v>0.16136611739425291</v>
      </c>
    </row>
    <row r="77" spans="1:6" x14ac:dyDescent="0.2">
      <c r="A77" s="115">
        <v>8</v>
      </c>
      <c r="B77" s="116" t="s">
        <v>120</v>
      </c>
      <c r="C77" s="113">
        <v>5477881</v>
      </c>
      <c r="D77" s="113">
        <v>3767712</v>
      </c>
      <c r="E77" s="113">
        <f t="shared" si="9"/>
        <v>-1710169</v>
      </c>
      <c r="F77" s="114">
        <f t="shared" si="10"/>
        <v>-0.31219535437151702</v>
      </c>
    </row>
    <row r="78" spans="1:6" x14ac:dyDescent="0.2">
      <c r="A78" s="115">
        <v>9</v>
      </c>
      <c r="B78" s="116" t="s">
        <v>121</v>
      </c>
      <c r="C78" s="113">
        <v>383242</v>
      </c>
      <c r="D78" s="113">
        <v>511365</v>
      </c>
      <c r="E78" s="113">
        <f t="shared" si="9"/>
        <v>128123</v>
      </c>
      <c r="F78" s="114">
        <f t="shared" si="10"/>
        <v>0.33431356688463165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101369196</v>
      </c>
      <c r="D81" s="119">
        <f>SUM(D70:D80)</f>
        <v>114763653</v>
      </c>
      <c r="E81" s="119">
        <f t="shared" si="9"/>
        <v>13394457</v>
      </c>
      <c r="F81" s="120">
        <f t="shared" si="10"/>
        <v>0.13213537769402847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70146397</v>
      </c>
      <c r="D84" s="119">
        <f t="shared" si="11"/>
        <v>73231817</v>
      </c>
      <c r="E84" s="119">
        <f t="shared" ref="E84:E95" si="12">D84-C84</f>
        <v>3085420</v>
      </c>
      <c r="F84" s="120">
        <f t="shared" ref="F84:F95" si="13">IF(C84=0,0,E84/C84)</f>
        <v>4.3985438054644492E-2</v>
      </c>
    </row>
    <row r="85" spans="1:6" ht="15.75" x14ac:dyDescent="0.25">
      <c r="A85" s="130">
        <v>2</v>
      </c>
      <c r="B85" s="122" t="s">
        <v>114</v>
      </c>
      <c r="C85" s="119">
        <f t="shared" si="11"/>
        <v>19872865</v>
      </c>
      <c r="D85" s="119">
        <f t="shared" si="11"/>
        <v>23922492</v>
      </c>
      <c r="E85" s="119">
        <f t="shared" si="12"/>
        <v>4049627</v>
      </c>
      <c r="F85" s="120">
        <f t="shared" si="13"/>
        <v>0.20377670758594696</v>
      </c>
    </row>
    <row r="86" spans="1:6" ht="15.75" x14ac:dyDescent="0.25">
      <c r="A86" s="130">
        <v>3</v>
      </c>
      <c r="B86" s="122" t="s">
        <v>115</v>
      </c>
      <c r="C86" s="119">
        <f t="shared" si="11"/>
        <v>50013341</v>
      </c>
      <c r="D86" s="119">
        <f t="shared" si="11"/>
        <v>50160732</v>
      </c>
      <c r="E86" s="119">
        <f t="shared" si="12"/>
        <v>147391</v>
      </c>
      <c r="F86" s="120">
        <f t="shared" si="13"/>
        <v>2.9470336724755101E-3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226220</v>
      </c>
      <c r="D88" s="119">
        <f t="shared" si="11"/>
        <v>379068</v>
      </c>
      <c r="E88" s="119">
        <f t="shared" si="12"/>
        <v>152848</v>
      </c>
      <c r="F88" s="120">
        <f t="shared" si="13"/>
        <v>0.67566086110865531</v>
      </c>
    </row>
    <row r="89" spans="1:6" ht="15.75" x14ac:dyDescent="0.25">
      <c r="A89" s="130">
        <v>6</v>
      </c>
      <c r="B89" s="122" t="s">
        <v>118</v>
      </c>
      <c r="C89" s="119">
        <f t="shared" si="11"/>
        <v>4522917</v>
      </c>
      <c r="D89" s="119">
        <f t="shared" si="11"/>
        <v>5914963</v>
      </c>
      <c r="E89" s="119">
        <f t="shared" si="12"/>
        <v>1392046</v>
      </c>
      <c r="F89" s="120">
        <f t="shared" si="13"/>
        <v>0.30777615419429538</v>
      </c>
    </row>
    <row r="90" spans="1:6" ht="15.75" x14ac:dyDescent="0.25">
      <c r="A90" s="130">
        <v>7</v>
      </c>
      <c r="B90" s="122" t="s">
        <v>119</v>
      </c>
      <c r="C90" s="119">
        <f t="shared" si="11"/>
        <v>73080565</v>
      </c>
      <c r="D90" s="119">
        <f t="shared" si="11"/>
        <v>80567637</v>
      </c>
      <c r="E90" s="119">
        <f t="shared" si="12"/>
        <v>7487072</v>
      </c>
      <c r="F90" s="120">
        <f t="shared" si="13"/>
        <v>0.10244956371095379</v>
      </c>
    </row>
    <row r="91" spans="1:6" ht="15.75" x14ac:dyDescent="0.25">
      <c r="A91" s="130">
        <v>8</v>
      </c>
      <c r="B91" s="122" t="s">
        <v>120</v>
      </c>
      <c r="C91" s="119">
        <f t="shared" si="11"/>
        <v>10601200</v>
      </c>
      <c r="D91" s="119">
        <f t="shared" si="11"/>
        <v>8125227</v>
      </c>
      <c r="E91" s="119">
        <f t="shared" si="12"/>
        <v>-2475973</v>
      </c>
      <c r="F91" s="120">
        <f t="shared" si="13"/>
        <v>-0.23355591819793986</v>
      </c>
    </row>
    <row r="92" spans="1:6" ht="15.75" x14ac:dyDescent="0.25">
      <c r="A92" s="130">
        <v>9</v>
      </c>
      <c r="B92" s="122" t="s">
        <v>121</v>
      </c>
      <c r="C92" s="119">
        <f t="shared" si="11"/>
        <v>404836</v>
      </c>
      <c r="D92" s="119">
        <f t="shared" si="11"/>
        <v>603311</v>
      </c>
      <c r="E92" s="119">
        <f t="shared" si="12"/>
        <v>198475</v>
      </c>
      <c r="F92" s="120">
        <f t="shared" si="13"/>
        <v>0.49026025353476471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228868341</v>
      </c>
      <c r="D95" s="128">
        <f>SUM(D84:D94)</f>
        <v>242905247</v>
      </c>
      <c r="E95" s="128">
        <f t="shared" si="12"/>
        <v>14036906</v>
      </c>
      <c r="F95" s="129">
        <f t="shared" si="13"/>
        <v>6.1331794247593205E-2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3845</v>
      </c>
      <c r="D100" s="133">
        <v>3915</v>
      </c>
      <c r="E100" s="133">
        <f t="shared" ref="E100:E111" si="14">D100-C100</f>
        <v>70</v>
      </c>
      <c r="F100" s="114">
        <f t="shared" ref="F100:F111" si="15">IF(C100=0,0,E100/C100)</f>
        <v>1.8205461638491547E-2</v>
      </c>
    </row>
    <row r="101" spans="1:6" x14ac:dyDescent="0.2">
      <c r="A101" s="115">
        <v>2</v>
      </c>
      <c r="B101" s="116" t="s">
        <v>114</v>
      </c>
      <c r="C101" s="133">
        <v>1224</v>
      </c>
      <c r="D101" s="133">
        <v>1311</v>
      </c>
      <c r="E101" s="133">
        <f t="shared" si="14"/>
        <v>87</v>
      </c>
      <c r="F101" s="114">
        <f t="shared" si="15"/>
        <v>7.1078431372549017E-2</v>
      </c>
    </row>
    <row r="102" spans="1:6" x14ac:dyDescent="0.2">
      <c r="A102" s="115">
        <v>3</v>
      </c>
      <c r="B102" s="116" t="s">
        <v>115</v>
      </c>
      <c r="C102" s="133">
        <v>3568</v>
      </c>
      <c r="D102" s="133">
        <v>3721</v>
      </c>
      <c r="E102" s="133">
        <f t="shared" si="14"/>
        <v>153</v>
      </c>
      <c r="F102" s="114">
        <f t="shared" si="15"/>
        <v>4.288116591928251E-2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21</v>
      </c>
      <c r="D104" s="133">
        <v>25</v>
      </c>
      <c r="E104" s="133">
        <f t="shared" si="14"/>
        <v>4</v>
      </c>
      <c r="F104" s="114">
        <f t="shared" si="15"/>
        <v>0.19047619047619047</v>
      </c>
    </row>
    <row r="105" spans="1:6" x14ac:dyDescent="0.2">
      <c r="A105" s="115">
        <v>6</v>
      </c>
      <c r="B105" s="116" t="s">
        <v>118</v>
      </c>
      <c r="C105" s="133">
        <v>141</v>
      </c>
      <c r="D105" s="133">
        <v>198</v>
      </c>
      <c r="E105" s="133">
        <f t="shared" si="14"/>
        <v>57</v>
      </c>
      <c r="F105" s="114">
        <f t="shared" si="15"/>
        <v>0.40425531914893614</v>
      </c>
    </row>
    <row r="106" spans="1:6" x14ac:dyDescent="0.2">
      <c r="A106" s="115">
        <v>7</v>
      </c>
      <c r="B106" s="116" t="s">
        <v>119</v>
      </c>
      <c r="C106" s="133">
        <v>2577</v>
      </c>
      <c r="D106" s="133">
        <v>2465</v>
      </c>
      <c r="E106" s="133">
        <f t="shared" si="14"/>
        <v>-112</v>
      </c>
      <c r="F106" s="114">
        <f t="shared" si="15"/>
        <v>-4.3461389212262322E-2</v>
      </c>
    </row>
    <row r="107" spans="1:6" x14ac:dyDescent="0.2">
      <c r="A107" s="115">
        <v>8</v>
      </c>
      <c r="B107" s="116" t="s">
        <v>120</v>
      </c>
      <c r="C107" s="133">
        <v>151</v>
      </c>
      <c r="D107" s="133">
        <v>132</v>
      </c>
      <c r="E107" s="133">
        <f t="shared" si="14"/>
        <v>-19</v>
      </c>
      <c r="F107" s="114">
        <f t="shared" si="15"/>
        <v>-0.12582781456953643</v>
      </c>
    </row>
    <row r="108" spans="1:6" x14ac:dyDescent="0.2">
      <c r="A108" s="115">
        <v>9</v>
      </c>
      <c r="B108" s="116" t="s">
        <v>121</v>
      </c>
      <c r="C108" s="133">
        <v>115</v>
      </c>
      <c r="D108" s="133">
        <v>78</v>
      </c>
      <c r="E108" s="133">
        <f t="shared" si="14"/>
        <v>-37</v>
      </c>
      <c r="F108" s="114">
        <f t="shared" si="15"/>
        <v>-0.32173913043478258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11642</v>
      </c>
      <c r="D111" s="134">
        <f>SUM(D100:D110)</f>
        <v>11845</v>
      </c>
      <c r="E111" s="134">
        <f t="shared" si="14"/>
        <v>203</v>
      </c>
      <c r="F111" s="120">
        <f t="shared" si="15"/>
        <v>1.7436866517780449E-2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20159</v>
      </c>
      <c r="D113" s="133">
        <v>19798</v>
      </c>
      <c r="E113" s="133">
        <f t="shared" ref="E113:E124" si="16">D113-C113</f>
        <v>-361</v>
      </c>
      <c r="F113" s="114">
        <f t="shared" ref="F113:F124" si="17">IF(C113=0,0,E113/C113)</f>
        <v>-1.7907634307257305E-2</v>
      </c>
    </row>
    <row r="114" spans="1:6" x14ac:dyDescent="0.2">
      <c r="A114" s="115">
        <v>2</v>
      </c>
      <c r="B114" s="116" t="s">
        <v>114</v>
      </c>
      <c r="C114" s="133">
        <v>6077</v>
      </c>
      <c r="D114" s="133">
        <v>6327</v>
      </c>
      <c r="E114" s="133">
        <f t="shared" si="16"/>
        <v>250</v>
      </c>
      <c r="F114" s="114">
        <f t="shared" si="17"/>
        <v>4.1138719763040975E-2</v>
      </c>
    </row>
    <row r="115" spans="1:6" x14ac:dyDescent="0.2">
      <c r="A115" s="115">
        <v>3</v>
      </c>
      <c r="B115" s="116" t="s">
        <v>115</v>
      </c>
      <c r="C115" s="133">
        <v>13442</v>
      </c>
      <c r="D115" s="133">
        <v>14042</v>
      </c>
      <c r="E115" s="133">
        <f t="shared" si="16"/>
        <v>600</v>
      </c>
      <c r="F115" s="114">
        <f t="shared" si="17"/>
        <v>4.463621484898081E-2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49</v>
      </c>
      <c r="D117" s="133">
        <v>68</v>
      </c>
      <c r="E117" s="133">
        <f t="shared" si="16"/>
        <v>19</v>
      </c>
      <c r="F117" s="114">
        <f t="shared" si="17"/>
        <v>0.38775510204081631</v>
      </c>
    </row>
    <row r="118" spans="1:6" x14ac:dyDescent="0.2">
      <c r="A118" s="115">
        <v>6</v>
      </c>
      <c r="B118" s="116" t="s">
        <v>118</v>
      </c>
      <c r="C118" s="133">
        <v>652</v>
      </c>
      <c r="D118" s="133">
        <v>751</v>
      </c>
      <c r="E118" s="133">
        <f t="shared" si="16"/>
        <v>99</v>
      </c>
      <c r="F118" s="114">
        <f t="shared" si="17"/>
        <v>0.15184049079754602</v>
      </c>
    </row>
    <row r="119" spans="1:6" x14ac:dyDescent="0.2">
      <c r="A119" s="115">
        <v>7</v>
      </c>
      <c r="B119" s="116" t="s">
        <v>119</v>
      </c>
      <c r="C119" s="133">
        <v>9771</v>
      </c>
      <c r="D119" s="133">
        <v>8983</v>
      </c>
      <c r="E119" s="133">
        <f t="shared" si="16"/>
        <v>-788</v>
      </c>
      <c r="F119" s="114">
        <f t="shared" si="17"/>
        <v>-8.064681199467813E-2</v>
      </c>
    </row>
    <row r="120" spans="1:6" x14ac:dyDescent="0.2">
      <c r="A120" s="115">
        <v>8</v>
      </c>
      <c r="B120" s="116" t="s">
        <v>120</v>
      </c>
      <c r="C120" s="133">
        <v>385</v>
      </c>
      <c r="D120" s="133">
        <v>365</v>
      </c>
      <c r="E120" s="133">
        <f t="shared" si="16"/>
        <v>-20</v>
      </c>
      <c r="F120" s="114">
        <f t="shared" si="17"/>
        <v>-5.1948051948051951E-2</v>
      </c>
    </row>
    <row r="121" spans="1:6" x14ac:dyDescent="0.2">
      <c r="A121" s="115">
        <v>9</v>
      </c>
      <c r="B121" s="116" t="s">
        <v>121</v>
      </c>
      <c r="C121" s="133">
        <v>389</v>
      </c>
      <c r="D121" s="133">
        <v>222</v>
      </c>
      <c r="E121" s="133">
        <f t="shared" si="16"/>
        <v>-167</v>
      </c>
      <c r="F121" s="114">
        <f t="shared" si="17"/>
        <v>-0.42930591259640105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50924</v>
      </c>
      <c r="D124" s="134">
        <f>SUM(D113:D123)</f>
        <v>50556</v>
      </c>
      <c r="E124" s="134">
        <f t="shared" si="16"/>
        <v>-368</v>
      </c>
      <c r="F124" s="120">
        <f t="shared" si="17"/>
        <v>-7.2264551095750527E-3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47214</v>
      </c>
      <c r="D126" s="133">
        <v>54164</v>
      </c>
      <c r="E126" s="133">
        <f t="shared" ref="E126:E137" si="18">D126-C126</f>
        <v>6950</v>
      </c>
      <c r="F126" s="114">
        <f t="shared" ref="F126:F137" si="19">IF(C126=0,0,E126/C126)</f>
        <v>0.14720210107171602</v>
      </c>
    </row>
    <row r="127" spans="1:6" x14ac:dyDescent="0.2">
      <c r="A127" s="115">
        <v>2</v>
      </c>
      <c r="B127" s="116" t="s">
        <v>114</v>
      </c>
      <c r="C127" s="133">
        <v>18330</v>
      </c>
      <c r="D127" s="133">
        <v>23468</v>
      </c>
      <c r="E127" s="133">
        <f t="shared" si="18"/>
        <v>5138</v>
      </c>
      <c r="F127" s="114">
        <f t="shared" si="19"/>
        <v>0.28030551009274413</v>
      </c>
    </row>
    <row r="128" spans="1:6" x14ac:dyDescent="0.2">
      <c r="A128" s="115">
        <v>3</v>
      </c>
      <c r="B128" s="116" t="s">
        <v>115</v>
      </c>
      <c r="C128" s="133">
        <v>68805</v>
      </c>
      <c r="D128" s="133">
        <v>78557</v>
      </c>
      <c r="E128" s="133">
        <f t="shared" si="18"/>
        <v>9752</v>
      </c>
      <c r="F128" s="114">
        <f t="shared" si="19"/>
        <v>0.1417338856187777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410</v>
      </c>
      <c r="D130" s="133">
        <v>482</v>
      </c>
      <c r="E130" s="133">
        <f t="shared" si="18"/>
        <v>72</v>
      </c>
      <c r="F130" s="114">
        <f t="shared" si="19"/>
        <v>0.17560975609756097</v>
      </c>
    </row>
    <row r="131" spans="1:6" x14ac:dyDescent="0.2">
      <c r="A131" s="115">
        <v>6</v>
      </c>
      <c r="B131" s="116" t="s">
        <v>118</v>
      </c>
      <c r="C131" s="133">
        <v>4974</v>
      </c>
      <c r="D131" s="133">
        <v>5750</v>
      </c>
      <c r="E131" s="133">
        <f t="shared" si="18"/>
        <v>776</v>
      </c>
      <c r="F131" s="114">
        <f t="shared" si="19"/>
        <v>0.15601125854443104</v>
      </c>
    </row>
    <row r="132" spans="1:6" x14ac:dyDescent="0.2">
      <c r="A132" s="115">
        <v>7</v>
      </c>
      <c r="B132" s="116" t="s">
        <v>119</v>
      </c>
      <c r="C132" s="133">
        <v>72743</v>
      </c>
      <c r="D132" s="133">
        <v>83485</v>
      </c>
      <c r="E132" s="133">
        <f t="shared" si="18"/>
        <v>10742</v>
      </c>
      <c r="F132" s="114">
        <f t="shared" si="19"/>
        <v>0.14767056624005059</v>
      </c>
    </row>
    <row r="133" spans="1:6" x14ac:dyDescent="0.2">
      <c r="A133" s="115">
        <v>8</v>
      </c>
      <c r="B133" s="116" t="s">
        <v>120</v>
      </c>
      <c r="C133" s="133">
        <v>2775</v>
      </c>
      <c r="D133" s="133">
        <v>2715</v>
      </c>
      <c r="E133" s="133">
        <f t="shared" si="18"/>
        <v>-60</v>
      </c>
      <c r="F133" s="114">
        <f t="shared" si="19"/>
        <v>-2.1621621621621623E-2</v>
      </c>
    </row>
    <row r="134" spans="1:6" x14ac:dyDescent="0.2">
      <c r="A134" s="115">
        <v>9</v>
      </c>
      <c r="B134" s="116" t="s">
        <v>121</v>
      </c>
      <c r="C134" s="133">
        <v>6487</v>
      </c>
      <c r="D134" s="133">
        <v>6108</v>
      </c>
      <c r="E134" s="133">
        <f t="shared" si="18"/>
        <v>-379</v>
      </c>
      <c r="F134" s="114">
        <f t="shared" si="19"/>
        <v>-5.8424541390473254E-2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221738</v>
      </c>
      <c r="D137" s="134">
        <f>SUM(D126:D136)</f>
        <v>254729</v>
      </c>
      <c r="E137" s="134">
        <f t="shared" si="18"/>
        <v>32991</v>
      </c>
      <c r="F137" s="120">
        <f t="shared" si="19"/>
        <v>0.14878369968160621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18030000</v>
      </c>
      <c r="D142" s="113">
        <v>18900000</v>
      </c>
      <c r="E142" s="113">
        <f t="shared" ref="E142:E153" si="20">D142-C142</f>
        <v>870000</v>
      </c>
      <c r="F142" s="114">
        <f t="shared" ref="F142:F153" si="21">IF(C142=0,0,E142/C142)</f>
        <v>4.8252911813643926E-2</v>
      </c>
    </row>
    <row r="143" spans="1:6" x14ac:dyDescent="0.2">
      <c r="A143" s="115">
        <v>2</v>
      </c>
      <c r="B143" s="116" t="s">
        <v>114</v>
      </c>
      <c r="C143" s="113">
        <v>5400000</v>
      </c>
      <c r="D143" s="113">
        <v>6560000</v>
      </c>
      <c r="E143" s="113">
        <f t="shared" si="20"/>
        <v>1160000</v>
      </c>
      <c r="F143" s="114">
        <f t="shared" si="21"/>
        <v>0.21481481481481482</v>
      </c>
    </row>
    <row r="144" spans="1:6" x14ac:dyDescent="0.2">
      <c r="A144" s="115">
        <v>3</v>
      </c>
      <c r="B144" s="116" t="s">
        <v>115</v>
      </c>
      <c r="C144" s="113">
        <v>70550000</v>
      </c>
      <c r="D144" s="113">
        <v>78900000</v>
      </c>
      <c r="E144" s="113">
        <f t="shared" si="20"/>
        <v>8350000</v>
      </c>
      <c r="F144" s="114">
        <f t="shared" si="21"/>
        <v>0.11835577604535791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230000</v>
      </c>
      <c r="D146" s="113">
        <v>315000</v>
      </c>
      <c r="E146" s="113">
        <f t="shared" si="20"/>
        <v>85000</v>
      </c>
      <c r="F146" s="114">
        <f t="shared" si="21"/>
        <v>0.36956521739130432</v>
      </c>
    </row>
    <row r="147" spans="1:6" x14ac:dyDescent="0.2">
      <c r="A147" s="115">
        <v>6</v>
      </c>
      <c r="B147" s="116" t="s">
        <v>118</v>
      </c>
      <c r="C147" s="113">
        <v>2480000</v>
      </c>
      <c r="D147" s="113">
        <v>4660000</v>
      </c>
      <c r="E147" s="113">
        <f t="shared" si="20"/>
        <v>2180000</v>
      </c>
      <c r="F147" s="114">
        <f t="shared" si="21"/>
        <v>0.87903225806451613</v>
      </c>
    </row>
    <row r="148" spans="1:6" x14ac:dyDescent="0.2">
      <c r="A148" s="115">
        <v>7</v>
      </c>
      <c r="B148" s="116" t="s">
        <v>119</v>
      </c>
      <c r="C148" s="113">
        <v>22400000</v>
      </c>
      <c r="D148" s="113">
        <v>24400000</v>
      </c>
      <c r="E148" s="113">
        <f t="shared" si="20"/>
        <v>2000000</v>
      </c>
      <c r="F148" s="114">
        <f t="shared" si="21"/>
        <v>8.9285714285714288E-2</v>
      </c>
    </row>
    <row r="149" spans="1:6" x14ac:dyDescent="0.2">
      <c r="A149" s="115">
        <v>8</v>
      </c>
      <c r="B149" s="116" t="s">
        <v>120</v>
      </c>
      <c r="C149" s="113">
        <v>1440000</v>
      </c>
      <c r="D149" s="113">
        <v>1310000</v>
      </c>
      <c r="E149" s="113">
        <f t="shared" si="20"/>
        <v>-130000</v>
      </c>
      <c r="F149" s="114">
        <f t="shared" si="21"/>
        <v>-9.0277777777777776E-2</v>
      </c>
    </row>
    <row r="150" spans="1:6" x14ac:dyDescent="0.2">
      <c r="A150" s="115">
        <v>9</v>
      </c>
      <c r="B150" s="116" t="s">
        <v>121</v>
      </c>
      <c r="C150" s="113">
        <v>6900000</v>
      </c>
      <c r="D150" s="113">
        <v>6500000</v>
      </c>
      <c r="E150" s="113">
        <f t="shared" si="20"/>
        <v>-400000</v>
      </c>
      <c r="F150" s="114">
        <f t="shared" si="21"/>
        <v>-5.7971014492753624E-2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127430000</v>
      </c>
      <c r="D153" s="119">
        <f>SUM(D142:D152)</f>
        <v>141545000</v>
      </c>
      <c r="E153" s="119">
        <f t="shared" si="20"/>
        <v>14115000</v>
      </c>
      <c r="F153" s="120">
        <f t="shared" si="21"/>
        <v>0.11076669544063407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2940000</v>
      </c>
      <c r="D155" s="113">
        <v>3100000</v>
      </c>
      <c r="E155" s="113">
        <f t="shared" ref="E155:E166" si="22">D155-C155</f>
        <v>160000</v>
      </c>
      <c r="F155" s="114">
        <f t="shared" ref="F155:F166" si="23">IF(C155=0,0,E155/C155)</f>
        <v>5.4421768707482991E-2</v>
      </c>
    </row>
    <row r="156" spans="1:6" x14ac:dyDescent="0.2">
      <c r="A156" s="115">
        <v>2</v>
      </c>
      <c r="B156" s="116" t="s">
        <v>114</v>
      </c>
      <c r="C156" s="113">
        <v>975000</v>
      </c>
      <c r="D156" s="113">
        <v>1100000</v>
      </c>
      <c r="E156" s="113">
        <f t="shared" si="22"/>
        <v>125000</v>
      </c>
      <c r="F156" s="114">
        <f t="shared" si="23"/>
        <v>0.12820512820512819</v>
      </c>
    </row>
    <row r="157" spans="1:6" x14ac:dyDescent="0.2">
      <c r="A157" s="115">
        <v>3</v>
      </c>
      <c r="B157" s="116" t="s">
        <v>115</v>
      </c>
      <c r="C157" s="113">
        <v>10200000</v>
      </c>
      <c r="D157" s="113">
        <v>11700000</v>
      </c>
      <c r="E157" s="113">
        <f t="shared" si="22"/>
        <v>1500000</v>
      </c>
      <c r="F157" s="114">
        <f t="shared" si="23"/>
        <v>0.14705882352941177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35000</v>
      </c>
      <c r="D159" s="113">
        <v>48000</v>
      </c>
      <c r="E159" s="113">
        <f t="shared" si="22"/>
        <v>13000</v>
      </c>
      <c r="F159" s="114">
        <f t="shared" si="23"/>
        <v>0.37142857142857144</v>
      </c>
    </row>
    <row r="160" spans="1:6" x14ac:dyDescent="0.2">
      <c r="A160" s="115">
        <v>6</v>
      </c>
      <c r="B160" s="116" t="s">
        <v>118</v>
      </c>
      <c r="C160" s="113">
        <v>700000</v>
      </c>
      <c r="D160" s="113">
        <v>790000</v>
      </c>
      <c r="E160" s="113">
        <f t="shared" si="22"/>
        <v>90000</v>
      </c>
      <c r="F160" s="114">
        <f t="shared" si="23"/>
        <v>0.12857142857142856</v>
      </c>
    </row>
    <row r="161" spans="1:6" x14ac:dyDescent="0.2">
      <c r="A161" s="115">
        <v>7</v>
      </c>
      <c r="B161" s="116" t="s">
        <v>119</v>
      </c>
      <c r="C161" s="113">
        <v>6575000</v>
      </c>
      <c r="D161" s="113">
        <v>7800000</v>
      </c>
      <c r="E161" s="113">
        <f t="shared" si="22"/>
        <v>1225000</v>
      </c>
      <c r="F161" s="114">
        <f t="shared" si="23"/>
        <v>0.18631178707224336</v>
      </c>
    </row>
    <row r="162" spans="1:6" x14ac:dyDescent="0.2">
      <c r="A162" s="115">
        <v>8</v>
      </c>
      <c r="B162" s="116" t="s">
        <v>120</v>
      </c>
      <c r="C162" s="113">
        <v>880000</v>
      </c>
      <c r="D162" s="113">
        <v>600000</v>
      </c>
      <c r="E162" s="113">
        <f t="shared" si="22"/>
        <v>-280000</v>
      </c>
      <c r="F162" s="114">
        <f t="shared" si="23"/>
        <v>-0.31818181818181818</v>
      </c>
    </row>
    <row r="163" spans="1:6" x14ac:dyDescent="0.2">
      <c r="A163" s="115">
        <v>9</v>
      </c>
      <c r="B163" s="116" t="s">
        <v>121</v>
      </c>
      <c r="C163" s="113">
        <v>75000</v>
      </c>
      <c r="D163" s="113">
        <v>129000</v>
      </c>
      <c r="E163" s="113">
        <f t="shared" si="22"/>
        <v>54000</v>
      </c>
      <c r="F163" s="114">
        <f t="shared" si="23"/>
        <v>0.72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22380000</v>
      </c>
      <c r="D166" s="119">
        <f>SUM(D155:D165)</f>
        <v>25267000</v>
      </c>
      <c r="E166" s="119">
        <f t="shared" si="22"/>
        <v>2887000</v>
      </c>
      <c r="F166" s="120">
        <f t="shared" si="23"/>
        <v>0.12899910634495085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7194</v>
      </c>
      <c r="D168" s="133">
        <v>7100</v>
      </c>
      <c r="E168" s="133">
        <f t="shared" ref="E168:E179" si="24">D168-C168</f>
        <v>-94</v>
      </c>
      <c r="F168" s="114">
        <f t="shared" ref="F168:F179" si="25">IF(C168=0,0,E168/C168)</f>
        <v>-1.3066444259104809E-2</v>
      </c>
    </row>
    <row r="169" spans="1:6" x14ac:dyDescent="0.2">
      <c r="A169" s="115">
        <v>2</v>
      </c>
      <c r="B169" s="116" t="s">
        <v>114</v>
      </c>
      <c r="C169" s="133">
        <v>2198</v>
      </c>
      <c r="D169" s="133">
        <v>2581</v>
      </c>
      <c r="E169" s="133">
        <f t="shared" si="24"/>
        <v>383</v>
      </c>
      <c r="F169" s="114">
        <f t="shared" si="25"/>
        <v>0.17424931756141948</v>
      </c>
    </row>
    <row r="170" spans="1:6" x14ac:dyDescent="0.2">
      <c r="A170" s="115">
        <v>3</v>
      </c>
      <c r="B170" s="116" t="s">
        <v>115</v>
      </c>
      <c r="C170" s="133">
        <v>36469</v>
      </c>
      <c r="D170" s="133">
        <v>37591</v>
      </c>
      <c r="E170" s="133">
        <f t="shared" si="24"/>
        <v>1122</v>
      </c>
      <c r="F170" s="114">
        <f t="shared" si="25"/>
        <v>3.0765855932435766E-2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131</v>
      </c>
      <c r="D172" s="133">
        <v>138</v>
      </c>
      <c r="E172" s="133">
        <f t="shared" si="24"/>
        <v>7</v>
      </c>
      <c r="F172" s="114">
        <f t="shared" si="25"/>
        <v>5.3435114503816793E-2</v>
      </c>
    </row>
    <row r="173" spans="1:6" x14ac:dyDescent="0.2">
      <c r="A173" s="115">
        <v>6</v>
      </c>
      <c r="B173" s="116" t="s">
        <v>118</v>
      </c>
      <c r="C173" s="133">
        <v>1539</v>
      </c>
      <c r="D173" s="133">
        <v>1819</v>
      </c>
      <c r="E173" s="133">
        <f t="shared" si="24"/>
        <v>280</v>
      </c>
      <c r="F173" s="114">
        <f t="shared" si="25"/>
        <v>0.18193632228719947</v>
      </c>
    </row>
    <row r="174" spans="1:6" x14ac:dyDescent="0.2">
      <c r="A174" s="115">
        <v>7</v>
      </c>
      <c r="B174" s="116" t="s">
        <v>119</v>
      </c>
      <c r="C174" s="133">
        <v>10222</v>
      </c>
      <c r="D174" s="133">
        <v>10257</v>
      </c>
      <c r="E174" s="133">
        <f t="shared" si="24"/>
        <v>35</v>
      </c>
      <c r="F174" s="114">
        <f t="shared" si="25"/>
        <v>3.423987477988652E-3</v>
      </c>
    </row>
    <row r="175" spans="1:6" x14ac:dyDescent="0.2">
      <c r="A175" s="115">
        <v>8</v>
      </c>
      <c r="B175" s="116" t="s">
        <v>120</v>
      </c>
      <c r="C175" s="133">
        <v>849</v>
      </c>
      <c r="D175" s="133">
        <v>692</v>
      </c>
      <c r="E175" s="133">
        <f t="shared" si="24"/>
        <v>-157</v>
      </c>
      <c r="F175" s="114">
        <f t="shared" si="25"/>
        <v>-0.18492343934040048</v>
      </c>
    </row>
    <row r="176" spans="1:6" x14ac:dyDescent="0.2">
      <c r="A176" s="115">
        <v>9</v>
      </c>
      <c r="B176" s="116" t="s">
        <v>121</v>
      </c>
      <c r="C176" s="133">
        <v>3733</v>
      </c>
      <c r="D176" s="133">
        <v>3310</v>
      </c>
      <c r="E176" s="133">
        <f t="shared" si="24"/>
        <v>-423</v>
      </c>
      <c r="F176" s="114">
        <f t="shared" si="25"/>
        <v>-0.11331368872220735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62335</v>
      </c>
      <c r="D179" s="134">
        <f>SUM(D168:D178)</f>
        <v>63488</v>
      </c>
      <c r="E179" s="134">
        <f t="shared" si="24"/>
        <v>1153</v>
      </c>
      <c r="F179" s="120">
        <f t="shared" si="25"/>
        <v>1.8496831635517765E-2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FILING&amp;RSAINT MARY`S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32118192</v>
      </c>
      <c r="D15" s="157">
        <v>32984221</v>
      </c>
      <c r="E15" s="157">
        <f>+D15-C15</f>
        <v>866029</v>
      </c>
      <c r="F15" s="161">
        <f>IF(C15=0,0,E15/C15)</f>
        <v>2.6963815397828123E-2</v>
      </c>
    </row>
    <row r="16" spans="1:6" ht="15" customHeight="1" x14ac:dyDescent="0.2">
      <c r="A16" s="147">
        <v>2</v>
      </c>
      <c r="B16" s="160" t="s">
        <v>157</v>
      </c>
      <c r="C16" s="157">
        <v>3880024</v>
      </c>
      <c r="D16" s="157">
        <v>3794093</v>
      </c>
      <c r="E16" s="157">
        <f>+D16-C16</f>
        <v>-85931</v>
      </c>
      <c r="F16" s="161">
        <f>IF(C16=0,0,E16/C16)</f>
        <v>-2.2147027956528103E-2</v>
      </c>
    </row>
    <row r="17" spans="1:6" ht="15" customHeight="1" x14ac:dyDescent="0.2">
      <c r="A17" s="147">
        <v>3</v>
      </c>
      <c r="B17" s="160" t="s">
        <v>158</v>
      </c>
      <c r="C17" s="157">
        <v>49351637</v>
      </c>
      <c r="D17" s="157">
        <v>52014621</v>
      </c>
      <c r="E17" s="157">
        <f>+D17-C17</f>
        <v>2662984</v>
      </c>
      <c r="F17" s="161">
        <f>IF(C17=0,0,E17/C17)</f>
        <v>5.3959385379658227E-2</v>
      </c>
    </row>
    <row r="18" spans="1:6" ht="15.75" customHeight="1" x14ac:dyDescent="0.25">
      <c r="A18" s="147"/>
      <c r="B18" s="162" t="s">
        <v>159</v>
      </c>
      <c r="C18" s="158">
        <f>SUM(C15:C17)</f>
        <v>85349853</v>
      </c>
      <c r="D18" s="158">
        <f>SUM(D15:D17)</f>
        <v>88792935</v>
      </c>
      <c r="E18" s="158">
        <f>+D18-C18</f>
        <v>3443082</v>
      </c>
      <c r="F18" s="159">
        <f>IF(C18=0,0,E18/C18)</f>
        <v>4.0340807616856704E-2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6966676</v>
      </c>
      <c r="D21" s="157">
        <v>7751649</v>
      </c>
      <c r="E21" s="157">
        <f>+D21-C21</f>
        <v>784973</v>
      </c>
      <c r="F21" s="161">
        <f>IF(C21=0,0,E21/C21)</f>
        <v>0.11267539928654641</v>
      </c>
    </row>
    <row r="22" spans="1:6" ht="15" customHeight="1" x14ac:dyDescent="0.2">
      <c r="A22" s="147">
        <v>2</v>
      </c>
      <c r="B22" s="160" t="s">
        <v>162</v>
      </c>
      <c r="C22" s="157">
        <v>1070317</v>
      </c>
      <c r="D22" s="157">
        <v>1114917</v>
      </c>
      <c r="E22" s="157">
        <f>+D22-C22</f>
        <v>44600</v>
      </c>
      <c r="F22" s="161">
        <f>IF(C22=0,0,E22/C22)</f>
        <v>4.1669897796634082E-2</v>
      </c>
    </row>
    <row r="23" spans="1:6" ht="15" customHeight="1" x14ac:dyDescent="0.2">
      <c r="A23" s="147">
        <v>3</v>
      </c>
      <c r="B23" s="160" t="s">
        <v>163</v>
      </c>
      <c r="C23" s="157">
        <v>16524669</v>
      </c>
      <c r="D23" s="157">
        <v>18695393</v>
      </c>
      <c r="E23" s="157">
        <f>+D23-C23</f>
        <v>2170724</v>
      </c>
      <c r="F23" s="161">
        <f>IF(C23=0,0,E23/C23)</f>
        <v>0.13136263122728811</v>
      </c>
    </row>
    <row r="24" spans="1:6" ht="15.75" customHeight="1" x14ac:dyDescent="0.25">
      <c r="A24" s="147"/>
      <c r="B24" s="162" t="s">
        <v>164</v>
      </c>
      <c r="C24" s="158">
        <f>SUM(C21:C23)</f>
        <v>24561662</v>
      </c>
      <c r="D24" s="158">
        <f>SUM(D21:D23)</f>
        <v>27561959</v>
      </c>
      <c r="E24" s="158">
        <f>+D24-C24</f>
        <v>3000297</v>
      </c>
      <c r="F24" s="159">
        <f>IF(C24=0,0,E24/C24)</f>
        <v>0.1221536637056564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5874170</v>
      </c>
      <c r="D28" s="157">
        <v>6098792</v>
      </c>
      <c r="E28" s="157">
        <f>+D28-C28</f>
        <v>224622</v>
      </c>
      <c r="F28" s="161">
        <f>IF(C28=0,0,E28/C28)</f>
        <v>3.8238934181339661E-2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5874170</v>
      </c>
      <c r="D30" s="158">
        <f>SUM(D27:D29)</f>
        <v>6098792</v>
      </c>
      <c r="E30" s="158">
        <f>+D30-C30</f>
        <v>224622</v>
      </c>
      <c r="F30" s="159">
        <f>IF(C30=0,0,E30/C30)</f>
        <v>3.8238934181339661E-2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27961334</v>
      </c>
      <c r="D33" s="157">
        <v>30038207</v>
      </c>
      <c r="E33" s="157">
        <f>+D33-C33</f>
        <v>2076873</v>
      </c>
      <c r="F33" s="161">
        <f>IF(C33=0,0,E33/C33)</f>
        <v>7.4276606402255349E-2</v>
      </c>
    </row>
    <row r="34" spans="1:6" ht="15" customHeight="1" x14ac:dyDescent="0.2">
      <c r="A34" s="147">
        <v>2</v>
      </c>
      <c r="B34" s="160" t="s">
        <v>173</v>
      </c>
      <c r="C34" s="157">
        <v>7087645</v>
      </c>
      <c r="D34" s="157">
        <v>11851556</v>
      </c>
      <c r="E34" s="157">
        <f>+D34-C34</f>
        <v>4763911</v>
      </c>
      <c r="F34" s="161">
        <f>IF(C34=0,0,E34/C34)</f>
        <v>0.67214300377628955</v>
      </c>
    </row>
    <row r="35" spans="1:6" ht="15.75" customHeight="1" x14ac:dyDescent="0.25">
      <c r="A35" s="147"/>
      <c r="B35" s="162" t="s">
        <v>174</v>
      </c>
      <c r="C35" s="158">
        <f>SUM(C33:C34)</f>
        <v>35048979</v>
      </c>
      <c r="D35" s="158">
        <f>SUM(D33:D34)</f>
        <v>41889763</v>
      </c>
      <c r="E35" s="158">
        <f>+D35-C35</f>
        <v>6840784</v>
      </c>
      <c r="F35" s="159">
        <f>IF(C35=0,0,E35/C35)</f>
        <v>0.19517783955989132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3666553</v>
      </c>
      <c r="D38" s="157">
        <v>3689036</v>
      </c>
      <c r="E38" s="157">
        <f>+D38-C38</f>
        <v>22483</v>
      </c>
      <c r="F38" s="161">
        <f>IF(C38=0,0,E38/C38)</f>
        <v>6.1319173621654996E-3</v>
      </c>
    </row>
    <row r="39" spans="1:6" ht="15" customHeight="1" x14ac:dyDescent="0.2">
      <c r="A39" s="147">
        <v>2</v>
      </c>
      <c r="B39" s="160" t="s">
        <v>178</v>
      </c>
      <c r="C39" s="157">
        <v>6221284</v>
      </c>
      <c r="D39" s="157">
        <v>7115624</v>
      </c>
      <c r="E39" s="157">
        <f>+D39-C39</f>
        <v>894340</v>
      </c>
      <c r="F39" s="161">
        <f>IF(C39=0,0,E39/C39)</f>
        <v>0.14375489046955581</v>
      </c>
    </row>
    <row r="40" spans="1:6" ht="15" customHeight="1" x14ac:dyDescent="0.2">
      <c r="A40" s="147">
        <v>3</v>
      </c>
      <c r="B40" s="160" t="s">
        <v>179</v>
      </c>
      <c r="C40" s="157">
        <v>51285</v>
      </c>
      <c r="D40" s="157">
        <v>218734</v>
      </c>
      <c r="E40" s="157">
        <f>+D40-C40</f>
        <v>167449</v>
      </c>
      <c r="F40" s="161">
        <f>IF(C40=0,0,E40/C40)</f>
        <v>3.2650677586038803</v>
      </c>
    </row>
    <row r="41" spans="1:6" ht="15.75" customHeight="1" x14ac:dyDescent="0.25">
      <c r="A41" s="147"/>
      <c r="B41" s="162" t="s">
        <v>180</v>
      </c>
      <c r="C41" s="158">
        <f>SUM(C38:C40)</f>
        <v>9939122</v>
      </c>
      <c r="D41" s="158">
        <f>SUM(D38:D40)</f>
        <v>11023394</v>
      </c>
      <c r="E41" s="158">
        <f>+D41-C41</f>
        <v>1084272</v>
      </c>
      <c r="F41" s="159">
        <f>IF(C41=0,0,E41/C41)</f>
        <v>0.10909132617549115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1353274</v>
      </c>
      <c r="D47" s="157">
        <v>962851</v>
      </c>
      <c r="E47" s="157">
        <f>+D47-C47</f>
        <v>-390423</v>
      </c>
      <c r="F47" s="161">
        <f>IF(C47=0,0,E47/C47)</f>
        <v>-0.28850255011180292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5454971</v>
      </c>
      <c r="D50" s="157">
        <v>3338483</v>
      </c>
      <c r="E50" s="157">
        <f>+D50-C50</f>
        <v>-2116488</v>
      </c>
      <c r="F50" s="161">
        <f>IF(C50=0,0,E50/C50)</f>
        <v>-0.38799253011610879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196260</v>
      </c>
      <c r="D53" s="157">
        <v>223063</v>
      </c>
      <c r="E53" s="157">
        <f t="shared" ref="E53:E59" si="0">+D53-C53</f>
        <v>26803</v>
      </c>
      <c r="F53" s="161">
        <f t="shared" ref="F53:F59" si="1">IF(C53=0,0,E53/C53)</f>
        <v>0.1365688372567003</v>
      </c>
    </row>
    <row r="54" spans="1:6" ht="15" customHeight="1" x14ac:dyDescent="0.2">
      <c r="A54" s="147">
        <v>2</v>
      </c>
      <c r="B54" s="160" t="s">
        <v>189</v>
      </c>
      <c r="C54" s="157">
        <v>1267431</v>
      </c>
      <c r="D54" s="157">
        <v>859348</v>
      </c>
      <c r="E54" s="157">
        <f t="shared" si="0"/>
        <v>-408083</v>
      </c>
      <c r="F54" s="161">
        <f t="shared" si="1"/>
        <v>-0.32197650207388018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1730197</v>
      </c>
      <c r="D56" s="157">
        <v>1953626</v>
      </c>
      <c r="E56" s="157">
        <f t="shared" si="0"/>
        <v>223429</v>
      </c>
      <c r="F56" s="161">
        <f t="shared" si="1"/>
        <v>0.12913500601376607</v>
      </c>
    </row>
    <row r="57" spans="1:6" ht="15" customHeight="1" x14ac:dyDescent="0.2">
      <c r="A57" s="147">
        <v>5</v>
      </c>
      <c r="B57" s="160" t="s">
        <v>192</v>
      </c>
      <c r="C57" s="157">
        <v>731330</v>
      </c>
      <c r="D57" s="157">
        <v>823830</v>
      </c>
      <c r="E57" s="157">
        <f t="shared" si="0"/>
        <v>92500</v>
      </c>
      <c r="F57" s="161">
        <f t="shared" si="1"/>
        <v>0.12648188916084394</v>
      </c>
    </row>
    <row r="58" spans="1:6" ht="15" customHeight="1" x14ac:dyDescent="0.2">
      <c r="A58" s="147">
        <v>6</v>
      </c>
      <c r="B58" s="160" t="s">
        <v>193</v>
      </c>
      <c r="C58" s="157">
        <v>180209</v>
      </c>
      <c r="D58" s="157">
        <v>218005</v>
      </c>
      <c r="E58" s="157">
        <f t="shared" si="0"/>
        <v>37796</v>
      </c>
      <c r="F58" s="161">
        <f t="shared" si="1"/>
        <v>0.20973425300623166</v>
      </c>
    </row>
    <row r="59" spans="1:6" ht="15.75" customHeight="1" x14ac:dyDescent="0.25">
      <c r="A59" s="147"/>
      <c r="B59" s="162" t="s">
        <v>194</v>
      </c>
      <c r="C59" s="158">
        <f>SUM(C53:C58)</f>
        <v>4105427</v>
      </c>
      <c r="D59" s="158">
        <f>SUM(D53:D58)</f>
        <v>4077872</v>
      </c>
      <c r="E59" s="158">
        <f t="shared" si="0"/>
        <v>-27555</v>
      </c>
      <c r="F59" s="159">
        <f t="shared" si="1"/>
        <v>-6.7118475130601516E-3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270562</v>
      </c>
      <c r="D62" s="157">
        <v>283801</v>
      </c>
      <c r="E62" s="157">
        <f t="shared" ref="E62:E90" si="2">+D62-C62</f>
        <v>13239</v>
      </c>
      <c r="F62" s="161">
        <f t="shared" ref="F62:F90" si="3">IF(C62=0,0,E62/C62)</f>
        <v>4.8931483356864598E-2</v>
      </c>
    </row>
    <row r="63" spans="1:6" ht="15" customHeight="1" x14ac:dyDescent="0.2">
      <c r="A63" s="147">
        <v>2</v>
      </c>
      <c r="B63" s="160" t="s">
        <v>198</v>
      </c>
      <c r="C63" s="157">
        <v>1588789</v>
      </c>
      <c r="D63" s="157">
        <v>1774351</v>
      </c>
      <c r="E63" s="157">
        <f t="shared" si="2"/>
        <v>185562</v>
      </c>
      <c r="F63" s="161">
        <f t="shared" si="3"/>
        <v>0.11679461526986906</v>
      </c>
    </row>
    <row r="64" spans="1:6" ht="15" customHeight="1" x14ac:dyDescent="0.2">
      <c r="A64" s="147">
        <v>3</v>
      </c>
      <c r="B64" s="160" t="s">
        <v>199</v>
      </c>
      <c r="C64" s="157">
        <v>2295360</v>
      </c>
      <c r="D64" s="157">
        <v>2323896</v>
      </c>
      <c r="E64" s="157">
        <f t="shared" si="2"/>
        <v>28536</v>
      </c>
      <c r="F64" s="161">
        <f t="shared" si="3"/>
        <v>1.2432036804684233E-2</v>
      </c>
    </row>
    <row r="65" spans="1:6" ht="15" customHeight="1" x14ac:dyDescent="0.2">
      <c r="A65" s="147">
        <v>4</v>
      </c>
      <c r="B65" s="160" t="s">
        <v>200</v>
      </c>
      <c r="C65" s="157">
        <v>829595</v>
      </c>
      <c r="D65" s="157">
        <v>856980</v>
      </c>
      <c r="E65" s="157">
        <f t="shared" si="2"/>
        <v>27385</v>
      </c>
      <c r="F65" s="161">
        <f t="shared" si="3"/>
        <v>3.3010083233384967E-2</v>
      </c>
    </row>
    <row r="66" spans="1:6" ht="15" customHeight="1" x14ac:dyDescent="0.2">
      <c r="A66" s="147">
        <v>5</v>
      </c>
      <c r="B66" s="160" t="s">
        <v>201</v>
      </c>
      <c r="C66" s="157">
        <v>0</v>
      </c>
      <c r="D66" s="157">
        <v>0</v>
      </c>
      <c r="E66" s="157">
        <f t="shared" si="2"/>
        <v>0</v>
      </c>
      <c r="F66" s="161">
        <f t="shared" si="3"/>
        <v>0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7170538</v>
      </c>
      <c r="D68" s="157">
        <v>7699811</v>
      </c>
      <c r="E68" s="157">
        <f t="shared" si="2"/>
        <v>529273</v>
      </c>
      <c r="F68" s="161">
        <f t="shared" si="3"/>
        <v>7.3812174205059644E-2</v>
      </c>
    </row>
    <row r="69" spans="1:6" ht="15" customHeight="1" x14ac:dyDescent="0.2">
      <c r="A69" s="147">
        <v>8</v>
      </c>
      <c r="B69" s="160" t="s">
        <v>204</v>
      </c>
      <c r="C69" s="157">
        <v>423585</v>
      </c>
      <c r="D69" s="157">
        <v>463185</v>
      </c>
      <c r="E69" s="157">
        <f t="shared" si="2"/>
        <v>39600</v>
      </c>
      <c r="F69" s="161">
        <f t="shared" si="3"/>
        <v>9.3487729735472216E-2</v>
      </c>
    </row>
    <row r="70" spans="1:6" ht="15" customHeight="1" x14ac:dyDescent="0.2">
      <c r="A70" s="147">
        <v>9</v>
      </c>
      <c r="B70" s="160" t="s">
        <v>205</v>
      </c>
      <c r="C70" s="157">
        <v>198186</v>
      </c>
      <c r="D70" s="157">
        <v>198305</v>
      </c>
      <c r="E70" s="157">
        <f t="shared" si="2"/>
        <v>119</v>
      </c>
      <c r="F70" s="161">
        <f t="shared" si="3"/>
        <v>6.0044604563389947E-4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2883823</v>
      </c>
      <c r="D73" s="157">
        <v>2793626</v>
      </c>
      <c r="E73" s="157">
        <f t="shared" si="2"/>
        <v>-90197</v>
      </c>
      <c r="F73" s="161">
        <f t="shared" si="3"/>
        <v>-3.1276884885098707E-2</v>
      </c>
    </row>
    <row r="74" spans="1:6" ht="15" customHeight="1" x14ac:dyDescent="0.2">
      <c r="A74" s="147">
        <v>13</v>
      </c>
      <c r="B74" s="160" t="s">
        <v>209</v>
      </c>
      <c r="C74" s="157">
        <v>0</v>
      </c>
      <c r="D74" s="157">
        <v>0</v>
      </c>
      <c r="E74" s="157">
        <f t="shared" si="2"/>
        <v>0</v>
      </c>
      <c r="F74" s="161">
        <f t="shared" si="3"/>
        <v>0</v>
      </c>
    </row>
    <row r="75" spans="1:6" ht="15" customHeight="1" x14ac:dyDescent="0.2">
      <c r="A75" s="147">
        <v>14</v>
      </c>
      <c r="B75" s="160" t="s">
        <v>210</v>
      </c>
      <c r="C75" s="157">
        <v>136878</v>
      </c>
      <c r="D75" s="157">
        <v>128263</v>
      </c>
      <c r="E75" s="157">
        <f t="shared" si="2"/>
        <v>-8615</v>
      </c>
      <c r="F75" s="161">
        <f t="shared" si="3"/>
        <v>-6.2939259778781106E-2</v>
      </c>
    </row>
    <row r="76" spans="1:6" ht="15" customHeight="1" x14ac:dyDescent="0.2">
      <c r="A76" s="147">
        <v>15</v>
      </c>
      <c r="B76" s="160" t="s">
        <v>211</v>
      </c>
      <c r="C76" s="157">
        <v>383161</v>
      </c>
      <c r="D76" s="157">
        <v>640985</v>
      </c>
      <c r="E76" s="157">
        <f t="shared" si="2"/>
        <v>257824</v>
      </c>
      <c r="F76" s="161">
        <f t="shared" si="3"/>
        <v>0.67288685435104301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1454802</v>
      </c>
      <c r="D78" s="157">
        <v>804169</v>
      </c>
      <c r="E78" s="157">
        <f t="shared" si="2"/>
        <v>-650633</v>
      </c>
      <c r="F78" s="161">
        <f t="shared" si="3"/>
        <v>-0.44723130707821407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312531</v>
      </c>
      <c r="D84" s="157">
        <v>375875</v>
      </c>
      <c r="E84" s="157">
        <f t="shared" si="2"/>
        <v>63344</v>
      </c>
      <c r="F84" s="161">
        <f t="shared" si="3"/>
        <v>0.20268069407514774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24508122</v>
      </c>
      <c r="D88" s="157">
        <v>22322905</v>
      </c>
      <c r="E88" s="157">
        <f t="shared" si="2"/>
        <v>-2185217</v>
      </c>
      <c r="F88" s="161">
        <f t="shared" si="3"/>
        <v>-8.9162972177141933E-2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42455932</v>
      </c>
      <c r="D90" s="158">
        <f>SUM(D62:D89)</f>
        <v>40666152</v>
      </c>
      <c r="E90" s="158">
        <f t="shared" si="2"/>
        <v>-1789780</v>
      </c>
      <c r="F90" s="159">
        <f t="shared" si="3"/>
        <v>-4.2156182085462165E-2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13083348</v>
      </c>
      <c r="D93" s="157">
        <v>16976282</v>
      </c>
      <c r="E93" s="157">
        <f>+D93-C93</f>
        <v>3892934</v>
      </c>
      <c r="F93" s="161">
        <f>IF(C93=0,0,E93/C93)</f>
        <v>0.29754876198355346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227226738</v>
      </c>
      <c r="D95" s="158">
        <f>+D93+D90+D59+D50+D47+D44+D41+D35+D30+D24+D18</f>
        <v>241388483</v>
      </c>
      <c r="E95" s="158">
        <f>+D95-C95</f>
        <v>14161745</v>
      </c>
      <c r="F95" s="159">
        <f>IF(C95=0,0,E95/C95)</f>
        <v>6.232428949448722E-2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23445911</v>
      </c>
      <c r="D103" s="157">
        <v>23210024</v>
      </c>
      <c r="E103" s="157">
        <f t="shared" ref="E103:E121" si="4">D103-C103</f>
        <v>-235887</v>
      </c>
      <c r="F103" s="161">
        <f t="shared" ref="F103:F121" si="5">IF(C103=0,0,E103/C103)</f>
        <v>-1.0060901451003546E-2</v>
      </c>
    </row>
    <row r="104" spans="1:6" ht="15" customHeight="1" x14ac:dyDescent="0.2">
      <c r="A104" s="147">
        <v>2</v>
      </c>
      <c r="B104" s="169" t="s">
        <v>234</v>
      </c>
      <c r="C104" s="157">
        <v>1133502</v>
      </c>
      <c r="D104" s="157">
        <v>1076032</v>
      </c>
      <c r="E104" s="157">
        <f t="shared" si="4"/>
        <v>-57470</v>
      </c>
      <c r="F104" s="161">
        <f t="shared" si="5"/>
        <v>-5.0701277986276161E-2</v>
      </c>
    </row>
    <row r="105" spans="1:6" ht="15" customHeight="1" x14ac:dyDescent="0.2">
      <c r="A105" s="147">
        <v>3</v>
      </c>
      <c r="B105" s="169" t="s">
        <v>235</v>
      </c>
      <c r="C105" s="157">
        <v>4911176</v>
      </c>
      <c r="D105" s="157">
        <v>3820073</v>
      </c>
      <c r="E105" s="157">
        <f t="shared" si="4"/>
        <v>-1091103</v>
      </c>
      <c r="F105" s="161">
        <f t="shared" si="5"/>
        <v>-0.22216735869372223</v>
      </c>
    </row>
    <row r="106" spans="1:6" ht="15" customHeight="1" x14ac:dyDescent="0.2">
      <c r="A106" s="147">
        <v>4</v>
      </c>
      <c r="B106" s="169" t="s">
        <v>236</v>
      </c>
      <c r="C106" s="157">
        <v>2129187</v>
      </c>
      <c r="D106" s="157">
        <v>1815638</v>
      </c>
      <c r="E106" s="157">
        <f t="shared" si="4"/>
        <v>-313549</v>
      </c>
      <c r="F106" s="161">
        <f t="shared" si="5"/>
        <v>-0.14726231185893959</v>
      </c>
    </row>
    <row r="107" spans="1:6" ht="15" customHeight="1" x14ac:dyDescent="0.2">
      <c r="A107" s="147">
        <v>5</v>
      </c>
      <c r="B107" s="169" t="s">
        <v>237</v>
      </c>
      <c r="C107" s="157">
        <v>10439903</v>
      </c>
      <c r="D107" s="157">
        <v>10794854</v>
      </c>
      <c r="E107" s="157">
        <f t="shared" si="4"/>
        <v>354951</v>
      </c>
      <c r="F107" s="161">
        <f t="shared" si="5"/>
        <v>3.3999453826343021E-2</v>
      </c>
    </row>
    <row r="108" spans="1:6" ht="15" customHeight="1" x14ac:dyDescent="0.2">
      <c r="A108" s="147">
        <v>6</v>
      </c>
      <c r="B108" s="169" t="s">
        <v>238</v>
      </c>
      <c r="C108" s="157">
        <v>543419</v>
      </c>
      <c r="D108" s="157">
        <v>565612</v>
      </c>
      <c r="E108" s="157">
        <f t="shared" si="4"/>
        <v>22193</v>
      </c>
      <c r="F108" s="161">
        <f t="shared" si="5"/>
        <v>4.0839573147055955E-2</v>
      </c>
    </row>
    <row r="109" spans="1:6" ht="15" customHeight="1" x14ac:dyDescent="0.2">
      <c r="A109" s="147">
        <v>7</v>
      </c>
      <c r="B109" s="169" t="s">
        <v>239</v>
      </c>
      <c r="C109" s="157">
        <v>0</v>
      </c>
      <c r="D109" s="157">
        <v>0</v>
      </c>
      <c r="E109" s="157">
        <f t="shared" si="4"/>
        <v>0</v>
      </c>
      <c r="F109" s="161">
        <f t="shared" si="5"/>
        <v>0</v>
      </c>
    </row>
    <row r="110" spans="1:6" ht="15" customHeight="1" x14ac:dyDescent="0.2">
      <c r="A110" s="147">
        <v>8</v>
      </c>
      <c r="B110" s="169" t="s">
        <v>240</v>
      </c>
      <c r="C110" s="157">
        <v>1384586</v>
      </c>
      <c r="D110" s="157">
        <v>2383725</v>
      </c>
      <c r="E110" s="157">
        <f t="shared" si="4"/>
        <v>999139</v>
      </c>
      <c r="F110" s="161">
        <f t="shared" si="5"/>
        <v>0.72161570317770074</v>
      </c>
    </row>
    <row r="111" spans="1:6" ht="15" customHeight="1" x14ac:dyDescent="0.2">
      <c r="A111" s="147">
        <v>9</v>
      </c>
      <c r="B111" s="169" t="s">
        <v>241</v>
      </c>
      <c r="C111" s="157">
        <v>2772404</v>
      </c>
      <c r="D111" s="157">
        <v>1923283</v>
      </c>
      <c r="E111" s="157">
        <f t="shared" si="4"/>
        <v>-849121</v>
      </c>
      <c r="F111" s="161">
        <f t="shared" si="5"/>
        <v>-0.3062760694328821</v>
      </c>
    </row>
    <row r="112" spans="1:6" ht="15" customHeight="1" x14ac:dyDescent="0.2">
      <c r="A112" s="147">
        <v>10</v>
      </c>
      <c r="B112" s="169" t="s">
        <v>242</v>
      </c>
      <c r="C112" s="157">
        <v>3851800</v>
      </c>
      <c r="D112" s="157">
        <v>3849656</v>
      </c>
      <c r="E112" s="157">
        <f t="shared" si="4"/>
        <v>-2144</v>
      </c>
      <c r="F112" s="161">
        <f t="shared" si="5"/>
        <v>-5.5662287761566026E-4</v>
      </c>
    </row>
    <row r="113" spans="1:6" ht="15" customHeight="1" x14ac:dyDescent="0.2">
      <c r="A113" s="147">
        <v>11</v>
      </c>
      <c r="B113" s="169" t="s">
        <v>243</v>
      </c>
      <c r="C113" s="157">
        <v>2592221</v>
      </c>
      <c r="D113" s="157">
        <v>2743729</v>
      </c>
      <c r="E113" s="157">
        <f t="shared" si="4"/>
        <v>151508</v>
      </c>
      <c r="F113" s="161">
        <f t="shared" si="5"/>
        <v>5.8447177150404997E-2</v>
      </c>
    </row>
    <row r="114" spans="1:6" ht="15" customHeight="1" x14ac:dyDescent="0.2">
      <c r="A114" s="147">
        <v>12</v>
      </c>
      <c r="B114" s="169" t="s">
        <v>244</v>
      </c>
      <c r="C114" s="157">
        <v>3984269</v>
      </c>
      <c r="D114" s="157">
        <v>3798984</v>
      </c>
      <c r="E114" s="157">
        <f t="shared" si="4"/>
        <v>-185285</v>
      </c>
      <c r="F114" s="161">
        <f t="shared" si="5"/>
        <v>-4.6504139153254964E-2</v>
      </c>
    </row>
    <row r="115" spans="1:6" ht="15" customHeight="1" x14ac:dyDescent="0.2">
      <c r="A115" s="147">
        <v>13</v>
      </c>
      <c r="B115" s="169" t="s">
        <v>245</v>
      </c>
      <c r="C115" s="157">
        <v>5803090</v>
      </c>
      <c r="D115" s="157">
        <v>5964409</v>
      </c>
      <c r="E115" s="157">
        <f t="shared" si="4"/>
        <v>161319</v>
      </c>
      <c r="F115" s="161">
        <f t="shared" si="5"/>
        <v>2.7798810633645178E-2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2900434</v>
      </c>
      <c r="D117" s="157">
        <v>2938335</v>
      </c>
      <c r="E117" s="157">
        <f t="shared" si="4"/>
        <v>37901</v>
      </c>
      <c r="F117" s="161">
        <f t="shared" si="5"/>
        <v>1.3067354747599841E-2</v>
      </c>
    </row>
    <row r="118" spans="1:6" ht="15" customHeight="1" x14ac:dyDescent="0.2">
      <c r="A118" s="147">
        <v>16</v>
      </c>
      <c r="B118" s="169" t="s">
        <v>247</v>
      </c>
      <c r="C118" s="157">
        <v>567362</v>
      </c>
      <c r="D118" s="157">
        <v>555978</v>
      </c>
      <c r="E118" s="157">
        <f t="shared" si="4"/>
        <v>-11384</v>
      </c>
      <c r="F118" s="161">
        <f t="shared" si="5"/>
        <v>-2.0064791085761823E-2</v>
      </c>
    </row>
    <row r="119" spans="1:6" ht="15" customHeight="1" x14ac:dyDescent="0.2">
      <c r="A119" s="147">
        <v>17</v>
      </c>
      <c r="B119" s="169" t="s">
        <v>248</v>
      </c>
      <c r="C119" s="157">
        <v>7789076</v>
      </c>
      <c r="D119" s="157">
        <v>8170144</v>
      </c>
      <c r="E119" s="157">
        <f t="shared" si="4"/>
        <v>381068</v>
      </c>
      <c r="F119" s="161">
        <f t="shared" si="5"/>
        <v>4.8923389629270529E-2</v>
      </c>
    </row>
    <row r="120" spans="1:6" ht="15" customHeight="1" x14ac:dyDescent="0.2">
      <c r="A120" s="147">
        <v>18</v>
      </c>
      <c r="B120" s="169" t="s">
        <v>249</v>
      </c>
      <c r="C120" s="157">
        <v>37631451</v>
      </c>
      <c r="D120" s="157">
        <v>40979797</v>
      </c>
      <c r="E120" s="157">
        <f t="shared" si="4"/>
        <v>3348346</v>
      </c>
      <c r="F120" s="161">
        <f t="shared" si="5"/>
        <v>8.8977329096345495E-2</v>
      </c>
    </row>
    <row r="121" spans="1:6" ht="15.75" customHeight="1" x14ac:dyDescent="0.25">
      <c r="A121" s="147"/>
      <c r="B121" s="165" t="s">
        <v>250</v>
      </c>
      <c r="C121" s="158">
        <f>SUM(C103:C120)</f>
        <v>111879791</v>
      </c>
      <c r="D121" s="158">
        <f>SUM(D103:D120)</f>
        <v>114590273</v>
      </c>
      <c r="E121" s="158">
        <f t="shared" si="4"/>
        <v>2710482</v>
      </c>
      <c r="F121" s="159">
        <f t="shared" si="5"/>
        <v>2.4226734567282127E-2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">
      <c r="A125" s="147">
        <v>2</v>
      </c>
      <c r="B125" s="169" t="s">
        <v>253</v>
      </c>
      <c r="C125" s="157">
        <v>5553277</v>
      </c>
      <c r="D125" s="157">
        <v>5556647</v>
      </c>
      <c r="E125" s="157">
        <f t="shared" si="6"/>
        <v>3370</v>
      </c>
      <c r="F125" s="161">
        <f t="shared" si="7"/>
        <v>6.0684889300497704E-4</v>
      </c>
    </row>
    <row r="126" spans="1:6" ht="15" customHeight="1" x14ac:dyDescent="0.2">
      <c r="A126" s="147">
        <v>3</v>
      </c>
      <c r="B126" s="169" t="s">
        <v>254</v>
      </c>
      <c r="C126" s="157">
        <v>1163716</v>
      </c>
      <c r="D126" s="157">
        <v>1109037</v>
      </c>
      <c r="E126" s="157">
        <f t="shared" si="6"/>
        <v>-54679</v>
      </c>
      <c r="F126" s="161">
        <f t="shared" si="7"/>
        <v>-4.6986549982985543E-2</v>
      </c>
    </row>
    <row r="127" spans="1:6" ht="15" customHeight="1" x14ac:dyDescent="0.2">
      <c r="A127" s="147">
        <v>4</v>
      </c>
      <c r="B127" s="169" t="s">
        <v>255</v>
      </c>
      <c r="C127" s="157">
        <v>4722684</v>
      </c>
      <c r="D127" s="157">
        <v>4188620</v>
      </c>
      <c r="E127" s="157">
        <f t="shared" si="6"/>
        <v>-534064</v>
      </c>
      <c r="F127" s="161">
        <f t="shared" si="7"/>
        <v>-0.11308484751467597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2489793</v>
      </c>
      <c r="D129" s="157">
        <v>2560739</v>
      </c>
      <c r="E129" s="157">
        <f t="shared" si="6"/>
        <v>70946</v>
      </c>
      <c r="F129" s="161">
        <f t="shared" si="7"/>
        <v>2.8494738317603109E-2</v>
      </c>
    </row>
    <row r="130" spans="1:6" ht="15.75" customHeight="1" x14ac:dyDescent="0.25">
      <c r="A130" s="147"/>
      <c r="B130" s="165" t="s">
        <v>258</v>
      </c>
      <c r="C130" s="158">
        <f>SUM(C124:C129)</f>
        <v>13929470</v>
      </c>
      <c r="D130" s="158">
        <f>SUM(D124:D129)</f>
        <v>13415043</v>
      </c>
      <c r="E130" s="158">
        <f t="shared" si="6"/>
        <v>-514427</v>
      </c>
      <c r="F130" s="159">
        <f t="shared" si="7"/>
        <v>-3.6930838000297214E-2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18378395</v>
      </c>
      <c r="D133" s="157">
        <v>20359601</v>
      </c>
      <c r="E133" s="157">
        <f t="shared" ref="E133:E167" si="8">D133-C133</f>
        <v>1981206</v>
      </c>
      <c r="F133" s="161">
        <f t="shared" ref="F133:F167" si="9">IF(C133=0,0,E133/C133)</f>
        <v>0.10780081720955502</v>
      </c>
    </row>
    <row r="134" spans="1:6" ht="15" customHeight="1" x14ac:dyDescent="0.2">
      <c r="A134" s="147">
        <v>2</v>
      </c>
      <c r="B134" s="169" t="s">
        <v>261</v>
      </c>
      <c r="C134" s="157">
        <v>721662</v>
      </c>
      <c r="D134" s="157">
        <v>732190</v>
      </c>
      <c r="E134" s="157">
        <f t="shared" si="8"/>
        <v>10528</v>
      </c>
      <c r="F134" s="161">
        <f t="shared" si="9"/>
        <v>1.458854699291358E-2</v>
      </c>
    </row>
    <row r="135" spans="1:6" ht="15" customHeight="1" x14ac:dyDescent="0.2">
      <c r="A135" s="147">
        <v>3</v>
      </c>
      <c r="B135" s="169" t="s">
        <v>262</v>
      </c>
      <c r="C135" s="157">
        <v>1183207</v>
      </c>
      <c r="D135" s="157">
        <v>1417507</v>
      </c>
      <c r="E135" s="157">
        <f t="shared" si="8"/>
        <v>234300</v>
      </c>
      <c r="F135" s="161">
        <f t="shared" si="9"/>
        <v>0.19802114084855821</v>
      </c>
    </row>
    <row r="136" spans="1:6" ht="15" customHeight="1" x14ac:dyDescent="0.2">
      <c r="A136" s="147">
        <v>4</v>
      </c>
      <c r="B136" s="169" t="s">
        <v>263</v>
      </c>
      <c r="C136" s="157">
        <v>3636382</v>
      </c>
      <c r="D136" s="157">
        <v>3775092</v>
      </c>
      <c r="E136" s="157">
        <f t="shared" si="8"/>
        <v>138710</v>
      </c>
      <c r="F136" s="161">
        <f t="shared" si="9"/>
        <v>3.8145057367460294E-2</v>
      </c>
    </row>
    <row r="137" spans="1:6" ht="15" customHeight="1" x14ac:dyDescent="0.2">
      <c r="A137" s="147">
        <v>5</v>
      </c>
      <c r="B137" s="169" t="s">
        <v>264</v>
      </c>
      <c r="C137" s="157">
        <v>3881563</v>
      </c>
      <c r="D137" s="157">
        <v>4554588</v>
      </c>
      <c r="E137" s="157">
        <f t="shared" si="8"/>
        <v>673025</v>
      </c>
      <c r="F137" s="161">
        <f t="shared" si="9"/>
        <v>0.17339020389466819</v>
      </c>
    </row>
    <row r="138" spans="1:6" ht="15" customHeight="1" x14ac:dyDescent="0.2">
      <c r="A138" s="147">
        <v>6</v>
      </c>
      <c r="B138" s="169" t="s">
        <v>265</v>
      </c>
      <c r="C138" s="157">
        <v>0</v>
      </c>
      <c r="D138" s="157">
        <v>0</v>
      </c>
      <c r="E138" s="157">
        <f t="shared" si="8"/>
        <v>0</v>
      </c>
      <c r="F138" s="161">
        <f t="shared" si="9"/>
        <v>0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517861</v>
      </c>
      <c r="D140" s="157">
        <v>819349</v>
      </c>
      <c r="E140" s="157">
        <f t="shared" si="8"/>
        <v>301488</v>
      </c>
      <c r="F140" s="161">
        <f t="shared" si="9"/>
        <v>0.5821793879052487</v>
      </c>
    </row>
    <row r="141" spans="1:6" ht="15" customHeight="1" x14ac:dyDescent="0.2">
      <c r="A141" s="147">
        <v>9</v>
      </c>
      <c r="B141" s="169" t="s">
        <v>268</v>
      </c>
      <c r="C141" s="157">
        <v>841630</v>
      </c>
      <c r="D141" s="157">
        <v>825253</v>
      </c>
      <c r="E141" s="157">
        <f t="shared" si="8"/>
        <v>-16377</v>
      </c>
      <c r="F141" s="161">
        <f t="shared" si="9"/>
        <v>-1.9458669486591494E-2</v>
      </c>
    </row>
    <row r="142" spans="1:6" ht="15" customHeight="1" x14ac:dyDescent="0.2">
      <c r="A142" s="147">
        <v>10</v>
      </c>
      <c r="B142" s="169" t="s">
        <v>269</v>
      </c>
      <c r="C142" s="157">
        <v>9978216</v>
      </c>
      <c r="D142" s="157">
        <v>9461098</v>
      </c>
      <c r="E142" s="157">
        <f t="shared" si="8"/>
        <v>-517118</v>
      </c>
      <c r="F142" s="161">
        <f t="shared" si="9"/>
        <v>-5.1824694915403716E-2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4000772</v>
      </c>
      <c r="D144" s="157">
        <v>5112424</v>
      </c>
      <c r="E144" s="157">
        <f t="shared" si="8"/>
        <v>1111652</v>
      </c>
      <c r="F144" s="161">
        <f t="shared" si="9"/>
        <v>0.2778593731409838</v>
      </c>
    </row>
    <row r="145" spans="1:6" ht="15" customHeight="1" x14ac:dyDescent="0.2">
      <c r="A145" s="147">
        <v>13</v>
      </c>
      <c r="B145" s="169" t="s">
        <v>272</v>
      </c>
      <c r="C145" s="157">
        <v>694502</v>
      </c>
      <c r="D145" s="157">
        <v>694808</v>
      </c>
      <c r="E145" s="157">
        <f t="shared" si="8"/>
        <v>306</v>
      </c>
      <c r="F145" s="161">
        <f t="shared" si="9"/>
        <v>4.4060348278334691E-4</v>
      </c>
    </row>
    <row r="146" spans="1:6" ht="15" customHeight="1" x14ac:dyDescent="0.2">
      <c r="A146" s="147">
        <v>14</v>
      </c>
      <c r="B146" s="169" t="s">
        <v>273</v>
      </c>
      <c r="C146" s="157">
        <v>704131</v>
      </c>
      <c r="D146" s="157">
        <v>581831</v>
      </c>
      <c r="E146" s="157">
        <f t="shared" si="8"/>
        <v>-122300</v>
      </c>
      <c r="F146" s="161">
        <f t="shared" si="9"/>
        <v>-0.17368927088851363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1390412</v>
      </c>
      <c r="D150" s="157">
        <v>1463546</v>
      </c>
      <c r="E150" s="157">
        <f t="shared" si="8"/>
        <v>73134</v>
      </c>
      <c r="F150" s="161">
        <f t="shared" si="9"/>
        <v>5.2598798054101947E-2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266827</v>
      </c>
      <c r="D152" s="157">
        <v>263041</v>
      </c>
      <c r="E152" s="157">
        <f t="shared" si="8"/>
        <v>-3786</v>
      </c>
      <c r="F152" s="161">
        <f t="shared" si="9"/>
        <v>-1.4188968882459421E-2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361844</v>
      </c>
      <c r="D155" s="157">
        <v>358698</v>
      </c>
      <c r="E155" s="157">
        <f t="shared" si="8"/>
        <v>-3146</v>
      </c>
      <c r="F155" s="161">
        <f t="shared" si="9"/>
        <v>-8.694354473198395E-3</v>
      </c>
    </row>
    <row r="156" spans="1:6" ht="15" customHeight="1" x14ac:dyDescent="0.2">
      <c r="A156" s="147">
        <v>24</v>
      </c>
      <c r="B156" s="169" t="s">
        <v>283</v>
      </c>
      <c r="C156" s="157">
        <v>11257986</v>
      </c>
      <c r="D156" s="157">
        <v>12114940</v>
      </c>
      <c r="E156" s="157">
        <f t="shared" si="8"/>
        <v>856954</v>
      </c>
      <c r="F156" s="161">
        <f t="shared" si="9"/>
        <v>7.6119654083776619E-2</v>
      </c>
    </row>
    <row r="157" spans="1:6" ht="15" customHeight="1" x14ac:dyDescent="0.2">
      <c r="A157" s="147">
        <v>25</v>
      </c>
      <c r="B157" s="169" t="s">
        <v>284</v>
      </c>
      <c r="C157" s="157">
        <v>1120317</v>
      </c>
      <c r="D157" s="157">
        <v>1174068</v>
      </c>
      <c r="E157" s="157">
        <f t="shared" si="8"/>
        <v>53751</v>
      </c>
      <c r="F157" s="161">
        <f t="shared" si="9"/>
        <v>4.7978384689333464E-2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1755562</v>
      </c>
      <c r="D164" s="157">
        <v>2009571</v>
      </c>
      <c r="E164" s="157">
        <f t="shared" si="8"/>
        <v>254009</v>
      </c>
      <c r="F164" s="161">
        <f t="shared" si="9"/>
        <v>0.14468813975239839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0</v>
      </c>
      <c r="D166" s="157">
        <v>0</v>
      </c>
      <c r="E166" s="157">
        <f t="shared" si="8"/>
        <v>0</v>
      </c>
      <c r="F166" s="161">
        <f t="shared" si="9"/>
        <v>0</v>
      </c>
    </row>
    <row r="167" spans="1:6" ht="15.75" customHeight="1" x14ac:dyDescent="0.25">
      <c r="A167" s="147"/>
      <c r="B167" s="165" t="s">
        <v>294</v>
      </c>
      <c r="C167" s="158">
        <f>SUM(C133:C166)</f>
        <v>60691269</v>
      </c>
      <c r="D167" s="158">
        <f>SUM(D133:D166)</f>
        <v>65717605</v>
      </c>
      <c r="E167" s="158">
        <f t="shared" si="8"/>
        <v>5026336</v>
      </c>
      <c r="F167" s="159">
        <f t="shared" si="9"/>
        <v>8.2818106835103419E-2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17042160</v>
      </c>
      <c r="D170" s="157">
        <v>17109908</v>
      </c>
      <c r="E170" s="157">
        <f t="shared" ref="E170:E183" si="10">D170-C170</f>
        <v>67748</v>
      </c>
      <c r="F170" s="161">
        <f t="shared" ref="F170:F183" si="11">IF(C170=0,0,E170/C170)</f>
        <v>3.9753176827350524E-3</v>
      </c>
    </row>
    <row r="171" spans="1:6" ht="15" customHeight="1" x14ac:dyDescent="0.2">
      <c r="A171" s="147">
        <v>2</v>
      </c>
      <c r="B171" s="169" t="s">
        <v>297</v>
      </c>
      <c r="C171" s="157">
        <v>3691234</v>
      </c>
      <c r="D171" s="157">
        <v>4066133</v>
      </c>
      <c r="E171" s="157">
        <f t="shared" si="10"/>
        <v>374899</v>
      </c>
      <c r="F171" s="161">
        <f t="shared" si="11"/>
        <v>0.10156467999590381</v>
      </c>
    </row>
    <row r="172" spans="1:6" ht="15" customHeight="1" x14ac:dyDescent="0.2">
      <c r="A172" s="147">
        <v>3</v>
      </c>
      <c r="B172" s="169" t="s">
        <v>298</v>
      </c>
      <c r="C172" s="157">
        <v>1210821</v>
      </c>
      <c r="D172" s="157">
        <v>1437405</v>
      </c>
      <c r="E172" s="157">
        <f t="shared" si="10"/>
        <v>226584</v>
      </c>
      <c r="F172" s="161">
        <f t="shared" si="11"/>
        <v>0.18713253238918057</v>
      </c>
    </row>
    <row r="173" spans="1:6" ht="15" customHeight="1" x14ac:dyDescent="0.2">
      <c r="A173" s="147">
        <v>4</v>
      </c>
      <c r="B173" s="169" t="s">
        <v>299</v>
      </c>
      <c r="C173" s="157">
        <v>1498094</v>
      </c>
      <c r="D173" s="157">
        <v>1544363</v>
      </c>
      <c r="E173" s="157">
        <f t="shared" si="10"/>
        <v>46269</v>
      </c>
      <c r="F173" s="161">
        <f t="shared" si="11"/>
        <v>3.0885244851124163E-2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1526434</v>
      </c>
      <c r="D176" s="157">
        <v>1548303</v>
      </c>
      <c r="E176" s="157">
        <f t="shared" si="10"/>
        <v>21869</v>
      </c>
      <c r="F176" s="161">
        <f t="shared" si="11"/>
        <v>1.4326855926951312E-2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9715470</v>
      </c>
      <c r="D179" s="157">
        <v>9945580</v>
      </c>
      <c r="E179" s="157">
        <f t="shared" si="10"/>
        <v>230110</v>
      </c>
      <c r="F179" s="161">
        <f t="shared" si="11"/>
        <v>2.3684906648880601E-2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4924121</v>
      </c>
      <c r="D181" s="157">
        <v>10465005</v>
      </c>
      <c r="E181" s="157">
        <f t="shared" si="10"/>
        <v>5540884</v>
      </c>
      <c r="F181" s="161">
        <f t="shared" si="11"/>
        <v>1.1252534208643532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39608334</v>
      </c>
      <c r="D183" s="158">
        <f>SUM(D170:D182)</f>
        <v>46116697</v>
      </c>
      <c r="E183" s="158">
        <f t="shared" si="10"/>
        <v>6508363</v>
      </c>
      <c r="F183" s="159">
        <f t="shared" si="11"/>
        <v>0.16431801953598957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1117874</v>
      </c>
      <c r="D186" s="157">
        <v>1548865</v>
      </c>
      <c r="E186" s="157">
        <f>D186-C186</f>
        <v>430991</v>
      </c>
      <c r="F186" s="161">
        <f>IF(C186=0,0,E186/C186)</f>
        <v>0.38554524034014565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227226738</v>
      </c>
      <c r="D188" s="158">
        <f>+D186+D183+D167+D130+D121</f>
        <v>241388483</v>
      </c>
      <c r="E188" s="158">
        <f>D188-C188</f>
        <v>14161745</v>
      </c>
      <c r="F188" s="159">
        <f>IF(C188=0,0,E188/C188)</f>
        <v>6.232428949448722E-2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FILING&amp;RSAINT MARY`S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227491163</v>
      </c>
      <c r="D11" s="183">
        <v>238729196</v>
      </c>
      <c r="E11" s="76">
        <v>251920803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5912911</v>
      </c>
      <c r="D12" s="185">
        <v>8705634</v>
      </c>
      <c r="E12" s="185">
        <v>8206509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233404074</v>
      </c>
      <c r="D13" s="76">
        <f>+D11+D12</f>
        <v>247434830</v>
      </c>
      <c r="E13" s="76">
        <f>+E11+E12</f>
        <v>260127312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221915377</v>
      </c>
      <c r="D14" s="185">
        <v>227226738</v>
      </c>
      <c r="E14" s="185">
        <v>241388483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11488697</v>
      </c>
      <c r="D15" s="76">
        <f>+D13-D14</f>
        <v>20208092</v>
      </c>
      <c r="E15" s="76">
        <f>+E13-E14</f>
        <v>18738829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6947833</v>
      </c>
      <c r="D16" s="185">
        <v>5016722</v>
      </c>
      <c r="E16" s="185">
        <v>2521831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18436530</v>
      </c>
      <c r="D17" s="76">
        <f>D15+D16</f>
        <v>25224814</v>
      </c>
      <c r="E17" s="76">
        <f>E15+E16</f>
        <v>21260660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4.7799483446578188E-2</v>
      </c>
      <c r="D20" s="189">
        <f>IF(+D27=0,0,+D24/+D27)</f>
        <v>8.0047406482175246E-2</v>
      </c>
      <c r="E20" s="189">
        <f>IF(+E27=0,0,+E24/+E27)</f>
        <v>7.1345479318773178E-2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2.8906918554218088E-2</v>
      </c>
      <c r="D21" s="189">
        <f>IF(D27=0,0,+D26/D27)</f>
        <v>1.9872018849779145E-2</v>
      </c>
      <c r="E21" s="189">
        <f>IF(E27=0,0,+E26/E27)</f>
        <v>9.6015200019137319E-3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7.6706402000796273E-2</v>
      </c>
      <c r="D22" s="189">
        <f>IF(D27=0,0,+D28/D27)</f>
        <v>9.9919425331954387E-2</v>
      </c>
      <c r="E22" s="189">
        <f>IF(E27=0,0,+E28/E27)</f>
        <v>8.0946999320686913E-2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11488697</v>
      </c>
      <c r="D24" s="76">
        <f>+D15</f>
        <v>20208092</v>
      </c>
      <c r="E24" s="76">
        <f>+E15</f>
        <v>18738829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233404074</v>
      </c>
      <c r="D25" s="76">
        <f>+D13</f>
        <v>247434830</v>
      </c>
      <c r="E25" s="76">
        <f>+E13</f>
        <v>260127312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6947833</v>
      </c>
      <c r="D26" s="76">
        <f>+D16</f>
        <v>5016722</v>
      </c>
      <c r="E26" s="76">
        <f>+E16</f>
        <v>2521831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240351907</v>
      </c>
      <c r="D27" s="76">
        <f>+D25+D26</f>
        <v>252451552</v>
      </c>
      <c r="E27" s="76">
        <f>+E25+E26</f>
        <v>262649143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18436530</v>
      </c>
      <c r="D28" s="76">
        <f>+D17</f>
        <v>25224814</v>
      </c>
      <c r="E28" s="76">
        <f>+E17</f>
        <v>21260660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31173000</v>
      </c>
      <c r="D31" s="76">
        <v>27668000</v>
      </c>
      <c r="E31" s="76">
        <v>27411000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49697000</v>
      </c>
      <c r="D32" s="76">
        <v>46764000</v>
      </c>
      <c r="E32" s="76">
        <v>45164000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31773000</v>
      </c>
      <c r="D33" s="76">
        <f>+D32-C32</f>
        <v>-2933000</v>
      </c>
      <c r="E33" s="76">
        <f>+E32-D32</f>
        <v>-1600000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2.7726000000000002</v>
      </c>
      <c r="D34" s="193">
        <f>IF(C32=0,0,+D33/C32)</f>
        <v>-5.9017646940459183E-2</v>
      </c>
      <c r="E34" s="193">
        <f>IF(D32=0,0,+E33/D32)</f>
        <v>-3.4214352921050378E-2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0.36709622545342924</v>
      </c>
      <c r="D38" s="195">
        <f>IF((D40+D41)=0,0,+D39/(D40+D41))</f>
        <v>0.33779606200965079</v>
      </c>
      <c r="E38" s="195">
        <f>IF((E40+E41)=0,0,+E39/(E40+E41))</f>
        <v>0.31973727262018925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221915377</v>
      </c>
      <c r="D39" s="76">
        <v>227226738</v>
      </c>
      <c r="E39" s="196">
        <v>241388483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598602640</v>
      </c>
      <c r="D40" s="76">
        <v>663968691</v>
      </c>
      <c r="E40" s="196">
        <v>746752338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5912911</v>
      </c>
      <c r="D41" s="76">
        <v>8705634</v>
      </c>
      <c r="E41" s="196">
        <v>8206510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1.0956907194037737</v>
      </c>
      <c r="D43" s="197">
        <f>IF(D38=0,0,IF((D46-D47)=0,0,((+D44-D45)/(D46-D47)/D38)))</f>
        <v>1.2119182725546811</v>
      </c>
      <c r="E43" s="197">
        <f>IF(E38=0,0,IF((E46-E47)=0,0,((+E44-E45)/(E46-E47)/E38)))</f>
        <v>1.2748849707909522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80113195</v>
      </c>
      <c r="D44" s="76">
        <v>88609518</v>
      </c>
      <c r="E44" s="196">
        <v>95211138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246168</v>
      </c>
      <c r="D45" s="76">
        <v>404836</v>
      </c>
      <c r="E45" s="196">
        <v>603311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211127757</v>
      </c>
      <c r="D46" s="76">
        <v>226835968</v>
      </c>
      <c r="E46" s="196">
        <v>244050898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12564167</v>
      </c>
      <c r="D47" s="76">
        <v>11377423</v>
      </c>
      <c r="E47" s="76">
        <v>11957493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0.98379889244915608</v>
      </c>
      <c r="D49" s="198">
        <f>IF(D38=0,0,IF(D51=0,0,(D50/D51)/D38))</f>
        <v>1.0374883639212447</v>
      </c>
      <c r="E49" s="198">
        <f>IF(E38=0,0,IF(E51=0,0,(E50/E51)/E38))</f>
        <v>1.0316972275045688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83130678</v>
      </c>
      <c r="D50" s="199">
        <v>90019262</v>
      </c>
      <c r="E50" s="199">
        <v>97154309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230183969</v>
      </c>
      <c r="D51" s="199">
        <v>256860682</v>
      </c>
      <c r="E51" s="199">
        <v>294521184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0.83811883229170303</v>
      </c>
      <c r="D53" s="198">
        <f>IF(D38=0,0,IF(D55=0,0,(D54/D55)/D38))</f>
        <v>0.82575397105874981</v>
      </c>
      <c r="E53" s="198">
        <f>IF(E38=0,0,IF(E55=0,0,(E54/E55)/E38))</f>
        <v>0.75905666775516134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48093069</v>
      </c>
      <c r="D54" s="199">
        <v>50013341</v>
      </c>
      <c r="E54" s="199">
        <v>50160732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156313675</v>
      </c>
      <c r="D55" s="199">
        <v>179300134</v>
      </c>
      <c r="E55" s="199">
        <v>206679023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4521846.8864920614</v>
      </c>
      <c r="D57" s="88">
        <f>+D60*D38</f>
        <v>3706496.678658288</v>
      </c>
      <c r="E57" s="88">
        <f>+E60*E38</f>
        <v>3630355.1855132454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248631</v>
      </c>
      <c r="D58" s="199">
        <v>894442</v>
      </c>
      <c r="E58" s="199">
        <v>3174277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12069248</v>
      </c>
      <c r="D59" s="199">
        <v>10078145</v>
      </c>
      <c r="E59" s="199">
        <v>8179905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12317879</v>
      </c>
      <c r="D60" s="76">
        <v>10972587</v>
      </c>
      <c r="E60" s="201">
        <v>11354182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2.0376446858353856E-2</v>
      </c>
      <c r="D62" s="202">
        <f>IF(D63=0,0,+D57/D63)</f>
        <v>1.6311886141930569E-2</v>
      </c>
      <c r="E62" s="202">
        <f>IF(E63=0,0,+E57/E63)</f>
        <v>1.503947139645948E-2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221915377</v>
      </c>
      <c r="D63" s="199">
        <v>227226738</v>
      </c>
      <c r="E63" s="199">
        <v>241388483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1.3634924473956158</v>
      </c>
      <c r="D67" s="203">
        <f>IF(D69=0,0,D68/D69)</f>
        <v>1.5591149361170877</v>
      </c>
      <c r="E67" s="203">
        <f>IF(E69=0,0,E68/E69)</f>
        <v>1.2047991582029463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62013000</v>
      </c>
      <c r="D68" s="204">
        <v>58696000</v>
      </c>
      <c r="E68" s="204">
        <v>52669000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45481000</v>
      </c>
      <c r="D69" s="204">
        <v>37647000</v>
      </c>
      <c r="E69" s="204">
        <v>43716000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48.367984038987991</v>
      </c>
      <c r="D71" s="203">
        <f>IF((D77/365)=0,0,+D74/(D77/365))</f>
        <v>41.368464367522904</v>
      </c>
      <c r="E71" s="203">
        <f>IF((E77/365)=0,0,+E74/(E77/365))</f>
        <v>21.115851456120591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28153000</v>
      </c>
      <c r="D72" s="183">
        <v>24610000</v>
      </c>
      <c r="E72" s="183">
        <v>13310000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29000</v>
      </c>
      <c r="D73" s="206">
        <v>17000</v>
      </c>
      <c r="E73" s="206">
        <v>17000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28182000</v>
      </c>
      <c r="D74" s="204">
        <f>+D72+D73</f>
        <v>24627000</v>
      </c>
      <c r="E74" s="204">
        <f>+E72+E73</f>
        <v>13327000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221915377</v>
      </c>
      <c r="D75" s="204">
        <f>+D14</f>
        <v>227226738</v>
      </c>
      <c r="E75" s="204">
        <f>+E14</f>
        <v>241388483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9245153</v>
      </c>
      <c r="D76" s="204">
        <v>9939122</v>
      </c>
      <c r="E76" s="204">
        <v>11023394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212670224</v>
      </c>
      <c r="D77" s="204">
        <f>+D75-D76</f>
        <v>217287616</v>
      </c>
      <c r="E77" s="204">
        <f>+E75-E76</f>
        <v>230365089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36.488582196047766</v>
      </c>
      <c r="D79" s="203">
        <f>IF((D84/365)=0,0,+D83/(D84/365))</f>
        <v>39.802609648130343</v>
      </c>
      <c r="E79" s="203">
        <f>IF((E84/365)=0,0,+E83/(E84/365))</f>
        <v>40.308957732244131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28777000</v>
      </c>
      <c r="D80" s="212">
        <v>26816000</v>
      </c>
      <c r="E80" s="212">
        <v>28548000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6035000</v>
      </c>
      <c r="D82" s="212">
        <v>783000</v>
      </c>
      <c r="E82" s="212">
        <v>727000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22742000</v>
      </c>
      <c r="D83" s="212">
        <f>+D80+D81-D82</f>
        <v>26033000</v>
      </c>
      <c r="E83" s="212">
        <f>+E80+E81-E82</f>
        <v>27821000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227491163</v>
      </c>
      <c r="D84" s="204">
        <f>+D11</f>
        <v>238729196</v>
      </c>
      <c r="E84" s="204">
        <f>+E11</f>
        <v>251920803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78.057777378369622</v>
      </c>
      <c r="D86" s="203">
        <f>IF((D90/365)=0,0,+D87/(D90/365))</f>
        <v>63.239476105255804</v>
      </c>
      <c r="E86" s="203">
        <f>IF((E90/365)=0,0,+E87/(E90/365))</f>
        <v>69.265443254728581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45481000</v>
      </c>
      <c r="D87" s="76">
        <f>+D69</f>
        <v>37647000</v>
      </c>
      <c r="E87" s="76">
        <f>+E69</f>
        <v>43716000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221915377</v>
      </c>
      <c r="D88" s="76">
        <f t="shared" si="0"/>
        <v>227226738</v>
      </c>
      <c r="E88" s="76">
        <f t="shared" si="0"/>
        <v>241388483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9245153</v>
      </c>
      <c r="D89" s="201">
        <f t="shared" si="0"/>
        <v>9939122</v>
      </c>
      <c r="E89" s="201">
        <f t="shared" si="0"/>
        <v>11023394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212670224</v>
      </c>
      <c r="D90" s="76">
        <f>+D88-D89</f>
        <v>217287616</v>
      </c>
      <c r="E90" s="76">
        <f>+E88-E89</f>
        <v>230365089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26.538611471566725</v>
      </c>
      <c r="D94" s="214">
        <f>IF(D96=0,0,(D95/D96)*100)</f>
        <v>24.987042686999406</v>
      </c>
      <c r="E94" s="214">
        <f>IF(E96=0,0,(E95/E96)*100)</f>
        <v>24.583730234330346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49697000</v>
      </c>
      <c r="D95" s="76">
        <f>+D32</f>
        <v>46764000</v>
      </c>
      <c r="E95" s="76">
        <f>+E32</f>
        <v>45164000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187263000</v>
      </c>
      <c r="D96" s="76">
        <v>187153000</v>
      </c>
      <c r="E96" s="76">
        <v>183715000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42.344213972129168</v>
      </c>
      <c r="D98" s="214">
        <f>IF(D104=0,0,(D101/D104)*100)</f>
        <v>63.398424231497344</v>
      </c>
      <c r="E98" s="214">
        <f>IF(E104=0,0,(E101/E104)*100)</f>
        <v>59.449505570389469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18436530</v>
      </c>
      <c r="D99" s="76">
        <f>+D28</f>
        <v>25224814</v>
      </c>
      <c r="E99" s="76">
        <f>+E28</f>
        <v>21260660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9245153</v>
      </c>
      <c r="D100" s="201">
        <f>+D76</f>
        <v>9939122</v>
      </c>
      <c r="E100" s="201">
        <f>+E76</f>
        <v>11023394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27681683</v>
      </c>
      <c r="D101" s="76">
        <f>+D99+D100</f>
        <v>35163936</v>
      </c>
      <c r="E101" s="76">
        <f>+E99+E100</f>
        <v>32284054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45481000</v>
      </c>
      <c r="D102" s="204">
        <f>+D69</f>
        <v>37647000</v>
      </c>
      <c r="E102" s="204">
        <f>+E69</f>
        <v>43716000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19892000</v>
      </c>
      <c r="D103" s="216">
        <v>17818000</v>
      </c>
      <c r="E103" s="216">
        <v>10589000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65373000</v>
      </c>
      <c r="D104" s="204">
        <f>+D102+D103</f>
        <v>55465000</v>
      </c>
      <c r="E104" s="204">
        <f>+E102+E103</f>
        <v>54305000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28.584977510813491</v>
      </c>
      <c r="D106" s="214">
        <f>IF(D109=0,0,(D107/D109)*100)</f>
        <v>27.589730884766656</v>
      </c>
      <c r="E106" s="214">
        <f>IF(E109=0,0,(E107/E109)*100)</f>
        <v>18.992699944397611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19892000</v>
      </c>
      <c r="D107" s="204">
        <f>+D103</f>
        <v>17818000</v>
      </c>
      <c r="E107" s="204">
        <f>+E103</f>
        <v>10589000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49697000</v>
      </c>
      <c r="D108" s="204">
        <f>+D32</f>
        <v>46764000</v>
      </c>
      <c r="E108" s="204">
        <f>+E32</f>
        <v>45164000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69589000</v>
      </c>
      <c r="D109" s="204">
        <f>+D107+D108</f>
        <v>64582000</v>
      </c>
      <c r="E109" s="204">
        <f>+E107+E108</f>
        <v>55753000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9.1785387637621163</v>
      </c>
      <c r="D111" s="214">
        <f>IF((+D113+D115)=0,0,((+D112+D113+D114)/(+D113+D115)))</f>
        <v>9.5015890097869686</v>
      </c>
      <c r="E111" s="214">
        <f>IF((+E113+E115)=0,0,((+E112+E113+E114)/(+E113+E115)))</f>
        <v>4.7146352071250517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18436530</v>
      </c>
      <c r="D112" s="76">
        <f>+D17</f>
        <v>25224814</v>
      </c>
      <c r="E112" s="76">
        <f>+E17</f>
        <v>21260660</v>
      </c>
    </row>
    <row r="113" spans="1:8" ht="24" customHeight="1" x14ac:dyDescent="0.2">
      <c r="A113" s="85">
        <v>17</v>
      </c>
      <c r="B113" s="75" t="s">
        <v>88</v>
      </c>
      <c r="C113" s="218">
        <v>1471201</v>
      </c>
      <c r="D113" s="76">
        <v>1353274</v>
      </c>
      <c r="E113" s="76">
        <v>962851</v>
      </c>
    </row>
    <row r="114" spans="1:8" ht="24" customHeight="1" x14ac:dyDescent="0.2">
      <c r="A114" s="85">
        <v>18</v>
      </c>
      <c r="B114" s="75" t="s">
        <v>374</v>
      </c>
      <c r="C114" s="218">
        <v>9245153</v>
      </c>
      <c r="D114" s="76">
        <v>9939122</v>
      </c>
      <c r="E114" s="76">
        <v>11023394</v>
      </c>
    </row>
    <row r="115" spans="1:8" ht="24" customHeight="1" x14ac:dyDescent="0.2">
      <c r="A115" s="85">
        <v>19</v>
      </c>
      <c r="B115" s="75" t="s">
        <v>104</v>
      </c>
      <c r="C115" s="218">
        <v>1705000</v>
      </c>
      <c r="D115" s="76">
        <v>2490000</v>
      </c>
      <c r="E115" s="76">
        <v>6089000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12.965929282078944</v>
      </c>
      <c r="D119" s="214">
        <f>IF(+D121=0,0,(+D120)/(+D121))</f>
        <v>12.999136140999175</v>
      </c>
      <c r="E119" s="214">
        <f>IF(+E121=0,0,(+E120)/(+E121))</f>
        <v>12.699718435175228</v>
      </c>
    </row>
    <row r="120" spans="1:8" ht="24" customHeight="1" x14ac:dyDescent="0.2">
      <c r="A120" s="85">
        <v>21</v>
      </c>
      <c r="B120" s="75" t="s">
        <v>378</v>
      </c>
      <c r="C120" s="218">
        <v>119872000</v>
      </c>
      <c r="D120" s="218">
        <v>129200000</v>
      </c>
      <c r="E120" s="218">
        <v>139994000</v>
      </c>
    </row>
    <row r="121" spans="1:8" ht="24" customHeight="1" x14ac:dyDescent="0.2">
      <c r="A121" s="85">
        <v>22</v>
      </c>
      <c r="B121" s="75" t="s">
        <v>374</v>
      </c>
      <c r="C121" s="218">
        <v>9245153</v>
      </c>
      <c r="D121" s="218">
        <v>9939122</v>
      </c>
      <c r="E121" s="218">
        <v>11023394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51833</v>
      </c>
      <c r="D124" s="218">
        <v>50924</v>
      </c>
      <c r="E124" s="218">
        <v>50556</v>
      </c>
    </row>
    <row r="125" spans="1:8" ht="24" customHeight="1" x14ac:dyDescent="0.2">
      <c r="A125" s="85">
        <v>2</v>
      </c>
      <c r="B125" s="75" t="s">
        <v>381</v>
      </c>
      <c r="C125" s="218">
        <v>11729</v>
      </c>
      <c r="D125" s="218">
        <v>11642</v>
      </c>
      <c r="E125" s="218">
        <v>11845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4.4192173245801003</v>
      </c>
      <c r="D126" s="219">
        <f>IF(D125=0,0,D124/D125)</f>
        <v>4.3741625150317818</v>
      </c>
      <c r="E126" s="219">
        <f>IF(E125=0,0,E124/E125)</f>
        <v>4.2681300126635708</v>
      </c>
    </row>
    <row r="127" spans="1:8" ht="24" customHeight="1" x14ac:dyDescent="0.2">
      <c r="A127" s="85">
        <v>4</v>
      </c>
      <c r="B127" s="75" t="s">
        <v>383</v>
      </c>
      <c r="C127" s="218">
        <v>182</v>
      </c>
      <c r="D127" s="218">
        <v>182</v>
      </c>
      <c r="E127" s="218">
        <v>168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182</v>
      </c>
      <c r="E128" s="218">
        <v>210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182</v>
      </c>
      <c r="D129" s="218">
        <v>379</v>
      </c>
      <c r="E129" s="218">
        <v>379</v>
      </c>
    </row>
    <row r="130" spans="1:7" ht="24" customHeight="1" x14ac:dyDescent="0.2">
      <c r="A130" s="85">
        <v>7</v>
      </c>
      <c r="B130" s="75" t="s">
        <v>386</v>
      </c>
      <c r="C130" s="193">
        <v>0.7802</v>
      </c>
      <c r="D130" s="193">
        <v>0.76649999999999996</v>
      </c>
      <c r="E130" s="193">
        <v>0.82440000000000002</v>
      </c>
    </row>
    <row r="131" spans="1:7" ht="24" customHeight="1" x14ac:dyDescent="0.2">
      <c r="A131" s="85">
        <v>8</v>
      </c>
      <c r="B131" s="75" t="s">
        <v>387</v>
      </c>
      <c r="C131" s="193">
        <v>0.7802</v>
      </c>
      <c r="D131" s="193">
        <v>0.76649999999999996</v>
      </c>
      <c r="E131" s="193">
        <v>0.65949999999999998</v>
      </c>
    </row>
    <row r="132" spans="1:7" ht="24" customHeight="1" x14ac:dyDescent="0.2">
      <c r="A132" s="85">
        <v>9</v>
      </c>
      <c r="B132" s="75" t="s">
        <v>388</v>
      </c>
      <c r="C132" s="219">
        <v>1355.2</v>
      </c>
      <c r="D132" s="219">
        <v>1315.4</v>
      </c>
      <c r="E132" s="219">
        <v>1384.2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0.33171185145458093</v>
      </c>
      <c r="D135" s="227">
        <f>IF(D149=0,0,D143/D149)</f>
        <v>0.32450106145140512</v>
      </c>
      <c r="E135" s="227">
        <f>IF(E149=0,0,E143/E149)</f>
        <v>0.31080372057703554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0.38453550589085272</v>
      </c>
      <c r="D136" s="227">
        <f>IF(D149=0,0,D144/D149)</f>
        <v>0.38685661761120599</v>
      </c>
      <c r="E136" s="227">
        <f>IF(E149=0,0,E144/E149)</f>
        <v>0.39440276114676187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0.26113094823637933</v>
      </c>
      <c r="D137" s="227">
        <f>IF(D149=0,0,D145/D149)</f>
        <v>0.27004305538858608</v>
      </c>
      <c r="E137" s="227">
        <f>IF(E149=0,0,E145/E149)</f>
        <v>0.27677050674329456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2.0989160689301338E-2</v>
      </c>
      <c r="D139" s="227">
        <f>IF(D149=0,0,D147/D149)</f>
        <v>1.7135481166837128E-2</v>
      </c>
      <c r="E139" s="227">
        <f>IF(E149=0,0,E147/E149)</f>
        <v>1.601266228643532E-2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1.6325337288856595E-3</v>
      </c>
      <c r="D140" s="227">
        <f>IF(D149=0,0,D148/D149)</f>
        <v>1.4637843819656851E-3</v>
      </c>
      <c r="E140" s="227">
        <f>IF(E149=0,0,E148/E149)</f>
        <v>2.0103492464726637E-3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198563590</v>
      </c>
      <c r="D143" s="229">
        <f>+D46-D147</f>
        <v>215458545</v>
      </c>
      <c r="E143" s="229">
        <f>+E46-E147</f>
        <v>232093405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230183969</v>
      </c>
      <c r="D144" s="229">
        <f>+D51</f>
        <v>256860682</v>
      </c>
      <c r="E144" s="229">
        <f>+E51</f>
        <v>294521184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156313675</v>
      </c>
      <c r="D145" s="229">
        <f>+D55</f>
        <v>179300134</v>
      </c>
      <c r="E145" s="229">
        <f>+E55</f>
        <v>206679023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12564167</v>
      </c>
      <c r="D147" s="229">
        <f>+D47</f>
        <v>11377423</v>
      </c>
      <c r="E147" s="229">
        <f>+E47</f>
        <v>11957493</v>
      </c>
    </row>
    <row r="148" spans="1:7" ht="20.100000000000001" customHeight="1" x14ac:dyDescent="0.2">
      <c r="A148" s="226">
        <v>13</v>
      </c>
      <c r="B148" s="224" t="s">
        <v>402</v>
      </c>
      <c r="C148" s="230">
        <v>977239</v>
      </c>
      <c r="D148" s="229">
        <v>971907</v>
      </c>
      <c r="E148" s="229">
        <v>1501233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598602640</v>
      </c>
      <c r="D149" s="229">
        <f>SUM(D143:D148)</f>
        <v>663968691</v>
      </c>
      <c r="E149" s="229">
        <f>SUM(E143:E148)</f>
        <v>746752338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0.37745988520633378</v>
      </c>
      <c r="D152" s="227">
        <f>IF(D166=0,0,D160/D166)</f>
        <v>0.38539485895954478</v>
      </c>
      <c r="E152" s="227">
        <f>IF(E166=0,0,E160/E166)</f>
        <v>0.389484493103601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0.39288423963752522</v>
      </c>
      <c r="D153" s="227">
        <f>IF(D166=0,0,D161/D166)</f>
        <v>0.39332334741745695</v>
      </c>
      <c r="E153" s="227">
        <f>IF(E166=0,0,E161/E166)</f>
        <v>0.39996793070509506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0.22729285145370803</v>
      </c>
      <c r="D154" s="227">
        <f>IF(D166=0,0,D162/D166)</f>
        <v>0.21852450531810338</v>
      </c>
      <c r="E154" s="227">
        <f>IF(E166=0,0,E162/E166)</f>
        <v>0.20650328726740103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1.1634155985482315E-3</v>
      </c>
      <c r="D156" s="227">
        <f>IF(D166=0,0,D164/D166)</f>
        <v>1.7688597655365536E-3</v>
      </c>
      <c r="E156" s="227">
        <f>IF(E166=0,0,E164/E166)</f>
        <v>2.4837297977346696E-3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1.1996081038847593E-3</v>
      </c>
      <c r="D157" s="227">
        <f>IF(D166=0,0,D165/D166)</f>
        <v>9.8842853935835547E-4</v>
      </c>
      <c r="E157" s="227">
        <f>IF(E166=0,0,E165/E166)</f>
        <v>1.560559126168238E-3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79867027</v>
      </c>
      <c r="D160" s="229">
        <f>+D44-D164</f>
        <v>88204682</v>
      </c>
      <c r="E160" s="229">
        <f>+E44-E164</f>
        <v>94607827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83130678</v>
      </c>
      <c r="D161" s="229">
        <f>+D50</f>
        <v>90019262</v>
      </c>
      <c r="E161" s="229">
        <f>+E50</f>
        <v>97154309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48093069</v>
      </c>
      <c r="D162" s="229">
        <f>+D54</f>
        <v>50013341</v>
      </c>
      <c r="E162" s="229">
        <f>+E54</f>
        <v>50160732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246168</v>
      </c>
      <c r="D164" s="229">
        <f>+D45</f>
        <v>404836</v>
      </c>
      <c r="E164" s="229">
        <f>+E45</f>
        <v>603311</v>
      </c>
    </row>
    <row r="165" spans="1:6" ht="20.100000000000001" customHeight="1" x14ac:dyDescent="0.2">
      <c r="A165" s="226">
        <v>13</v>
      </c>
      <c r="B165" s="224" t="s">
        <v>417</v>
      </c>
      <c r="C165" s="230">
        <v>253826</v>
      </c>
      <c r="D165" s="229">
        <v>226220</v>
      </c>
      <c r="E165" s="229">
        <v>379068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211590768</v>
      </c>
      <c r="D166" s="229">
        <f>SUM(D160:D165)</f>
        <v>228868341</v>
      </c>
      <c r="E166" s="229">
        <f>SUM(E160:E165)</f>
        <v>242905247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3306</v>
      </c>
      <c r="D169" s="218">
        <v>2984</v>
      </c>
      <c r="E169" s="218">
        <v>2873</v>
      </c>
    </row>
    <row r="170" spans="1:6" ht="20.100000000000001" customHeight="1" x14ac:dyDescent="0.2">
      <c r="A170" s="226">
        <v>2</v>
      </c>
      <c r="B170" s="224" t="s">
        <v>420</v>
      </c>
      <c r="C170" s="218">
        <v>5053</v>
      </c>
      <c r="D170" s="218">
        <v>5069</v>
      </c>
      <c r="E170" s="218">
        <v>5226</v>
      </c>
    </row>
    <row r="171" spans="1:6" ht="20.100000000000001" customHeight="1" x14ac:dyDescent="0.2">
      <c r="A171" s="226">
        <v>3</v>
      </c>
      <c r="B171" s="224" t="s">
        <v>421</v>
      </c>
      <c r="C171" s="218">
        <v>3345</v>
      </c>
      <c r="D171" s="218">
        <v>3568</v>
      </c>
      <c r="E171" s="218">
        <v>3721</v>
      </c>
    </row>
    <row r="172" spans="1:6" ht="20.100000000000001" customHeight="1" x14ac:dyDescent="0.2">
      <c r="A172" s="226">
        <v>4</v>
      </c>
      <c r="B172" s="224" t="s">
        <v>422</v>
      </c>
      <c r="C172" s="218">
        <v>3345</v>
      </c>
      <c r="D172" s="218">
        <v>3568</v>
      </c>
      <c r="E172" s="218">
        <v>3721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25</v>
      </c>
      <c r="D174" s="218">
        <v>21</v>
      </c>
      <c r="E174" s="218">
        <v>25</v>
      </c>
    </row>
    <row r="175" spans="1:6" ht="20.100000000000001" customHeight="1" x14ac:dyDescent="0.2">
      <c r="A175" s="226">
        <v>7</v>
      </c>
      <c r="B175" s="224" t="s">
        <v>425</v>
      </c>
      <c r="C175" s="218">
        <v>178</v>
      </c>
      <c r="D175" s="218">
        <v>115</v>
      </c>
      <c r="E175" s="218">
        <v>78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11729</v>
      </c>
      <c r="D176" s="218">
        <f>+D169+D170+D171+D174</f>
        <v>11642</v>
      </c>
      <c r="E176" s="218">
        <f>+E169+E170+E171+E174</f>
        <v>11845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1.1974</v>
      </c>
      <c r="D179" s="231">
        <v>1.3211999999999999</v>
      </c>
      <c r="E179" s="231">
        <v>1.302</v>
      </c>
    </row>
    <row r="180" spans="1:6" ht="20.100000000000001" customHeight="1" x14ac:dyDescent="0.2">
      <c r="A180" s="226">
        <v>2</v>
      </c>
      <c r="B180" s="224" t="s">
        <v>420</v>
      </c>
      <c r="C180" s="231">
        <v>1.49895</v>
      </c>
      <c r="D180" s="231">
        <v>1.5586</v>
      </c>
      <c r="E180" s="231">
        <v>1.5737000000000001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1.0439700000000001</v>
      </c>
      <c r="D181" s="231">
        <v>1.0233000000000001</v>
      </c>
      <c r="E181" s="231">
        <v>1.05047</v>
      </c>
    </row>
    <row r="182" spans="1:6" ht="20.100000000000001" customHeight="1" x14ac:dyDescent="0.2">
      <c r="A182" s="226">
        <v>4</v>
      </c>
      <c r="B182" s="224" t="s">
        <v>422</v>
      </c>
      <c r="C182" s="231">
        <v>1.0439700000000001</v>
      </c>
      <c r="D182" s="231">
        <v>1.0233000000000001</v>
      </c>
      <c r="E182" s="231">
        <v>1.05047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0.73607</v>
      </c>
      <c r="D184" s="231">
        <v>0.74590000000000001</v>
      </c>
      <c r="E184" s="231">
        <v>1.14717</v>
      </c>
    </row>
    <row r="185" spans="1:6" ht="20.100000000000001" customHeight="1" x14ac:dyDescent="0.2">
      <c r="A185" s="226">
        <v>7</v>
      </c>
      <c r="B185" s="224" t="s">
        <v>425</v>
      </c>
      <c r="C185" s="231">
        <v>0.93111999999999995</v>
      </c>
      <c r="D185" s="231">
        <v>1.1728000000000001</v>
      </c>
      <c r="E185" s="231">
        <v>0.96269000000000005</v>
      </c>
    </row>
    <row r="186" spans="1:6" ht="20.100000000000001" customHeight="1" x14ac:dyDescent="0.2">
      <c r="A186" s="226">
        <v>8</v>
      </c>
      <c r="B186" s="224" t="s">
        <v>429</v>
      </c>
      <c r="C186" s="231">
        <v>1.2825709999999999</v>
      </c>
      <c r="D186" s="231">
        <v>1.332228</v>
      </c>
      <c r="E186" s="231">
        <v>1.3425309999999999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7991</v>
      </c>
      <c r="D189" s="218">
        <v>7886</v>
      </c>
      <c r="E189" s="218">
        <v>8274</v>
      </c>
    </row>
    <row r="190" spans="1:6" ht="20.100000000000001" customHeight="1" x14ac:dyDescent="0.2">
      <c r="A190" s="226">
        <v>2</v>
      </c>
      <c r="B190" s="224" t="s">
        <v>433</v>
      </c>
      <c r="C190" s="218">
        <v>62003</v>
      </c>
      <c r="D190" s="218">
        <v>62335</v>
      </c>
      <c r="E190" s="218">
        <v>63488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69994</v>
      </c>
      <c r="D191" s="218">
        <f>+D190+D189</f>
        <v>70221</v>
      </c>
      <c r="E191" s="218">
        <f>+E190+E189</f>
        <v>71762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FILING&amp;RSAINT MARY`S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197697</v>
      </c>
      <c r="D14" s="258">
        <v>1092277</v>
      </c>
      <c r="E14" s="258">
        <f t="shared" ref="E14:E24" si="0">D14-C14</f>
        <v>894580</v>
      </c>
      <c r="F14" s="259">
        <f t="shared" ref="F14:F24" si="1">IF(C14=0,0,E14/C14)</f>
        <v>4.5250054376141264</v>
      </c>
    </row>
    <row r="15" spans="1:7" ht="20.25" customHeight="1" x14ac:dyDescent="0.3">
      <c r="A15" s="256">
        <v>2</v>
      </c>
      <c r="B15" s="257" t="s">
        <v>442</v>
      </c>
      <c r="C15" s="258">
        <v>98447</v>
      </c>
      <c r="D15" s="258">
        <v>437326</v>
      </c>
      <c r="E15" s="258">
        <f t="shared" si="0"/>
        <v>338879</v>
      </c>
      <c r="F15" s="259">
        <f t="shared" si="1"/>
        <v>3.4422481131979645</v>
      </c>
    </row>
    <row r="16" spans="1:7" ht="20.25" customHeight="1" x14ac:dyDescent="0.3">
      <c r="A16" s="256">
        <v>3</v>
      </c>
      <c r="B16" s="257" t="s">
        <v>443</v>
      </c>
      <c r="C16" s="258">
        <v>285673</v>
      </c>
      <c r="D16" s="258">
        <v>885514</v>
      </c>
      <c r="E16" s="258">
        <f t="shared" si="0"/>
        <v>599841</v>
      </c>
      <c r="F16" s="259">
        <f t="shared" si="1"/>
        <v>2.0997469134289903</v>
      </c>
    </row>
    <row r="17" spans="1:6" ht="20.25" customHeight="1" x14ac:dyDescent="0.3">
      <c r="A17" s="256">
        <v>4</v>
      </c>
      <c r="B17" s="257" t="s">
        <v>444</v>
      </c>
      <c r="C17" s="258">
        <v>71762</v>
      </c>
      <c r="D17" s="258">
        <v>166996</v>
      </c>
      <c r="E17" s="258">
        <f t="shared" si="0"/>
        <v>95234</v>
      </c>
      <c r="F17" s="259">
        <f t="shared" si="1"/>
        <v>1.327081185028288</v>
      </c>
    </row>
    <row r="18" spans="1:6" ht="20.25" customHeight="1" x14ac:dyDescent="0.3">
      <c r="A18" s="256">
        <v>5</v>
      </c>
      <c r="B18" s="257" t="s">
        <v>381</v>
      </c>
      <c r="C18" s="260">
        <v>9</v>
      </c>
      <c r="D18" s="260">
        <v>41</v>
      </c>
      <c r="E18" s="260">
        <f t="shared" si="0"/>
        <v>32</v>
      </c>
      <c r="F18" s="259">
        <f t="shared" si="1"/>
        <v>3.5555555555555554</v>
      </c>
    </row>
    <row r="19" spans="1:6" ht="20.25" customHeight="1" x14ac:dyDescent="0.3">
      <c r="A19" s="256">
        <v>6</v>
      </c>
      <c r="B19" s="257" t="s">
        <v>380</v>
      </c>
      <c r="C19" s="260">
        <v>27</v>
      </c>
      <c r="D19" s="260">
        <v>170</v>
      </c>
      <c r="E19" s="260">
        <f t="shared" si="0"/>
        <v>143</v>
      </c>
      <c r="F19" s="259">
        <f t="shared" si="1"/>
        <v>5.2962962962962967</v>
      </c>
    </row>
    <row r="20" spans="1:6" ht="20.25" customHeight="1" x14ac:dyDescent="0.3">
      <c r="A20" s="256">
        <v>7</v>
      </c>
      <c r="B20" s="257" t="s">
        <v>445</v>
      </c>
      <c r="C20" s="260">
        <v>175</v>
      </c>
      <c r="D20" s="260">
        <v>508</v>
      </c>
      <c r="E20" s="260">
        <f t="shared" si="0"/>
        <v>333</v>
      </c>
      <c r="F20" s="259">
        <f t="shared" si="1"/>
        <v>1.9028571428571428</v>
      </c>
    </row>
    <row r="21" spans="1:6" ht="20.25" customHeight="1" x14ac:dyDescent="0.3">
      <c r="A21" s="256">
        <v>8</v>
      </c>
      <c r="B21" s="257" t="s">
        <v>446</v>
      </c>
      <c r="C21" s="260">
        <v>9</v>
      </c>
      <c r="D21" s="260">
        <v>75</v>
      </c>
      <c r="E21" s="260">
        <f t="shared" si="0"/>
        <v>66</v>
      </c>
      <c r="F21" s="259">
        <f t="shared" si="1"/>
        <v>7.333333333333333</v>
      </c>
    </row>
    <row r="22" spans="1:6" ht="20.25" customHeight="1" x14ac:dyDescent="0.3">
      <c r="A22" s="256">
        <v>9</v>
      </c>
      <c r="B22" s="257" t="s">
        <v>447</v>
      </c>
      <c r="C22" s="260">
        <v>9</v>
      </c>
      <c r="D22" s="260">
        <v>33</v>
      </c>
      <c r="E22" s="260">
        <f t="shared" si="0"/>
        <v>24</v>
      </c>
      <c r="F22" s="259">
        <f t="shared" si="1"/>
        <v>2.6666666666666665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483370</v>
      </c>
      <c r="D23" s="263">
        <f>+D14+D16</f>
        <v>1977791</v>
      </c>
      <c r="E23" s="263">
        <f t="shared" si="0"/>
        <v>1494421</v>
      </c>
      <c r="F23" s="264">
        <f t="shared" si="1"/>
        <v>3.0916709766845272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170209</v>
      </c>
      <c r="D24" s="263">
        <f>+D15+D17</f>
        <v>604322</v>
      </c>
      <c r="E24" s="263">
        <f t="shared" si="0"/>
        <v>434113</v>
      </c>
      <c r="F24" s="264">
        <f t="shared" si="1"/>
        <v>2.5504703041554793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8711983</v>
      </c>
      <c r="D40" s="258">
        <v>12923893</v>
      </c>
      <c r="E40" s="258">
        <f t="shared" ref="E40:E50" si="4">D40-C40</f>
        <v>4211910</v>
      </c>
      <c r="F40" s="259">
        <f t="shared" ref="F40:F50" si="5">IF(C40=0,0,E40/C40)</f>
        <v>0.48346168719567062</v>
      </c>
    </row>
    <row r="41" spans="1:6" ht="20.25" customHeight="1" x14ac:dyDescent="0.3">
      <c r="A41" s="256">
        <v>2</v>
      </c>
      <c r="B41" s="257" t="s">
        <v>442</v>
      </c>
      <c r="C41" s="258">
        <v>3293662</v>
      </c>
      <c r="D41" s="258">
        <v>4923398</v>
      </c>
      <c r="E41" s="258">
        <f t="shared" si="4"/>
        <v>1629736</v>
      </c>
      <c r="F41" s="259">
        <f t="shared" si="5"/>
        <v>0.49480972850280325</v>
      </c>
    </row>
    <row r="42" spans="1:6" ht="20.25" customHeight="1" x14ac:dyDescent="0.3">
      <c r="A42" s="256">
        <v>3</v>
      </c>
      <c r="B42" s="257" t="s">
        <v>443</v>
      </c>
      <c r="C42" s="258">
        <v>7085666</v>
      </c>
      <c r="D42" s="258">
        <v>11698001</v>
      </c>
      <c r="E42" s="258">
        <f t="shared" si="4"/>
        <v>4612335</v>
      </c>
      <c r="F42" s="259">
        <f t="shared" si="5"/>
        <v>0.65093881083302541</v>
      </c>
    </row>
    <row r="43" spans="1:6" ht="20.25" customHeight="1" x14ac:dyDescent="0.3">
      <c r="A43" s="256">
        <v>4</v>
      </c>
      <c r="B43" s="257" t="s">
        <v>444</v>
      </c>
      <c r="C43" s="258">
        <v>1588790</v>
      </c>
      <c r="D43" s="258">
        <v>2555602</v>
      </c>
      <c r="E43" s="258">
        <f t="shared" si="4"/>
        <v>966812</v>
      </c>
      <c r="F43" s="259">
        <f t="shared" si="5"/>
        <v>0.60852094990527383</v>
      </c>
    </row>
    <row r="44" spans="1:6" ht="20.25" customHeight="1" x14ac:dyDescent="0.3">
      <c r="A44" s="256">
        <v>5</v>
      </c>
      <c r="B44" s="257" t="s">
        <v>381</v>
      </c>
      <c r="C44" s="260">
        <v>286</v>
      </c>
      <c r="D44" s="260">
        <v>391</v>
      </c>
      <c r="E44" s="260">
        <f t="shared" si="4"/>
        <v>105</v>
      </c>
      <c r="F44" s="259">
        <f t="shared" si="5"/>
        <v>0.36713286713286714</v>
      </c>
    </row>
    <row r="45" spans="1:6" ht="20.25" customHeight="1" x14ac:dyDescent="0.3">
      <c r="A45" s="256">
        <v>6</v>
      </c>
      <c r="B45" s="257" t="s">
        <v>380</v>
      </c>
      <c r="C45" s="260">
        <v>1332</v>
      </c>
      <c r="D45" s="260">
        <v>1861</v>
      </c>
      <c r="E45" s="260">
        <f t="shared" si="4"/>
        <v>529</v>
      </c>
      <c r="F45" s="259">
        <f t="shared" si="5"/>
        <v>0.39714714714714716</v>
      </c>
    </row>
    <row r="46" spans="1:6" ht="20.25" customHeight="1" x14ac:dyDescent="0.3">
      <c r="A46" s="256">
        <v>7</v>
      </c>
      <c r="B46" s="257" t="s">
        <v>445</v>
      </c>
      <c r="C46" s="260">
        <v>4237</v>
      </c>
      <c r="D46" s="260">
        <v>6985</v>
      </c>
      <c r="E46" s="260">
        <f t="shared" si="4"/>
        <v>2748</v>
      </c>
      <c r="F46" s="259">
        <f t="shared" si="5"/>
        <v>0.64857210290299738</v>
      </c>
    </row>
    <row r="47" spans="1:6" ht="20.25" customHeight="1" x14ac:dyDescent="0.3">
      <c r="A47" s="256">
        <v>8</v>
      </c>
      <c r="B47" s="257" t="s">
        <v>446</v>
      </c>
      <c r="C47" s="260">
        <v>351</v>
      </c>
      <c r="D47" s="260">
        <v>482</v>
      </c>
      <c r="E47" s="260">
        <f t="shared" si="4"/>
        <v>131</v>
      </c>
      <c r="F47" s="259">
        <f t="shared" si="5"/>
        <v>0.37321937321937321</v>
      </c>
    </row>
    <row r="48" spans="1:6" ht="20.25" customHeight="1" x14ac:dyDescent="0.3">
      <c r="A48" s="256">
        <v>9</v>
      </c>
      <c r="B48" s="257" t="s">
        <v>447</v>
      </c>
      <c r="C48" s="260">
        <v>228</v>
      </c>
      <c r="D48" s="260">
        <v>336</v>
      </c>
      <c r="E48" s="260">
        <f t="shared" si="4"/>
        <v>108</v>
      </c>
      <c r="F48" s="259">
        <f t="shared" si="5"/>
        <v>0.47368421052631576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15797649</v>
      </c>
      <c r="D49" s="263">
        <f>+D40+D42</f>
        <v>24621894</v>
      </c>
      <c r="E49" s="263">
        <f t="shared" si="4"/>
        <v>8824245</v>
      </c>
      <c r="F49" s="264">
        <f t="shared" si="5"/>
        <v>0.55857963422278845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4882452</v>
      </c>
      <c r="D50" s="263">
        <f>+D41+D43</f>
        <v>7479000</v>
      </c>
      <c r="E50" s="263">
        <f t="shared" si="4"/>
        <v>2596548</v>
      </c>
      <c r="F50" s="264">
        <f t="shared" si="5"/>
        <v>0.53181229431441412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888887</v>
      </c>
      <c r="D66" s="258">
        <v>1620119</v>
      </c>
      <c r="E66" s="258">
        <f t="shared" ref="E66:E76" si="8">D66-C66</f>
        <v>731232</v>
      </c>
      <c r="F66" s="259">
        <f t="shared" ref="F66:F76" si="9">IF(C66=0,0,E66/C66)</f>
        <v>0.82263774810521473</v>
      </c>
    </row>
    <row r="67" spans="1:6" ht="20.25" customHeight="1" x14ac:dyDescent="0.3">
      <c r="A67" s="256">
        <v>2</v>
      </c>
      <c r="B67" s="257" t="s">
        <v>442</v>
      </c>
      <c r="C67" s="258">
        <v>306761</v>
      </c>
      <c r="D67" s="258">
        <v>674889</v>
      </c>
      <c r="E67" s="258">
        <f t="shared" si="8"/>
        <v>368128</v>
      </c>
      <c r="F67" s="259">
        <f t="shared" si="9"/>
        <v>1.2000482460286672</v>
      </c>
    </row>
    <row r="68" spans="1:6" ht="20.25" customHeight="1" x14ac:dyDescent="0.3">
      <c r="A68" s="256">
        <v>3</v>
      </c>
      <c r="B68" s="257" t="s">
        <v>443</v>
      </c>
      <c r="C68" s="258">
        <v>472643</v>
      </c>
      <c r="D68" s="258">
        <v>1716357</v>
      </c>
      <c r="E68" s="258">
        <f t="shared" si="8"/>
        <v>1243714</v>
      </c>
      <c r="F68" s="259">
        <f t="shared" si="9"/>
        <v>2.6314025596486141</v>
      </c>
    </row>
    <row r="69" spans="1:6" ht="20.25" customHeight="1" x14ac:dyDescent="0.3">
      <c r="A69" s="256">
        <v>4</v>
      </c>
      <c r="B69" s="257" t="s">
        <v>444</v>
      </c>
      <c r="C69" s="258">
        <v>92741</v>
      </c>
      <c r="D69" s="258">
        <v>317664</v>
      </c>
      <c r="E69" s="258">
        <f t="shared" si="8"/>
        <v>224923</v>
      </c>
      <c r="F69" s="259">
        <f t="shared" si="9"/>
        <v>2.4252811593577812</v>
      </c>
    </row>
    <row r="70" spans="1:6" ht="20.25" customHeight="1" x14ac:dyDescent="0.3">
      <c r="A70" s="256">
        <v>5</v>
      </c>
      <c r="B70" s="257" t="s">
        <v>381</v>
      </c>
      <c r="C70" s="260">
        <v>20</v>
      </c>
      <c r="D70" s="260">
        <v>49</v>
      </c>
      <c r="E70" s="260">
        <f t="shared" si="8"/>
        <v>29</v>
      </c>
      <c r="F70" s="259">
        <f t="shared" si="9"/>
        <v>1.45</v>
      </c>
    </row>
    <row r="71" spans="1:6" ht="20.25" customHeight="1" x14ac:dyDescent="0.3">
      <c r="A71" s="256">
        <v>6</v>
      </c>
      <c r="B71" s="257" t="s">
        <v>380</v>
      </c>
      <c r="C71" s="260">
        <v>132</v>
      </c>
      <c r="D71" s="260">
        <v>276</v>
      </c>
      <c r="E71" s="260">
        <f t="shared" si="8"/>
        <v>144</v>
      </c>
      <c r="F71" s="259">
        <f t="shared" si="9"/>
        <v>1.0909090909090908</v>
      </c>
    </row>
    <row r="72" spans="1:6" ht="20.25" customHeight="1" x14ac:dyDescent="0.3">
      <c r="A72" s="256">
        <v>7</v>
      </c>
      <c r="B72" s="257" t="s">
        <v>445</v>
      </c>
      <c r="C72" s="260">
        <v>220</v>
      </c>
      <c r="D72" s="260">
        <v>608</v>
      </c>
      <c r="E72" s="260">
        <f t="shared" si="8"/>
        <v>388</v>
      </c>
      <c r="F72" s="259">
        <f t="shared" si="9"/>
        <v>1.7636363636363637</v>
      </c>
    </row>
    <row r="73" spans="1:6" ht="20.25" customHeight="1" x14ac:dyDescent="0.3">
      <c r="A73" s="256">
        <v>8</v>
      </c>
      <c r="B73" s="257" t="s">
        <v>446</v>
      </c>
      <c r="C73" s="260">
        <v>77</v>
      </c>
      <c r="D73" s="260">
        <v>136</v>
      </c>
      <c r="E73" s="260">
        <f t="shared" si="8"/>
        <v>59</v>
      </c>
      <c r="F73" s="259">
        <f t="shared" si="9"/>
        <v>0.76623376623376627</v>
      </c>
    </row>
    <row r="74" spans="1:6" ht="20.25" customHeight="1" x14ac:dyDescent="0.3">
      <c r="A74" s="256">
        <v>9</v>
      </c>
      <c r="B74" s="257" t="s">
        <v>447</v>
      </c>
      <c r="C74" s="260">
        <v>19</v>
      </c>
      <c r="D74" s="260">
        <v>44</v>
      </c>
      <c r="E74" s="260">
        <f t="shared" si="8"/>
        <v>25</v>
      </c>
      <c r="F74" s="259">
        <f t="shared" si="9"/>
        <v>1.3157894736842106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1361530</v>
      </c>
      <c r="D75" s="263">
        <f>+D66+D68</f>
        <v>3336476</v>
      </c>
      <c r="E75" s="263">
        <f t="shared" si="8"/>
        <v>1974946</v>
      </c>
      <c r="F75" s="264">
        <f t="shared" si="9"/>
        <v>1.4505343253545644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399502</v>
      </c>
      <c r="D76" s="263">
        <f>+D67+D69</f>
        <v>992553</v>
      </c>
      <c r="E76" s="263">
        <f t="shared" si="8"/>
        <v>593051</v>
      </c>
      <c r="F76" s="264">
        <f t="shared" si="9"/>
        <v>1.4844756722119039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582197</v>
      </c>
      <c r="D79" s="258">
        <v>129188</v>
      </c>
      <c r="E79" s="258">
        <f t="shared" ref="E79:E89" si="10">D79-C79</f>
        <v>-453009</v>
      </c>
      <c r="F79" s="259">
        <f t="shared" ref="F79:F89" si="11">IF(C79=0,0,E79/C79)</f>
        <v>-0.77810260100962392</v>
      </c>
    </row>
    <row r="80" spans="1:6" ht="20.25" customHeight="1" x14ac:dyDescent="0.3">
      <c r="A80" s="256">
        <v>2</v>
      </c>
      <c r="B80" s="257" t="s">
        <v>442</v>
      </c>
      <c r="C80" s="258">
        <v>255394</v>
      </c>
      <c r="D80" s="258">
        <v>46373</v>
      </c>
      <c r="E80" s="258">
        <f t="shared" si="10"/>
        <v>-209021</v>
      </c>
      <c r="F80" s="259">
        <f t="shared" si="11"/>
        <v>-0.81842564821413188</v>
      </c>
    </row>
    <row r="81" spans="1:6" ht="20.25" customHeight="1" x14ac:dyDescent="0.3">
      <c r="A81" s="256">
        <v>3</v>
      </c>
      <c r="B81" s="257" t="s">
        <v>443</v>
      </c>
      <c r="C81" s="258">
        <v>498244</v>
      </c>
      <c r="D81" s="258">
        <v>50016</v>
      </c>
      <c r="E81" s="258">
        <f t="shared" si="10"/>
        <v>-448228</v>
      </c>
      <c r="F81" s="259">
        <f t="shared" si="11"/>
        <v>-0.89961544945849825</v>
      </c>
    </row>
    <row r="82" spans="1:6" ht="20.25" customHeight="1" x14ac:dyDescent="0.3">
      <c r="A82" s="256">
        <v>4</v>
      </c>
      <c r="B82" s="257" t="s">
        <v>444</v>
      </c>
      <c r="C82" s="258">
        <v>83967</v>
      </c>
      <c r="D82" s="258">
        <v>12001</v>
      </c>
      <c r="E82" s="258">
        <f t="shared" si="10"/>
        <v>-71966</v>
      </c>
      <c r="F82" s="259">
        <f t="shared" si="11"/>
        <v>-0.85707480319649387</v>
      </c>
    </row>
    <row r="83" spans="1:6" ht="20.25" customHeight="1" x14ac:dyDescent="0.3">
      <c r="A83" s="256">
        <v>5</v>
      </c>
      <c r="B83" s="257" t="s">
        <v>381</v>
      </c>
      <c r="C83" s="260">
        <v>27</v>
      </c>
      <c r="D83" s="260">
        <v>2</v>
      </c>
      <c r="E83" s="260">
        <f t="shared" si="10"/>
        <v>-25</v>
      </c>
      <c r="F83" s="259">
        <f t="shared" si="11"/>
        <v>-0.92592592592592593</v>
      </c>
    </row>
    <row r="84" spans="1:6" ht="20.25" customHeight="1" x14ac:dyDescent="0.3">
      <c r="A84" s="256">
        <v>6</v>
      </c>
      <c r="B84" s="257" t="s">
        <v>380</v>
      </c>
      <c r="C84" s="260">
        <v>120</v>
      </c>
      <c r="D84" s="260">
        <v>12</v>
      </c>
      <c r="E84" s="260">
        <f t="shared" si="10"/>
        <v>-108</v>
      </c>
      <c r="F84" s="259">
        <f t="shared" si="11"/>
        <v>-0.9</v>
      </c>
    </row>
    <row r="85" spans="1:6" ht="20.25" customHeight="1" x14ac:dyDescent="0.3">
      <c r="A85" s="256">
        <v>7</v>
      </c>
      <c r="B85" s="257" t="s">
        <v>445</v>
      </c>
      <c r="C85" s="260">
        <v>418</v>
      </c>
      <c r="D85" s="260">
        <v>49</v>
      </c>
      <c r="E85" s="260">
        <f t="shared" si="10"/>
        <v>-369</v>
      </c>
      <c r="F85" s="259">
        <f t="shared" si="11"/>
        <v>-0.88277511961722488</v>
      </c>
    </row>
    <row r="86" spans="1:6" ht="20.25" customHeight="1" x14ac:dyDescent="0.3">
      <c r="A86" s="256">
        <v>8</v>
      </c>
      <c r="B86" s="257" t="s">
        <v>446</v>
      </c>
      <c r="C86" s="260">
        <v>53</v>
      </c>
      <c r="D86" s="260">
        <v>9</v>
      </c>
      <c r="E86" s="260">
        <f t="shared" si="10"/>
        <v>-44</v>
      </c>
      <c r="F86" s="259">
        <f t="shared" si="11"/>
        <v>-0.83018867924528306</v>
      </c>
    </row>
    <row r="87" spans="1:6" ht="20.25" customHeight="1" x14ac:dyDescent="0.3">
      <c r="A87" s="256">
        <v>9</v>
      </c>
      <c r="B87" s="257" t="s">
        <v>447</v>
      </c>
      <c r="C87" s="260">
        <v>23</v>
      </c>
      <c r="D87" s="260">
        <v>2</v>
      </c>
      <c r="E87" s="260">
        <f t="shared" si="10"/>
        <v>-21</v>
      </c>
      <c r="F87" s="259">
        <f t="shared" si="11"/>
        <v>-0.91304347826086951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1080441</v>
      </c>
      <c r="D88" s="263">
        <f>+D79+D81</f>
        <v>179204</v>
      </c>
      <c r="E88" s="263">
        <f t="shared" si="10"/>
        <v>-901237</v>
      </c>
      <c r="F88" s="264">
        <f t="shared" si="11"/>
        <v>-0.83413809731396715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339361</v>
      </c>
      <c r="D89" s="263">
        <f>+D80+D82</f>
        <v>58374</v>
      </c>
      <c r="E89" s="263">
        <f t="shared" si="10"/>
        <v>-280987</v>
      </c>
      <c r="F89" s="264">
        <f t="shared" si="11"/>
        <v>-0.82798848423949722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11267765</v>
      </c>
      <c r="D92" s="258">
        <v>10984611</v>
      </c>
      <c r="E92" s="258">
        <f t="shared" ref="E92:E102" si="12">D92-C92</f>
        <v>-283154</v>
      </c>
      <c r="F92" s="259">
        <f t="shared" ref="F92:F102" si="13">IF(C92=0,0,E92/C92)</f>
        <v>-2.5129562073756419E-2</v>
      </c>
    </row>
    <row r="93" spans="1:6" ht="20.25" customHeight="1" x14ac:dyDescent="0.3">
      <c r="A93" s="256">
        <v>2</v>
      </c>
      <c r="B93" s="257" t="s">
        <v>442</v>
      </c>
      <c r="C93" s="258">
        <v>4396905</v>
      </c>
      <c r="D93" s="258">
        <v>4060742</v>
      </c>
      <c r="E93" s="258">
        <f t="shared" si="12"/>
        <v>-336163</v>
      </c>
      <c r="F93" s="259">
        <f t="shared" si="13"/>
        <v>-7.64544605807949E-2</v>
      </c>
    </row>
    <row r="94" spans="1:6" ht="20.25" customHeight="1" x14ac:dyDescent="0.3">
      <c r="A94" s="256">
        <v>3</v>
      </c>
      <c r="B94" s="257" t="s">
        <v>443</v>
      </c>
      <c r="C94" s="258">
        <v>8472117</v>
      </c>
      <c r="D94" s="258">
        <v>8792580</v>
      </c>
      <c r="E94" s="258">
        <f t="shared" si="12"/>
        <v>320463</v>
      </c>
      <c r="F94" s="259">
        <f t="shared" si="13"/>
        <v>3.7825610765290424E-2</v>
      </c>
    </row>
    <row r="95" spans="1:6" ht="20.25" customHeight="1" x14ac:dyDescent="0.3">
      <c r="A95" s="256">
        <v>4</v>
      </c>
      <c r="B95" s="257" t="s">
        <v>444</v>
      </c>
      <c r="C95" s="258">
        <v>1691660</v>
      </c>
      <c r="D95" s="258">
        <v>1843792</v>
      </c>
      <c r="E95" s="258">
        <f t="shared" si="12"/>
        <v>152132</v>
      </c>
      <c r="F95" s="259">
        <f t="shared" si="13"/>
        <v>8.9930600711726941E-2</v>
      </c>
    </row>
    <row r="96" spans="1:6" ht="20.25" customHeight="1" x14ac:dyDescent="0.3">
      <c r="A96" s="256">
        <v>5</v>
      </c>
      <c r="B96" s="257" t="s">
        <v>381</v>
      </c>
      <c r="C96" s="260">
        <v>397</v>
      </c>
      <c r="D96" s="260">
        <v>335</v>
      </c>
      <c r="E96" s="260">
        <f t="shared" si="12"/>
        <v>-62</v>
      </c>
      <c r="F96" s="259">
        <f t="shared" si="13"/>
        <v>-0.15617128463476071</v>
      </c>
    </row>
    <row r="97" spans="1:6" ht="20.25" customHeight="1" x14ac:dyDescent="0.3">
      <c r="A97" s="256">
        <v>6</v>
      </c>
      <c r="B97" s="257" t="s">
        <v>380</v>
      </c>
      <c r="C97" s="260">
        <v>2003</v>
      </c>
      <c r="D97" s="260">
        <v>1667</v>
      </c>
      <c r="E97" s="260">
        <f t="shared" si="12"/>
        <v>-336</v>
      </c>
      <c r="F97" s="259">
        <f t="shared" si="13"/>
        <v>-0.16774837743384924</v>
      </c>
    </row>
    <row r="98" spans="1:6" ht="20.25" customHeight="1" x14ac:dyDescent="0.3">
      <c r="A98" s="256">
        <v>7</v>
      </c>
      <c r="B98" s="257" t="s">
        <v>445</v>
      </c>
      <c r="C98" s="260">
        <v>4941</v>
      </c>
      <c r="D98" s="260">
        <v>4675</v>
      </c>
      <c r="E98" s="260">
        <f t="shared" si="12"/>
        <v>-266</v>
      </c>
      <c r="F98" s="259">
        <f t="shared" si="13"/>
        <v>-5.3835256021048369E-2</v>
      </c>
    </row>
    <row r="99" spans="1:6" ht="20.25" customHeight="1" x14ac:dyDescent="0.3">
      <c r="A99" s="256">
        <v>8</v>
      </c>
      <c r="B99" s="257" t="s">
        <v>446</v>
      </c>
      <c r="C99" s="260">
        <v>578</v>
      </c>
      <c r="D99" s="260">
        <v>564</v>
      </c>
      <c r="E99" s="260">
        <f t="shared" si="12"/>
        <v>-14</v>
      </c>
      <c r="F99" s="259">
        <f t="shared" si="13"/>
        <v>-2.4221453287197232E-2</v>
      </c>
    </row>
    <row r="100" spans="1:6" ht="20.25" customHeight="1" x14ac:dyDescent="0.3">
      <c r="A100" s="256">
        <v>9</v>
      </c>
      <c r="B100" s="257" t="s">
        <v>447</v>
      </c>
      <c r="C100" s="260">
        <v>359</v>
      </c>
      <c r="D100" s="260">
        <v>289</v>
      </c>
      <c r="E100" s="260">
        <f t="shared" si="12"/>
        <v>-70</v>
      </c>
      <c r="F100" s="259">
        <f t="shared" si="13"/>
        <v>-0.19498607242339833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19739882</v>
      </c>
      <c r="D101" s="263">
        <f>+D92+D94</f>
        <v>19777191</v>
      </c>
      <c r="E101" s="263">
        <f t="shared" si="12"/>
        <v>37309</v>
      </c>
      <c r="F101" s="264">
        <f t="shared" si="13"/>
        <v>1.8900315614855247E-3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6088565</v>
      </c>
      <c r="D102" s="263">
        <f>+D93+D95</f>
        <v>5904534</v>
      </c>
      <c r="E102" s="263">
        <f t="shared" si="12"/>
        <v>-184031</v>
      </c>
      <c r="F102" s="264">
        <f t="shared" si="13"/>
        <v>-3.022567715052726E-2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6306361</v>
      </c>
      <c r="D105" s="258">
        <v>7109268</v>
      </c>
      <c r="E105" s="258">
        <f t="shared" ref="E105:E115" si="14">D105-C105</f>
        <v>802907</v>
      </c>
      <c r="F105" s="259">
        <f t="shared" ref="F105:F115" si="15">IF(C105=0,0,E105/C105)</f>
        <v>0.12731700579779687</v>
      </c>
    </row>
    <row r="106" spans="1:6" ht="20.25" customHeight="1" x14ac:dyDescent="0.3">
      <c r="A106" s="256">
        <v>2</v>
      </c>
      <c r="B106" s="257" t="s">
        <v>442</v>
      </c>
      <c r="C106" s="258">
        <v>2339564</v>
      </c>
      <c r="D106" s="258">
        <v>2621613</v>
      </c>
      <c r="E106" s="258">
        <f t="shared" si="14"/>
        <v>282049</v>
      </c>
      <c r="F106" s="259">
        <f t="shared" si="15"/>
        <v>0.1205562232963065</v>
      </c>
    </row>
    <row r="107" spans="1:6" ht="20.25" customHeight="1" x14ac:dyDescent="0.3">
      <c r="A107" s="256">
        <v>3</v>
      </c>
      <c r="B107" s="257" t="s">
        <v>443</v>
      </c>
      <c r="C107" s="258">
        <v>4779676</v>
      </c>
      <c r="D107" s="258">
        <v>7163883</v>
      </c>
      <c r="E107" s="258">
        <f t="shared" si="14"/>
        <v>2384207</v>
      </c>
      <c r="F107" s="259">
        <f t="shared" si="15"/>
        <v>0.49882188667181626</v>
      </c>
    </row>
    <row r="108" spans="1:6" ht="20.25" customHeight="1" x14ac:dyDescent="0.3">
      <c r="A108" s="256">
        <v>4</v>
      </c>
      <c r="B108" s="257" t="s">
        <v>444</v>
      </c>
      <c r="C108" s="258">
        <v>884696</v>
      </c>
      <c r="D108" s="258">
        <v>1341182</v>
      </c>
      <c r="E108" s="258">
        <f t="shared" si="14"/>
        <v>456486</v>
      </c>
      <c r="F108" s="259">
        <f t="shared" si="15"/>
        <v>0.5159806306347039</v>
      </c>
    </row>
    <row r="109" spans="1:6" ht="20.25" customHeight="1" x14ac:dyDescent="0.3">
      <c r="A109" s="256">
        <v>5</v>
      </c>
      <c r="B109" s="257" t="s">
        <v>381</v>
      </c>
      <c r="C109" s="260">
        <v>212</v>
      </c>
      <c r="D109" s="260">
        <v>240</v>
      </c>
      <c r="E109" s="260">
        <f t="shared" si="14"/>
        <v>28</v>
      </c>
      <c r="F109" s="259">
        <f t="shared" si="15"/>
        <v>0.13207547169811321</v>
      </c>
    </row>
    <row r="110" spans="1:6" ht="20.25" customHeight="1" x14ac:dyDescent="0.3">
      <c r="A110" s="256">
        <v>6</v>
      </c>
      <c r="B110" s="257" t="s">
        <v>380</v>
      </c>
      <c r="C110" s="260">
        <v>1076</v>
      </c>
      <c r="D110" s="260">
        <v>1142</v>
      </c>
      <c r="E110" s="260">
        <f t="shared" si="14"/>
        <v>66</v>
      </c>
      <c r="F110" s="259">
        <f t="shared" si="15"/>
        <v>6.1338289962825282E-2</v>
      </c>
    </row>
    <row r="111" spans="1:6" ht="20.25" customHeight="1" x14ac:dyDescent="0.3">
      <c r="A111" s="256">
        <v>7</v>
      </c>
      <c r="B111" s="257" t="s">
        <v>445</v>
      </c>
      <c r="C111" s="260">
        <v>2199</v>
      </c>
      <c r="D111" s="260">
        <v>3268</v>
      </c>
      <c r="E111" s="260">
        <f t="shared" si="14"/>
        <v>1069</v>
      </c>
      <c r="F111" s="259">
        <f t="shared" si="15"/>
        <v>0.48613005911778079</v>
      </c>
    </row>
    <row r="112" spans="1:6" ht="20.25" customHeight="1" x14ac:dyDescent="0.3">
      <c r="A112" s="256">
        <v>8</v>
      </c>
      <c r="B112" s="257" t="s">
        <v>446</v>
      </c>
      <c r="C112" s="260">
        <v>766</v>
      </c>
      <c r="D112" s="260">
        <v>911</v>
      </c>
      <c r="E112" s="260">
        <f t="shared" si="14"/>
        <v>145</v>
      </c>
      <c r="F112" s="259">
        <f t="shared" si="15"/>
        <v>0.18929503916449086</v>
      </c>
    </row>
    <row r="113" spans="1:6" ht="20.25" customHeight="1" x14ac:dyDescent="0.3">
      <c r="A113" s="256">
        <v>9</v>
      </c>
      <c r="B113" s="257" t="s">
        <v>447</v>
      </c>
      <c r="C113" s="260">
        <v>191</v>
      </c>
      <c r="D113" s="260">
        <v>215</v>
      </c>
      <c r="E113" s="260">
        <f t="shared" si="14"/>
        <v>24</v>
      </c>
      <c r="F113" s="259">
        <f t="shared" si="15"/>
        <v>0.1256544502617801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11086037</v>
      </c>
      <c r="D114" s="263">
        <f>+D105+D107</f>
        <v>14273151</v>
      </c>
      <c r="E114" s="263">
        <f t="shared" si="14"/>
        <v>3187114</v>
      </c>
      <c r="F114" s="264">
        <f t="shared" si="15"/>
        <v>0.28748902786451103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3224260</v>
      </c>
      <c r="D115" s="263">
        <f>+D106+D108</f>
        <v>3962795</v>
      </c>
      <c r="E115" s="263">
        <f t="shared" si="14"/>
        <v>738535</v>
      </c>
      <c r="F115" s="264">
        <f t="shared" si="15"/>
        <v>0.22905565928306029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8538005</v>
      </c>
      <c r="D118" s="258">
        <v>7708313</v>
      </c>
      <c r="E118" s="258">
        <f t="shared" ref="E118:E128" si="16">D118-C118</f>
        <v>-829692</v>
      </c>
      <c r="F118" s="259">
        <f t="shared" ref="F118:F128" si="17">IF(C118=0,0,E118/C118)</f>
        <v>-9.7176331004725336E-2</v>
      </c>
    </row>
    <row r="119" spans="1:6" ht="20.25" customHeight="1" x14ac:dyDescent="0.3">
      <c r="A119" s="256">
        <v>2</v>
      </c>
      <c r="B119" s="257" t="s">
        <v>442</v>
      </c>
      <c r="C119" s="258">
        <v>3226509</v>
      </c>
      <c r="D119" s="258">
        <v>2945158</v>
      </c>
      <c r="E119" s="258">
        <f t="shared" si="16"/>
        <v>-281351</v>
      </c>
      <c r="F119" s="259">
        <f t="shared" si="17"/>
        <v>-8.7199818751474117E-2</v>
      </c>
    </row>
    <row r="120" spans="1:6" ht="20.25" customHeight="1" x14ac:dyDescent="0.3">
      <c r="A120" s="256">
        <v>3</v>
      </c>
      <c r="B120" s="257" t="s">
        <v>443</v>
      </c>
      <c r="C120" s="258">
        <v>7116072</v>
      </c>
      <c r="D120" s="258">
        <v>8862644</v>
      </c>
      <c r="E120" s="258">
        <f t="shared" si="16"/>
        <v>1746572</v>
      </c>
      <c r="F120" s="259">
        <f t="shared" si="17"/>
        <v>0.24544046209762915</v>
      </c>
    </row>
    <row r="121" spans="1:6" ht="20.25" customHeight="1" x14ac:dyDescent="0.3">
      <c r="A121" s="256">
        <v>4</v>
      </c>
      <c r="B121" s="257" t="s">
        <v>444</v>
      </c>
      <c r="C121" s="258">
        <v>1542007</v>
      </c>
      <c r="D121" s="258">
        <v>1975756</v>
      </c>
      <c r="E121" s="258">
        <f t="shared" si="16"/>
        <v>433749</v>
      </c>
      <c r="F121" s="259">
        <f t="shared" si="17"/>
        <v>0.28128860634225394</v>
      </c>
    </row>
    <row r="122" spans="1:6" ht="20.25" customHeight="1" x14ac:dyDescent="0.3">
      <c r="A122" s="256">
        <v>5</v>
      </c>
      <c r="B122" s="257" t="s">
        <v>381</v>
      </c>
      <c r="C122" s="260">
        <v>273</v>
      </c>
      <c r="D122" s="260">
        <v>253</v>
      </c>
      <c r="E122" s="260">
        <f t="shared" si="16"/>
        <v>-20</v>
      </c>
      <c r="F122" s="259">
        <f t="shared" si="17"/>
        <v>-7.3260073260073263E-2</v>
      </c>
    </row>
    <row r="123" spans="1:6" ht="20.25" customHeight="1" x14ac:dyDescent="0.3">
      <c r="A123" s="256">
        <v>6</v>
      </c>
      <c r="B123" s="257" t="s">
        <v>380</v>
      </c>
      <c r="C123" s="260">
        <v>1387</v>
      </c>
      <c r="D123" s="260">
        <v>1199</v>
      </c>
      <c r="E123" s="260">
        <f t="shared" si="16"/>
        <v>-188</v>
      </c>
      <c r="F123" s="259">
        <f t="shared" si="17"/>
        <v>-0.13554434030281182</v>
      </c>
    </row>
    <row r="124" spans="1:6" ht="20.25" customHeight="1" x14ac:dyDescent="0.3">
      <c r="A124" s="256">
        <v>7</v>
      </c>
      <c r="B124" s="257" t="s">
        <v>445</v>
      </c>
      <c r="C124" s="260">
        <v>3942</v>
      </c>
      <c r="D124" s="260">
        <v>4794</v>
      </c>
      <c r="E124" s="260">
        <f t="shared" si="16"/>
        <v>852</v>
      </c>
      <c r="F124" s="259">
        <f t="shared" si="17"/>
        <v>0.21613394216133941</v>
      </c>
    </row>
    <row r="125" spans="1:6" ht="20.25" customHeight="1" x14ac:dyDescent="0.3">
      <c r="A125" s="256">
        <v>8</v>
      </c>
      <c r="B125" s="257" t="s">
        <v>446</v>
      </c>
      <c r="C125" s="260">
        <v>364</v>
      </c>
      <c r="D125" s="260">
        <v>404</v>
      </c>
      <c r="E125" s="260">
        <f t="shared" si="16"/>
        <v>40</v>
      </c>
      <c r="F125" s="259">
        <f t="shared" si="17"/>
        <v>0.10989010989010989</v>
      </c>
    </row>
    <row r="126" spans="1:6" ht="20.25" customHeight="1" x14ac:dyDescent="0.3">
      <c r="A126" s="256">
        <v>9</v>
      </c>
      <c r="B126" s="257" t="s">
        <v>447</v>
      </c>
      <c r="C126" s="260">
        <v>231</v>
      </c>
      <c r="D126" s="260">
        <v>213</v>
      </c>
      <c r="E126" s="260">
        <f t="shared" si="16"/>
        <v>-18</v>
      </c>
      <c r="F126" s="259">
        <f t="shared" si="17"/>
        <v>-7.792207792207792E-2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15654077</v>
      </c>
      <c r="D127" s="263">
        <f>+D118+D120</f>
        <v>16570957</v>
      </c>
      <c r="E127" s="263">
        <f t="shared" si="16"/>
        <v>916880</v>
      </c>
      <c r="F127" s="264">
        <f t="shared" si="17"/>
        <v>5.8571322985060056E-2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4768516</v>
      </c>
      <c r="D128" s="263">
        <f>+D119+D121</f>
        <v>4920914</v>
      </c>
      <c r="E128" s="263">
        <f t="shared" si="16"/>
        <v>152398</v>
      </c>
      <c r="F128" s="264">
        <f t="shared" si="17"/>
        <v>3.195920911243666E-2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36492895</v>
      </c>
      <c r="D198" s="263">
        <f t="shared" si="28"/>
        <v>41567669</v>
      </c>
      <c r="E198" s="263">
        <f t="shared" ref="E198:E208" si="29">D198-C198</f>
        <v>5074774</v>
      </c>
      <c r="F198" s="273">
        <f t="shared" ref="F198:F208" si="30">IF(C198=0,0,E198/C198)</f>
        <v>0.13906197357047173</v>
      </c>
    </row>
    <row r="199" spans="1:9" ht="20.25" customHeight="1" x14ac:dyDescent="0.3">
      <c r="A199" s="271"/>
      <c r="B199" s="272" t="s">
        <v>466</v>
      </c>
      <c r="C199" s="263">
        <f t="shared" si="28"/>
        <v>13917242</v>
      </c>
      <c r="D199" s="263">
        <f t="shared" si="28"/>
        <v>15709499</v>
      </c>
      <c r="E199" s="263">
        <f t="shared" si="29"/>
        <v>1792257</v>
      </c>
      <c r="F199" s="273">
        <f t="shared" si="30"/>
        <v>0.12877961021300052</v>
      </c>
    </row>
    <row r="200" spans="1:9" ht="20.25" customHeight="1" x14ac:dyDescent="0.3">
      <c r="A200" s="271"/>
      <c r="B200" s="272" t="s">
        <v>467</v>
      </c>
      <c r="C200" s="263">
        <f t="shared" si="28"/>
        <v>28710091</v>
      </c>
      <c r="D200" s="263">
        <f t="shared" si="28"/>
        <v>39168995</v>
      </c>
      <c r="E200" s="263">
        <f t="shared" si="29"/>
        <v>10458904</v>
      </c>
      <c r="F200" s="273">
        <f t="shared" si="30"/>
        <v>0.36429365549555381</v>
      </c>
    </row>
    <row r="201" spans="1:9" ht="20.25" customHeight="1" x14ac:dyDescent="0.3">
      <c r="A201" s="271"/>
      <c r="B201" s="272" t="s">
        <v>468</v>
      </c>
      <c r="C201" s="263">
        <f t="shared" si="28"/>
        <v>5955623</v>
      </c>
      <c r="D201" s="263">
        <f t="shared" si="28"/>
        <v>8212993</v>
      </c>
      <c r="E201" s="263">
        <f t="shared" si="29"/>
        <v>2257370</v>
      </c>
      <c r="F201" s="273">
        <f t="shared" si="30"/>
        <v>0.37903171506994315</v>
      </c>
    </row>
    <row r="202" spans="1:9" ht="20.25" customHeight="1" x14ac:dyDescent="0.3">
      <c r="A202" s="271"/>
      <c r="B202" s="272" t="s">
        <v>138</v>
      </c>
      <c r="C202" s="274">
        <f t="shared" si="28"/>
        <v>1224</v>
      </c>
      <c r="D202" s="274">
        <f t="shared" si="28"/>
        <v>1311</v>
      </c>
      <c r="E202" s="274">
        <f t="shared" si="29"/>
        <v>87</v>
      </c>
      <c r="F202" s="273">
        <f t="shared" si="30"/>
        <v>7.1078431372549017E-2</v>
      </c>
    </row>
    <row r="203" spans="1:9" ht="20.25" customHeight="1" x14ac:dyDescent="0.3">
      <c r="A203" s="271"/>
      <c r="B203" s="272" t="s">
        <v>140</v>
      </c>
      <c r="C203" s="274">
        <f t="shared" si="28"/>
        <v>6077</v>
      </c>
      <c r="D203" s="274">
        <f t="shared" si="28"/>
        <v>6327</v>
      </c>
      <c r="E203" s="274">
        <f t="shared" si="29"/>
        <v>250</v>
      </c>
      <c r="F203" s="273">
        <f t="shared" si="30"/>
        <v>4.1138719763040975E-2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16132</v>
      </c>
      <c r="D204" s="274">
        <f t="shared" si="28"/>
        <v>20887</v>
      </c>
      <c r="E204" s="274">
        <f t="shared" si="29"/>
        <v>4755</v>
      </c>
      <c r="F204" s="273">
        <f t="shared" si="30"/>
        <v>0.29475576493925115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2198</v>
      </c>
      <c r="D205" s="274">
        <f t="shared" si="28"/>
        <v>2581</v>
      </c>
      <c r="E205" s="274">
        <f t="shared" si="29"/>
        <v>383</v>
      </c>
      <c r="F205" s="273">
        <f t="shared" si="30"/>
        <v>0.17424931756141948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1060</v>
      </c>
      <c r="D206" s="274">
        <f t="shared" si="28"/>
        <v>1132</v>
      </c>
      <c r="E206" s="274">
        <f t="shared" si="29"/>
        <v>72</v>
      </c>
      <c r="F206" s="273">
        <f t="shared" si="30"/>
        <v>6.7924528301886791E-2</v>
      </c>
    </row>
    <row r="207" spans="1:9" ht="20.25" customHeight="1" x14ac:dyDescent="0.3">
      <c r="A207" s="271"/>
      <c r="B207" s="262" t="s">
        <v>471</v>
      </c>
      <c r="C207" s="263">
        <f>+C198+C200</f>
        <v>65202986</v>
      </c>
      <c r="D207" s="263">
        <f>+D198+D200</f>
        <v>80736664</v>
      </c>
      <c r="E207" s="263">
        <f t="shared" si="29"/>
        <v>15533678</v>
      </c>
      <c r="F207" s="273">
        <f t="shared" si="30"/>
        <v>0.2382356844823027</v>
      </c>
    </row>
    <row r="208" spans="1:9" ht="20.25" customHeight="1" x14ac:dyDescent="0.3">
      <c r="A208" s="271"/>
      <c r="B208" s="262" t="s">
        <v>472</v>
      </c>
      <c r="C208" s="263">
        <f>+C199+C201</f>
        <v>19872865</v>
      </c>
      <c r="D208" s="263">
        <f>+D199+D201</f>
        <v>23922492</v>
      </c>
      <c r="E208" s="263">
        <f t="shared" si="29"/>
        <v>4049627</v>
      </c>
      <c r="F208" s="273">
        <f t="shared" si="30"/>
        <v>0.20377670758594696</v>
      </c>
    </row>
  </sheetData>
  <mergeCells count="12"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  <mergeCell ref="G195:I196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FILING&amp;RSAINT MARY`S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FILING&amp;RSAINT MARY`S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26866000</v>
      </c>
      <c r="D13" s="22">
        <v>15091000</v>
      </c>
      <c r="E13" s="22">
        <f t="shared" ref="E13:E22" si="0">D13-C13</f>
        <v>-11775000</v>
      </c>
      <c r="F13" s="306">
        <f t="shared" ref="F13:F22" si="1">IF(C13=0,0,E13/C13)</f>
        <v>-0.43828630983399092</v>
      </c>
    </row>
    <row r="14" spans="1:8" ht="24" customHeight="1" x14ac:dyDescent="0.2">
      <c r="A14" s="304">
        <v>2</v>
      </c>
      <c r="B14" s="305" t="s">
        <v>17</v>
      </c>
      <c r="C14" s="22">
        <v>17000</v>
      </c>
      <c r="D14" s="22">
        <v>17000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30238000</v>
      </c>
      <c r="D15" s="22">
        <v>32905000</v>
      </c>
      <c r="E15" s="22">
        <f t="shared" si="0"/>
        <v>2667000</v>
      </c>
      <c r="F15" s="306">
        <f t="shared" si="1"/>
        <v>8.8200277796150542E-2</v>
      </c>
    </row>
    <row r="16" spans="1:8" ht="35.1" customHeight="1" x14ac:dyDescent="0.2">
      <c r="A16" s="304">
        <v>4</v>
      </c>
      <c r="B16" s="305" t="s">
        <v>19</v>
      </c>
      <c r="C16" s="22">
        <v>5948000</v>
      </c>
      <c r="D16" s="22">
        <v>3418000</v>
      </c>
      <c r="E16" s="22">
        <f t="shared" si="0"/>
        <v>-2530000</v>
      </c>
      <c r="F16" s="306">
        <f t="shared" si="1"/>
        <v>-0.42535305985205113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3886000</v>
      </c>
      <c r="D19" s="22">
        <v>3701000</v>
      </c>
      <c r="E19" s="22">
        <f t="shared" si="0"/>
        <v>-185000</v>
      </c>
      <c r="F19" s="306">
        <f t="shared" si="1"/>
        <v>-4.7606793618116316E-2</v>
      </c>
    </row>
    <row r="20" spans="1:11" ht="24" customHeight="1" x14ac:dyDescent="0.2">
      <c r="A20" s="304">
        <v>8</v>
      </c>
      <c r="B20" s="305" t="s">
        <v>23</v>
      </c>
      <c r="C20" s="22">
        <v>2383000</v>
      </c>
      <c r="D20" s="22">
        <v>3300000</v>
      </c>
      <c r="E20" s="22">
        <f t="shared" si="0"/>
        <v>917000</v>
      </c>
      <c r="F20" s="306">
        <f t="shared" si="1"/>
        <v>0.38480906420478389</v>
      </c>
    </row>
    <row r="21" spans="1:11" ht="24" customHeight="1" x14ac:dyDescent="0.2">
      <c r="A21" s="304">
        <v>9</v>
      </c>
      <c r="B21" s="305" t="s">
        <v>24</v>
      </c>
      <c r="C21" s="22">
        <v>854000</v>
      </c>
      <c r="D21" s="22">
        <v>4618000</v>
      </c>
      <c r="E21" s="22">
        <f t="shared" si="0"/>
        <v>3764000</v>
      </c>
      <c r="F21" s="306">
        <f t="shared" si="1"/>
        <v>4.4074941451990632</v>
      </c>
    </row>
    <row r="22" spans="1:11" ht="24" customHeight="1" x14ac:dyDescent="0.25">
      <c r="A22" s="307"/>
      <c r="B22" s="308" t="s">
        <v>25</v>
      </c>
      <c r="C22" s="309">
        <f>SUM(C13:C21)</f>
        <v>70192000</v>
      </c>
      <c r="D22" s="309">
        <f>SUM(D13:D21)</f>
        <v>63050000</v>
      </c>
      <c r="E22" s="309">
        <f t="shared" si="0"/>
        <v>-7142000</v>
      </c>
      <c r="F22" s="310">
        <f t="shared" si="1"/>
        <v>-0.10174948712103943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15696000</v>
      </c>
      <c r="D25" s="22">
        <v>14764000</v>
      </c>
      <c r="E25" s="22">
        <f>D25-C25</f>
        <v>-932000</v>
      </c>
      <c r="F25" s="306">
        <f>IF(C25=0,0,E25/C25)</f>
        <v>-5.9378185524974515E-2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39417000</v>
      </c>
      <c r="D28" s="22">
        <v>43057000</v>
      </c>
      <c r="E28" s="22">
        <f>D28-C28</f>
        <v>3640000</v>
      </c>
      <c r="F28" s="306">
        <f>IF(C28=0,0,E28/C28)</f>
        <v>9.2345942106197829E-2</v>
      </c>
    </row>
    <row r="29" spans="1:11" ht="35.1" customHeight="1" x14ac:dyDescent="0.25">
      <c r="A29" s="307"/>
      <c r="B29" s="308" t="s">
        <v>32</v>
      </c>
      <c r="C29" s="309">
        <f>SUM(C25:C28)</f>
        <v>55113000</v>
      </c>
      <c r="D29" s="309">
        <f>SUM(D25:D28)</f>
        <v>57821000</v>
      </c>
      <c r="E29" s="309">
        <f>D29-C29</f>
        <v>2708000</v>
      </c>
      <c r="F29" s="310">
        <f>IF(C29=0,0,E29/C29)</f>
        <v>4.9135412697548675E-2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24966000</v>
      </c>
      <c r="D32" s="22">
        <v>4244000</v>
      </c>
      <c r="E32" s="22">
        <f>D32-C32</f>
        <v>-20722000</v>
      </c>
      <c r="F32" s="306">
        <f>IF(C32=0,0,E32/C32)</f>
        <v>-0.83000881198429866</v>
      </c>
    </row>
    <row r="33" spans="1:8" ht="24" customHeight="1" x14ac:dyDescent="0.2">
      <c r="A33" s="304">
        <v>7</v>
      </c>
      <c r="B33" s="305" t="s">
        <v>35</v>
      </c>
      <c r="C33" s="22">
        <v>10368000</v>
      </c>
      <c r="D33" s="22">
        <v>11454000</v>
      </c>
      <c r="E33" s="22">
        <f>D33-C33</f>
        <v>1086000</v>
      </c>
      <c r="F33" s="306">
        <f>IF(C33=0,0,E33/C33)</f>
        <v>0.10474537037037036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200746000</v>
      </c>
      <c r="D36" s="22">
        <v>219963000</v>
      </c>
      <c r="E36" s="22">
        <f>D36-C36</f>
        <v>19217000</v>
      </c>
      <c r="F36" s="306">
        <f>IF(C36=0,0,E36/C36)</f>
        <v>9.5727934803184117E-2</v>
      </c>
    </row>
    <row r="37" spans="1:8" ht="24" customHeight="1" x14ac:dyDescent="0.2">
      <c r="A37" s="304">
        <v>2</v>
      </c>
      <c r="B37" s="305" t="s">
        <v>39</v>
      </c>
      <c r="C37" s="22">
        <v>137372000</v>
      </c>
      <c r="D37" s="22">
        <v>149672000</v>
      </c>
      <c r="E37" s="22">
        <f>D37-C37</f>
        <v>12300000</v>
      </c>
      <c r="F37" s="22">
        <f>IF(C37=0,0,E37/C37)</f>
        <v>8.9537897096933869E-2</v>
      </c>
    </row>
    <row r="38" spans="1:8" ht="24" customHeight="1" x14ac:dyDescent="0.25">
      <c r="A38" s="307"/>
      <c r="B38" s="308" t="s">
        <v>40</v>
      </c>
      <c r="C38" s="309">
        <f>C36-C37</f>
        <v>63374000</v>
      </c>
      <c r="D38" s="309">
        <f>D36-D37</f>
        <v>70291000</v>
      </c>
      <c r="E38" s="309">
        <f>D38-C38</f>
        <v>6917000</v>
      </c>
      <c r="F38" s="310">
        <f>IF(C38=0,0,E38/C38)</f>
        <v>0.10914570644112728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0</v>
      </c>
      <c r="E40" s="22">
        <f>D40-C40</f>
        <v>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63374000</v>
      </c>
      <c r="D41" s="309">
        <f>+D38+D40</f>
        <v>70291000</v>
      </c>
      <c r="E41" s="309">
        <f>D41-C41</f>
        <v>6917000</v>
      </c>
      <c r="F41" s="310">
        <f>IF(C41=0,0,E41/C41)</f>
        <v>0.10914570644112728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224013000</v>
      </c>
      <c r="D43" s="309">
        <f>D22+D29+D31+D32+D33+D41</f>
        <v>206860000</v>
      </c>
      <c r="E43" s="309">
        <f>D43-C43</f>
        <v>-17153000</v>
      </c>
      <c r="F43" s="310">
        <f>IF(C43=0,0,E43/C43)</f>
        <v>-7.6571448978407508E-2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17369000</v>
      </c>
      <c r="D49" s="22">
        <v>22665000</v>
      </c>
      <c r="E49" s="22">
        <f t="shared" ref="E49:E56" si="2">D49-C49</f>
        <v>5296000</v>
      </c>
      <c r="F49" s="306">
        <f t="shared" ref="F49:F56" si="3">IF(C49=0,0,E49/C49)</f>
        <v>0.30491104841959815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5643000</v>
      </c>
      <c r="D50" s="22">
        <v>6002000</v>
      </c>
      <c r="E50" s="22">
        <f t="shared" si="2"/>
        <v>359000</v>
      </c>
      <c r="F50" s="306">
        <f t="shared" si="3"/>
        <v>6.3618642566010991E-2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783000</v>
      </c>
      <c r="D51" s="22">
        <v>727000</v>
      </c>
      <c r="E51" s="22">
        <f t="shared" si="2"/>
        <v>-56000</v>
      </c>
      <c r="F51" s="306">
        <f t="shared" si="3"/>
        <v>-7.151979565772669E-2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2509000</v>
      </c>
      <c r="D53" s="22">
        <v>3409000</v>
      </c>
      <c r="E53" s="22">
        <f t="shared" si="2"/>
        <v>900000</v>
      </c>
      <c r="F53" s="306">
        <f t="shared" si="3"/>
        <v>0.35870864886408926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14308000</v>
      </c>
      <c r="D55" s="22">
        <v>12980000</v>
      </c>
      <c r="E55" s="22">
        <f t="shared" si="2"/>
        <v>-1328000</v>
      </c>
      <c r="F55" s="306">
        <f t="shared" si="3"/>
        <v>-9.2815208275090863E-2</v>
      </c>
    </row>
    <row r="56" spans="1:6" ht="24" customHeight="1" x14ac:dyDescent="0.25">
      <c r="A56" s="307"/>
      <c r="B56" s="308" t="s">
        <v>54</v>
      </c>
      <c r="C56" s="309">
        <f>SUM(C49:C55)</f>
        <v>40612000</v>
      </c>
      <c r="D56" s="309">
        <f>SUM(D49:D55)</f>
        <v>45783000</v>
      </c>
      <c r="E56" s="309">
        <f t="shared" si="2"/>
        <v>5171000</v>
      </c>
      <c r="F56" s="310">
        <f t="shared" si="3"/>
        <v>0.12732689845365902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17891000</v>
      </c>
      <c r="D59" s="22">
        <v>0</v>
      </c>
      <c r="E59" s="22">
        <f>D59-C59</f>
        <v>-17891000</v>
      </c>
      <c r="F59" s="306">
        <f>IF(C59=0,0,E59/C59)</f>
        <v>-1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11018000</v>
      </c>
      <c r="E60" s="22">
        <f>D60-C60</f>
        <v>11018000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17891000</v>
      </c>
      <c r="D61" s="309">
        <f>SUM(D59:D60)</f>
        <v>11018000</v>
      </c>
      <c r="E61" s="309">
        <f>D61-C61</f>
        <v>-6873000</v>
      </c>
      <c r="F61" s="310">
        <f>IF(C61=0,0,E61/C61)</f>
        <v>-0.38415963333519648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72182000</v>
      </c>
      <c r="D63" s="22">
        <v>74894000</v>
      </c>
      <c r="E63" s="22">
        <f>D63-C63</f>
        <v>2712000</v>
      </c>
      <c r="F63" s="306">
        <f>IF(C63=0,0,E63/C63)</f>
        <v>3.7571693774071095E-2</v>
      </c>
    </row>
    <row r="64" spans="1:6" ht="24" customHeight="1" x14ac:dyDescent="0.2">
      <c r="A64" s="304">
        <v>4</v>
      </c>
      <c r="B64" s="305" t="s">
        <v>60</v>
      </c>
      <c r="C64" s="22">
        <v>41337000</v>
      </c>
      <c r="D64" s="22">
        <v>24062000</v>
      </c>
      <c r="E64" s="22">
        <f>D64-C64</f>
        <v>-17275000</v>
      </c>
      <c r="F64" s="306">
        <f>IF(C64=0,0,E64/C64)</f>
        <v>-0.41790647603841596</v>
      </c>
    </row>
    <row r="65" spans="1:6" ht="24" customHeight="1" x14ac:dyDescent="0.25">
      <c r="A65" s="307"/>
      <c r="B65" s="308" t="s">
        <v>61</v>
      </c>
      <c r="C65" s="309">
        <f>SUM(C61:C64)</f>
        <v>131410000</v>
      </c>
      <c r="D65" s="309">
        <f>SUM(D61:D64)</f>
        <v>109974000</v>
      </c>
      <c r="E65" s="309">
        <f>D65-C65</f>
        <v>-21436000</v>
      </c>
      <c r="F65" s="310">
        <f>IF(C65=0,0,E65/C65)</f>
        <v>-0.16312304999619512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370000</v>
      </c>
      <c r="D67" s="22">
        <v>955000</v>
      </c>
      <c r="E67" s="22">
        <f>D67-C67</f>
        <v>585000</v>
      </c>
      <c r="F67" s="321">
        <f>IF(C67=0,0,E67/C67)</f>
        <v>1.5810810810810811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32525000</v>
      </c>
      <c r="D70" s="22">
        <v>32395000</v>
      </c>
      <c r="E70" s="22">
        <f>D70-C70</f>
        <v>-130000</v>
      </c>
      <c r="F70" s="306">
        <f>IF(C70=0,0,E70/C70)</f>
        <v>-3.9969254419677169E-3</v>
      </c>
    </row>
    <row r="71" spans="1:6" ht="24" customHeight="1" x14ac:dyDescent="0.2">
      <c r="A71" s="304">
        <v>2</v>
      </c>
      <c r="B71" s="305" t="s">
        <v>65</v>
      </c>
      <c r="C71" s="22">
        <v>2415000</v>
      </c>
      <c r="D71" s="22">
        <v>1922000</v>
      </c>
      <c r="E71" s="22">
        <f>D71-C71</f>
        <v>-493000</v>
      </c>
      <c r="F71" s="306">
        <f>IF(C71=0,0,E71/C71)</f>
        <v>-0.20414078674948241</v>
      </c>
    </row>
    <row r="72" spans="1:6" ht="24" customHeight="1" x14ac:dyDescent="0.2">
      <c r="A72" s="304">
        <v>3</v>
      </c>
      <c r="B72" s="305" t="s">
        <v>66</v>
      </c>
      <c r="C72" s="22">
        <v>16681000</v>
      </c>
      <c r="D72" s="22">
        <v>15831000</v>
      </c>
      <c r="E72" s="22">
        <f>D72-C72</f>
        <v>-850000</v>
      </c>
      <c r="F72" s="306">
        <f>IF(C72=0,0,E72/C72)</f>
        <v>-5.0956177687189019E-2</v>
      </c>
    </row>
    <row r="73" spans="1:6" ht="24" customHeight="1" x14ac:dyDescent="0.25">
      <c r="A73" s="304"/>
      <c r="B73" s="308" t="s">
        <v>67</v>
      </c>
      <c r="C73" s="309">
        <f>SUM(C70:C72)</f>
        <v>51621000</v>
      </c>
      <c r="D73" s="309">
        <f>SUM(D70:D72)</f>
        <v>50148000</v>
      </c>
      <c r="E73" s="309">
        <f>D73-C73</f>
        <v>-1473000</v>
      </c>
      <c r="F73" s="310">
        <f>IF(C73=0,0,E73/C73)</f>
        <v>-2.853489858778404E-2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224013000</v>
      </c>
      <c r="D75" s="309">
        <f>D56+D65+D67+D73</f>
        <v>206860000</v>
      </c>
      <c r="E75" s="309">
        <f>D75-C75</f>
        <v>-17153000</v>
      </c>
      <c r="F75" s="310">
        <f>IF(C75=0,0,E75/C75)</f>
        <v>-7.6571448978407508E-2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FILING&amp;RSAINT MARY`S HEALTH SYSTEM,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733919000</v>
      </c>
      <c r="D11" s="76">
        <v>832217000</v>
      </c>
      <c r="E11" s="76">
        <f t="shared" ref="E11:E20" si="0">D11-C11</f>
        <v>98298000</v>
      </c>
      <c r="F11" s="77">
        <f t="shared" ref="F11:F20" si="1">IF(C11=0,0,E11/C11)</f>
        <v>0.1339357613033591</v>
      </c>
    </row>
    <row r="12" spans="1:7" ht="23.1" customHeight="1" x14ac:dyDescent="0.2">
      <c r="A12" s="74">
        <v>2</v>
      </c>
      <c r="B12" s="75" t="s">
        <v>72</v>
      </c>
      <c r="C12" s="76">
        <v>454404000</v>
      </c>
      <c r="D12" s="76">
        <v>536081000</v>
      </c>
      <c r="E12" s="76">
        <f t="shared" si="0"/>
        <v>81677000</v>
      </c>
      <c r="F12" s="77">
        <f t="shared" si="1"/>
        <v>0.17974533674879623</v>
      </c>
    </row>
    <row r="13" spans="1:7" ht="23.1" customHeight="1" x14ac:dyDescent="0.2">
      <c r="A13" s="74">
        <v>3</v>
      </c>
      <c r="B13" s="75" t="s">
        <v>73</v>
      </c>
      <c r="C13" s="76">
        <v>328000</v>
      </c>
      <c r="D13" s="76">
        <v>1072000</v>
      </c>
      <c r="E13" s="76">
        <f t="shared" si="0"/>
        <v>744000</v>
      </c>
      <c r="F13" s="77">
        <f t="shared" si="1"/>
        <v>2.2682926829268291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279187000</v>
      </c>
      <c r="D15" s="79">
        <f>D11-D12-D13-D14</f>
        <v>295064000</v>
      </c>
      <c r="E15" s="79">
        <f t="shared" si="0"/>
        <v>15877000</v>
      </c>
      <c r="F15" s="80">
        <f t="shared" si="1"/>
        <v>5.6868693742903501E-2</v>
      </c>
    </row>
    <row r="16" spans="1:7" ht="23.1" customHeight="1" x14ac:dyDescent="0.2">
      <c r="A16" s="74">
        <v>5</v>
      </c>
      <c r="B16" s="75" t="s">
        <v>76</v>
      </c>
      <c r="C16" s="76">
        <v>11100000</v>
      </c>
      <c r="D16" s="76">
        <v>9675000</v>
      </c>
      <c r="E16" s="76">
        <f t="shared" si="0"/>
        <v>-1425000</v>
      </c>
      <c r="F16" s="77">
        <f t="shared" si="1"/>
        <v>-0.12837837837837837</v>
      </c>
      <c r="G16" s="65"/>
    </row>
    <row r="17" spans="1:7" ht="31.5" customHeight="1" x14ac:dyDescent="0.25">
      <c r="A17" s="71"/>
      <c r="B17" s="81" t="s">
        <v>77</v>
      </c>
      <c r="C17" s="79">
        <f>C15-C16</f>
        <v>268087000</v>
      </c>
      <c r="D17" s="79">
        <f>D15-D16</f>
        <v>285389000</v>
      </c>
      <c r="E17" s="79">
        <f t="shared" si="0"/>
        <v>17302000</v>
      </c>
      <c r="F17" s="80">
        <f t="shared" si="1"/>
        <v>6.453875048025455E-2</v>
      </c>
    </row>
    <row r="18" spans="1:7" ht="23.1" customHeight="1" x14ac:dyDescent="0.2">
      <c r="A18" s="74">
        <v>6</v>
      </c>
      <c r="B18" s="75" t="s">
        <v>78</v>
      </c>
      <c r="C18" s="76">
        <v>10774000</v>
      </c>
      <c r="D18" s="76">
        <v>10072000</v>
      </c>
      <c r="E18" s="76">
        <f t="shared" si="0"/>
        <v>-702000</v>
      </c>
      <c r="F18" s="77">
        <f t="shared" si="1"/>
        <v>-6.5156859105253387E-2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278861000</v>
      </c>
      <c r="D20" s="79">
        <f>SUM(D17:D19)</f>
        <v>295461000</v>
      </c>
      <c r="E20" s="79">
        <f t="shared" si="0"/>
        <v>16600000</v>
      </c>
      <c r="F20" s="80">
        <f t="shared" si="1"/>
        <v>5.9527865137111322E-2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113553000</v>
      </c>
      <c r="D23" s="76">
        <v>123197000</v>
      </c>
      <c r="E23" s="76">
        <f t="shared" ref="E23:E32" si="2">D23-C23</f>
        <v>9644000</v>
      </c>
      <c r="F23" s="77">
        <f t="shared" ref="F23:F32" si="3">IF(C23=0,0,E23/C23)</f>
        <v>8.4929504284342996E-2</v>
      </c>
    </row>
    <row r="24" spans="1:7" ht="23.1" customHeight="1" x14ac:dyDescent="0.2">
      <c r="A24" s="74">
        <v>2</v>
      </c>
      <c r="B24" s="75" t="s">
        <v>83</v>
      </c>
      <c r="C24" s="76">
        <v>28631000</v>
      </c>
      <c r="D24" s="76">
        <v>32298000</v>
      </c>
      <c r="E24" s="76">
        <f t="shared" si="2"/>
        <v>3667000</v>
      </c>
      <c r="F24" s="77">
        <f t="shared" si="3"/>
        <v>0.12807795745869863</v>
      </c>
    </row>
    <row r="25" spans="1:7" ht="23.1" customHeight="1" x14ac:dyDescent="0.2">
      <c r="A25" s="74">
        <v>3</v>
      </c>
      <c r="B25" s="75" t="s">
        <v>84</v>
      </c>
      <c r="C25" s="76">
        <v>8659000</v>
      </c>
      <c r="D25" s="76">
        <v>9916000</v>
      </c>
      <c r="E25" s="76">
        <f t="shared" si="2"/>
        <v>1257000</v>
      </c>
      <c r="F25" s="77">
        <f t="shared" si="3"/>
        <v>0.14516687839242406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36800000</v>
      </c>
      <c r="D26" s="76">
        <v>43411000</v>
      </c>
      <c r="E26" s="76">
        <f t="shared" si="2"/>
        <v>6611000</v>
      </c>
      <c r="F26" s="77">
        <f t="shared" si="3"/>
        <v>0.17964673913043477</v>
      </c>
    </row>
    <row r="27" spans="1:7" ht="23.1" customHeight="1" x14ac:dyDescent="0.2">
      <c r="A27" s="74">
        <v>5</v>
      </c>
      <c r="B27" s="75" t="s">
        <v>86</v>
      </c>
      <c r="C27" s="76">
        <v>10529000</v>
      </c>
      <c r="D27" s="76">
        <v>11636000</v>
      </c>
      <c r="E27" s="76">
        <f t="shared" si="2"/>
        <v>1107000</v>
      </c>
      <c r="F27" s="77">
        <f t="shared" si="3"/>
        <v>0.1051381897616108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1438000</v>
      </c>
      <c r="D29" s="76">
        <v>980000</v>
      </c>
      <c r="E29" s="76">
        <f t="shared" si="2"/>
        <v>-458000</v>
      </c>
      <c r="F29" s="77">
        <f t="shared" si="3"/>
        <v>-0.31849791376912379</v>
      </c>
    </row>
    <row r="30" spans="1:7" ht="23.1" customHeight="1" x14ac:dyDescent="0.2">
      <c r="A30" s="74">
        <v>8</v>
      </c>
      <c r="B30" s="75" t="s">
        <v>89</v>
      </c>
      <c r="C30" s="76">
        <v>6148000</v>
      </c>
      <c r="D30" s="76">
        <v>4154000</v>
      </c>
      <c r="E30" s="76">
        <f t="shared" si="2"/>
        <v>-1994000</v>
      </c>
      <c r="F30" s="77">
        <f t="shared" si="3"/>
        <v>-0.32433311646063762</v>
      </c>
    </row>
    <row r="31" spans="1:7" ht="23.1" customHeight="1" x14ac:dyDescent="0.2">
      <c r="A31" s="74">
        <v>9</v>
      </c>
      <c r="B31" s="75" t="s">
        <v>90</v>
      </c>
      <c r="C31" s="76">
        <v>63957000</v>
      </c>
      <c r="D31" s="76">
        <v>67708000</v>
      </c>
      <c r="E31" s="76">
        <f t="shared" si="2"/>
        <v>3751000</v>
      </c>
      <c r="F31" s="77">
        <f t="shared" si="3"/>
        <v>5.8648779648826553E-2</v>
      </c>
    </row>
    <row r="32" spans="1:7" ht="23.1" customHeight="1" x14ac:dyDescent="0.25">
      <c r="A32" s="71"/>
      <c r="B32" s="78" t="s">
        <v>91</v>
      </c>
      <c r="C32" s="79">
        <f>SUM(C23:C31)</f>
        <v>269715000</v>
      </c>
      <c r="D32" s="79">
        <f>SUM(D23:D31)</f>
        <v>293300000</v>
      </c>
      <c r="E32" s="79">
        <f t="shared" si="2"/>
        <v>23585000</v>
      </c>
      <c r="F32" s="80">
        <f t="shared" si="3"/>
        <v>8.7444154014422626E-2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9146000</v>
      </c>
      <c r="D34" s="79">
        <f>+D20-D32</f>
        <v>2161000</v>
      </c>
      <c r="E34" s="79">
        <f>D34-C34</f>
        <v>-6985000</v>
      </c>
      <c r="F34" s="80">
        <f>IF(C34=0,0,E34/C34)</f>
        <v>-0.76372184561556966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3824000</v>
      </c>
      <c r="D37" s="76">
        <v>1565000</v>
      </c>
      <c r="E37" s="76">
        <f>D37-C37</f>
        <v>-2259000</v>
      </c>
      <c r="F37" s="77">
        <f>IF(C37=0,0,E37/C37)</f>
        <v>-0.59074267782426781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-140000</v>
      </c>
      <c r="D39" s="76">
        <v>963000</v>
      </c>
      <c r="E39" s="76">
        <f>D39-C39</f>
        <v>1103000</v>
      </c>
      <c r="F39" s="77">
        <f>IF(C39=0,0,E39/C39)</f>
        <v>-7.878571428571429</v>
      </c>
    </row>
    <row r="40" spans="1:6" ht="23.1" customHeight="1" x14ac:dyDescent="0.25">
      <c r="A40" s="83"/>
      <c r="B40" s="78" t="s">
        <v>97</v>
      </c>
      <c r="C40" s="79">
        <f>SUM(C37:C39)</f>
        <v>3684000</v>
      </c>
      <c r="D40" s="79">
        <f>SUM(D37:D39)</f>
        <v>2528000</v>
      </c>
      <c r="E40" s="79">
        <f>D40-C40</f>
        <v>-1156000</v>
      </c>
      <c r="F40" s="80">
        <f>IF(C40=0,0,E40/C40)</f>
        <v>-0.31378935939196523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12830000</v>
      </c>
      <c r="D42" s="79">
        <f>D34+D40</f>
        <v>4689000</v>
      </c>
      <c r="E42" s="79">
        <f>D42-C42</f>
        <v>-8141000</v>
      </c>
      <c r="F42" s="80">
        <f>IF(C42=0,0,E42/C42)</f>
        <v>-0.6345284489477786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12830000</v>
      </c>
      <c r="D49" s="79">
        <f>D42+D47</f>
        <v>4689000</v>
      </c>
      <c r="E49" s="79">
        <f>D49-C49</f>
        <v>-8141000</v>
      </c>
      <c r="F49" s="80">
        <f>IF(C49=0,0,E49/C49)</f>
        <v>-0.6345284489477786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scale="76" fitToHeight="0" orientation="portrait" horizontalDpi="1200" verticalDpi="1200" r:id="rId1"/>
  <headerFooter>
    <oddHeader>&amp;L&amp;8OFFICE OF HEALTH CARE ACCESS&amp;C&amp;8TWELVE MONTHS ACTUAL FILING&amp;R&amp;8SAINT MARY`S HEALTH SYSTEM,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2016-07-21T18:55:03Z</cp:lastPrinted>
  <dcterms:created xsi:type="dcterms:W3CDTF">2016-07-21T18:45:39Z</dcterms:created>
  <dcterms:modified xsi:type="dcterms:W3CDTF">2016-07-27T14:58:13Z</dcterms:modified>
</cp:coreProperties>
</file>