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2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/>
  <c r="D12" i="22"/>
  <c r="D34" i="22"/>
  <c r="C12" i="22"/>
  <c r="C33" i="22"/>
  <c r="D21" i="21"/>
  <c r="E21" i="21"/>
  <c r="F21" i="21"/>
  <c r="C21" i="21"/>
  <c r="D19" i="21"/>
  <c r="E19" i="21"/>
  <c r="F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C301" i="18"/>
  <c r="D293" i="18"/>
  <c r="E293" i="18"/>
  <c r="C293" i="18"/>
  <c r="D292" i="18"/>
  <c r="C292" i="18"/>
  <c r="E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E251" i="18"/>
  <c r="D233" i="18"/>
  <c r="C233" i="18"/>
  <c r="D232" i="18"/>
  <c r="E232" i="18"/>
  <c r="C232" i="18"/>
  <c r="D231" i="18"/>
  <c r="C231" i="18"/>
  <c r="E231" i="18"/>
  <c r="D230" i="18"/>
  <c r="E230" i="18"/>
  <c r="C230" i="18"/>
  <c r="D228" i="18"/>
  <c r="E228" i="18"/>
  <c r="C228" i="18"/>
  <c r="D227" i="18"/>
  <c r="C227" i="18"/>
  <c r="E227" i="18"/>
  <c r="D221" i="18"/>
  <c r="D245" i="18"/>
  <c r="C221" i="18"/>
  <c r="C245" i="18"/>
  <c r="D220" i="18"/>
  <c r="D244" i="18"/>
  <c r="C220" i="18"/>
  <c r="C244" i="18"/>
  <c r="D219" i="18"/>
  <c r="D243" i="18"/>
  <c r="C219" i="18"/>
  <c r="C243" i="18"/>
  <c r="D218" i="18"/>
  <c r="D242" i="18"/>
  <c r="C218" i="18"/>
  <c r="C242" i="18"/>
  <c r="D217" i="18"/>
  <c r="D216" i="18"/>
  <c r="D240" i="18"/>
  <c r="C216" i="18"/>
  <c r="D215" i="18"/>
  <c r="C215" i="18"/>
  <c r="C239" i="18"/>
  <c r="D210" i="18"/>
  <c r="E209" i="18"/>
  <c r="E208" i="18"/>
  <c r="E207" i="18"/>
  <c r="E206" i="18"/>
  <c r="D205" i="18"/>
  <c r="D229" i="18"/>
  <c r="C205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C179" i="18"/>
  <c r="E179" i="18"/>
  <c r="D178" i="18"/>
  <c r="E178" i="18"/>
  <c r="C178" i="18"/>
  <c r="D177" i="18"/>
  <c r="C177" i="18"/>
  <c r="E177" i="18"/>
  <c r="D176" i="18"/>
  <c r="E176" i="18"/>
  <c r="C176" i="18"/>
  <c r="D174" i="18"/>
  <c r="E174" i="18"/>
  <c r="C174" i="18"/>
  <c r="D173" i="18"/>
  <c r="C173" i="18"/>
  <c r="E173" i="18"/>
  <c r="D167" i="18"/>
  <c r="E167" i="18"/>
  <c r="C167" i="18"/>
  <c r="D166" i="18"/>
  <c r="C166" i="18"/>
  <c r="E166" i="18"/>
  <c r="D165" i="18"/>
  <c r="E165" i="18"/>
  <c r="C165" i="18"/>
  <c r="D164" i="18"/>
  <c r="C164" i="18"/>
  <c r="E164" i="18"/>
  <c r="D162" i="18"/>
  <c r="C162" i="18"/>
  <c r="E162" i="18"/>
  <c r="D161" i="18"/>
  <c r="E161" i="18"/>
  <c r="C161" i="18"/>
  <c r="D156" i="18"/>
  <c r="D157" i="18"/>
  <c r="E155" i="18"/>
  <c r="E154" i="18"/>
  <c r="E153" i="18"/>
  <c r="E152" i="18"/>
  <c r="D151" i="18"/>
  <c r="C151" i="18"/>
  <c r="E151" i="18"/>
  <c r="E150" i="18"/>
  <c r="E149" i="18"/>
  <c r="C144" i="18"/>
  <c r="E143" i="18"/>
  <c r="E142" i="18"/>
  <c r="E141" i="18"/>
  <c r="E140" i="18"/>
  <c r="D139" i="18"/>
  <c r="D163" i="18"/>
  <c r="C139" i="18"/>
  <c r="C175" i="18"/>
  <c r="E138" i="18"/>
  <c r="E137" i="18"/>
  <c r="D75" i="18"/>
  <c r="E75" i="18"/>
  <c r="C75" i="18"/>
  <c r="D74" i="18"/>
  <c r="C74" i="18"/>
  <c r="E74" i="18"/>
  <c r="D73" i="18"/>
  <c r="E73" i="18"/>
  <c r="C73" i="18"/>
  <c r="D72" i="18"/>
  <c r="C72" i="18"/>
  <c r="E72" i="18"/>
  <c r="D71" i="18"/>
  <c r="D70" i="18"/>
  <c r="D76" i="18"/>
  <c r="C70" i="18"/>
  <c r="D69" i="18"/>
  <c r="D77" i="18"/>
  <c r="C69" i="18"/>
  <c r="D65" i="18"/>
  <c r="D66" i="18"/>
  <c r="E64" i="18"/>
  <c r="E63" i="18"/>
  <c r="E62" i="18"/>
  <c r="E61" i="18"/>
  <c r="D60" i="18"/>
  <c r="D289" i="18"/>
  <c r="C60" i="18"/>
  <c r="C289" i="18"/>
  <c r="E59" i="18"/>
  <c r="E58" i="18"/>
  <c r="D55" i="18"/>
  <c r="D54" i="18"/>
  <c r="C54" i="18"/>
  <c r="E54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C40" i="18"/>
  <c r="E40" i="18"/>
  <c r="D39" i="18"/>
  <c r="E39" i="18"/>
  <c r="C39" i="18"/>
  <c r="D38" i="18"/>
  <c r="C38" i="18"/>
  <c r="E38" i="18"/>
  <c r="D37" i="18"/>
  <c r="D43" i="18"/>
  <c r="C37" i="18"/>
  <c r="C43" i="18"/>
  <c r="D36" i="18"/>
  <c r="D44" i="18"/>
  <c r="C36" i="18"/>
  <c r="C44" i="18"/>
  <c r="D33" i="18"/>
  <c r="D32" i="18"/>
  <c r="C32" i="18"/>
  <c r="C33" i="18"/>
  <c r="E31" i="18"/>
  <c r="E30" i="18"/>
  <c r="E29" i="18"/>
  <c r="E28" i="18"/>
  <c r="E27" i="18"/>
  <c r="E26" i="18"/>
  <c r="E25" i="18"/>
  <c r="C22" i="18"/>
  <c r="D21" i="18"/>
  <c r="D283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E308" i="17"/>
  <c r="F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C250" i="17"/>
  <c r="C306" i="17"/>
  <c r="E249" i="17"/>
  <c r="F249" i="17"/>
  <c r="E248" i="17"/>
  <c r="F248" i="17"/>
  <c r="F245" i="17"/>
  <c r="E245" i="17"/>
  <c r="E244" i="17"/>
  <c r="F244" i="17"/>
  <c r="E243" i="17"/>
  <c r="F243" i="17"/>
  <c r="D238" i="17"/>
  <c r="C238" i="17"/>
  <c r="D237" i="17"/>
  <c r="E237" i="17"/>
  <c r="C237" i="17"/>
  <c r="C239" i="17"/>
  <c r="E234" i="17"/>
  <c r="F234" i="17"/>
  <c r="E233" i="17"/>
  <c r="F233" i="17"/>
  <c r="D230" i="17"/>
  <c r="E230" i="17"/>
  <c r="C230" i="17"/>
  <c r="D229" i="17"/>
  <c r="E229" i="17"/>
  <c r="C229" i="17"/>
  <c r="E228" i="17"/>
  <c r="F228" i="17"/>
  <c r="D226" i="17"/>
  <c r="E226" i="17"/>
  <c r="C226" i="17"/>
  <c r="C227" i="17"/>
  <c r="E225" i="17"/>
  <c r="F225" i="17"/>
  <c r="E224" i="17"/>
  <c r="F224" i="17"/>
  <c r="D223" i="17"/>
  <c r="E223" i="17"/>
  <c r="C223" i="17"/>
  <c r="E222" i="17"/>
  <c r="F222" i="17"/>
  <c r="E221" i="17"/>
  <c r="F221" i="17"/>
  <c r="D204" i="17"/>
  <c r="C204" i="17"/>
  <c r="C285" i="17"/>
  <c r="D203" i="17"/>
  <c r="C203" i="17"/>
  <c r="C283" i="17"/>
  <c r="D198" i="17"/>
  <c r="C198" i="17"/>
  <c r="D191" i="17"/>
  <c r="D280" i="17"/>
  <c r="C191" i="17"/>
  <c r="C280" i="17"/>
  <c r="D189" i="17"/>
  <c r="D278" i="17"/>
  <c r="C189" i="17"/>
  <c r="C278" i="17"/>
  <c r="D188" i="17"/>
  <c r="D277" i="17"/>
  <c r="C188" i="17"/>
  <c r="C277" i="17"/>
  <c r="D180" i="17"/>
  <c r="C180" i="17"/>
  <c r="D179" i="17"/>
  <c r="D181" i="17"/>
  <c r="E181" i="17"/>
  <c r="C179" i="17"/>
  <c r="C181" i="17"/>
  <c r="D171" i="17"/>
  <c r="D172" i="17"/>
  <c r="C171" i="17"/>
  <c r="C172" i="17"/>
  <c r="D170" i="17"/>
  <c r="C170" i="17"/>
  <c r="E169" i="17"/>
  <c r="F169" i="17"/>
  <c r="E168" i="17"/>
  <c r="F168" i="17"/>
  <c r="D165" i="17"/>
  <c r="C165" i="17"/>
  <c r="D164" i="17"/>
  <c r="C164" i="17"/>
  <c r="E163" i="17"/>
  <c r="F163" i="17"/>
  <c r="D158" i="17"/>
  <c r="D159" i="17"/>
  <c r="C158" i="17"/>
  <c r="C159" i="17"/>
  <c r="E157" i="17"/>
  <c r="F157" i="17"/>
  <c r="E156" i="17"/>
  <c r="F156" i="17"/>
  <c r="D155" i="17"/>
  <c r="C155" i="17"/>
  <c r="E155" i="17"/>
  <c r="E154" i="17"/>
  <c r="F154" i="17"/>
  <c r="E153" i="17"/>
  <c r="F153" i="17"/>
  <c r="D145" i="17"/>
  <c r="C145" i="17"/>
  <c r="E145" i="17"/>
  <c r="D144" i="17"/>
  <c r="D146" i="17"/>
  <c r="C144" i="17"/>
  <c r="C146" i="17"/>
  <c r="D136" i="17"/>
  <c r="D137" i="17"/>
  <c r="C136" i="17"/>
  <c r="C137" i="17"/>
  <c r="D135" i="17"/>
  <c r="C135" i="17"/>
  <c r="E135" i="17"/>
  <c r="E134" i="17"/>
  <c r="F134" i="17"/>
  <c r="E133" i="17"/>
  <c r="F133" i="17"/>
  <c r="D130" i="17"/>
  <c r="C130" i="17"/>
  <c r="E130" i="17"/>
  <c r="D129" i="17"/>
  <c r="C129" i="17"/>
  <c r="E129" i="17"/>
  <c r="E128" i="17"/>
  <c r="F128" i="17"/>
  <c r="D123" i="17"/>
  <c r="D192" i="17"/>
  <c r="C123" i="17"/>
  <c r="E122" i="17"/>
  <c r="F122" i="17"/>
  <c r="E121" i="17"/>
  <c r="F121" i="17"/>
  <c r="D120" i="17"/>
  <c r="C120" i="17"/>
  <c r="E119" i="17"/>
  <c r="F119" i="17"/>
  <c r="E118" i="17"/>
  <c r="F118" i="17"/>
  <c r="D110" i="17"/>
  <c r="C110" i="17"/>
  <c r="D109" i="17"/>
  <c r="D111" i="17"/>
  <c r="E111" i="17"/>
  <c r="C109" i="17"/>
  <c r="C111" i="17"/>
  <c r="D101" i="17"/>
  <c r="D102" i="17"/>
  <c r="C101" i="17"/>
  <c r="C102" i="17"/>
  <c r="D100" i="17"/>
  <c r="C100" i="17"/>
  <c r="E99" i="17"/>
  <c r="F99" i="17"/>
  <c r="E98" i="17"/>
  <c r="F98" i="17"/>
  <c r="D95" i="17"/>
  <c r="C95" i="17"/>
  <c r="D94" i="17"/>
  <c r="C94" i="17"/>
  <c r="E93" i="17"/>
  <c r="F93" i="17"/>
  <c r="D88" i="17"/>
  <c r="D89" i="17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D77" i="17"/>
  <c r="C76" i="17"/>
  <c r="C77" i="17"/>
  <c r="F74" i="17"/>
  <c r="E74" i="17"/>
  <c r="F73" i="17"/>
  <c r="E73" i="17"/>
  <c r="D67" i="17"/>
  <c r="E67" i="17"/>
  <c r="F67" i="17"/>
  <c r="C67" i="17"/>
  <c r="D66" i="17"/>
  <c r="D68" i="17"/>
  <c r="C66" i="17"/>
  <c r="C68" i="17"/>
  <c r="D59" i="17"/>
  <c r="D60" i="17"/>
  <c r="C59" i="17"/>
  <c r="C60" i="17"/>
  <c r="D58" i="17"/>
  <c r="E58" i="17"/>
  <c r="F58" i="17"/>
  <c r="C58" i="17"/>
  <c r="E57" i="17"/>
  <c r="F57" i="17"/>
  <c r="E56" i="17"/>
  <c r="F56" i="17"/>
  <c r="D53" i="17"/>
  <c r="E53" i="17"/>
  <c r="F53" i="17"/>
  <c r="C53" i="17"/>
  <c r="D52" i="17"/>
  <c r="E52" i="17"/>
  <c r="F52" i="17"/>
  <c r="C52" i="17"/>
  <c r="E51" i="17"/>
  <c r="F51" i="17"/>
  <c r="D47" i="17"/>
  <c r="D48" i="17"/>
  <c r="C47" i="17"/>
  <c r="C48" i="17"/>
  <c r="E46" i="17"/>
  <c r="F46" i="17"/>
  <c r="E45" i="17"/>
  <c r="F45" i="17"/>
  <c r="D44" i="17"/>
  <c r="E44" i="17"/>
  <c r="F44" i="17"/>
  <c r="C44" i="17"/>
  <c r="E43" i="17"/>
  <c r="F43" i="17"/>
  <c r="E42" i="17"/>
  <c r="F42" i="17"/>
  <c r="D36" i="17"/>
  <c r="E36" i="17"/>
  <c r="F36" i="17"/>
  <c r="C36" i="17"/>
  <c r="D35" i="17"/>
  <c r="D37" i="17"/>
  <c r="C35" i="17"/>
  <c r="D30" i="17"/>
  <c r="D31" i="17"/>
  <c r="C30" i="17"/>
  <c r="C31" i="17"/>
  <c r="D29" i="17"/>
  <c r="E29" i="17"/>
  <c r="F29" i="17"/>
  <c r="C29" i="17"/>
  <c r="E28" i="17"/>
  <c r="F28" i="17"/>
  <c r="E27" i="17"/>
  <c r="F27" i="17"/>
  <c r="D24" i="17"/>
  <c r="E24" i="17"/>
  <c r="F24" i="17"/>
  <c r="C24" i="17"/>
  <c r="D23" i="17"/>
  <c r="E23" i="17"/>
  <c r="F23" i="17"/>
  <c r="C23" i="17"/>
  <c r="E22" i="17"/>
  <c r="F22" i="17"/>
  <c r="D20" i="17"/>
  <c r="E20" i="17"/>
  <c r="F20" i="17"/>
  <c r="C20" i="17"/>
  <c r="E19" i="17"/>
  <c r="F19" i="17"/>
  <c r="E18" i="17"/>
  <c r="F18" i="17"/>
  <c r="D17" i="17"/>
  <c r="E17" i="17"/>
  <c r="F17" i="17"/>
  <c r="C17" i="17"/>
  <c r="E16" i="17"/>
  <c r="F16" i="17"/>
  <c r="E15" i="17"/>
  <c r="F15" i="17"/>
  <c r="D21" i="16"/>
  <c r="E21" i="16"/>
  <c r="C21" i="16"/>
  <c r="F20" i="16"/>
  <c r="E20" i="16"/>
  <c r="D17" i="16"/>
  <c r="E17" i="16"/>
  <c r="F17" i="16"/>
  <c r="C17" i="16"/>
  <c r="F16" i="16"/>
  <c r="E16" i="16"/>
  <c r="D13" i="16"/>
  <c r="E13" i="16"/>
  <c r="F13" i="16"/>
  <c r="C13" i="16"/>
  <c r="F12" i="16"/>
  <c r="E12" i="16"/>
  <c r="D107" i="15"/>
  <c r="E107" i="15"/>
  <c r="F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D60" i="15"/>
  <c r="C60" i="15"/>
  <c r="F59" i="15"/>
  <c r="E59" i="15"/>
  <c r="F58" i="15"/>
  <c r="E58" i="15"/>
  <c r="E60" i="15"/>
  <c r="F60" i="15"/>
  <c r="D55" i="15"/>
  <c r="E55" i="15"/>
  <c r="F55" i="15"/>
  <c r="C55" i="15"/>
  <c r="F54" i="15"/>
  <c r="E54" i="15"/>
  <c r="F53" i="15"/>
  <c r="E53" i="15"/>
  <c r="D50" i="15"/>
  <c r="E50" i="15"/>
  <c r="F50" i="15"/>
  <c r="C50" i="15"/>
  <c r="F49" i="15"/>
  <c r="E49" i="15"/>
  <c r="F48" i="15"/>
  <c r="E48" i="15"/>
  <c r="D45" i="15"/>
  <c r="E45" i="15"/>
  <c r="F45" i="15"/>
  <c r="C45" i="15"/>
  <c r="F44" i="15"/>
  <c r="E44" i="15"/>
  <c r="F43" i="15"/>
  <c r="E43" i="15"/>
  <c r="D37" i="15"/>
  <c r="E37" i="15"/>
  <c r="F37" i="15"/>
  <c r="C37" i="15"/>
  <c r="F36" i="15"/>
  <c r="E36" i="15"/>
  <c r="F35" i="15"/>
  <c r="E35" i="15"/>
  <c r="F34" i="15"/>
  <c r="E34" i="15"/>
  <c r="F33" i="15"/>
  <c r="E33" i="15"/>
  <c r="F30" i="15"/>
  <c r="D30" i="15"/>
  <c r="E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E59" i="13"/>
  <c r="E61" i="13"/>
  <c r="E57" i="13"/>
  <c r="D46" i="13"/>
  <c r="D59" i="13"/>
  <c r="D61" i="13"/>
  <c r="D57" i="13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C25" i="13"/>
  <c r="C27" i="13"/>
  <c r="E15" i="13"/>
  <c r="E24" i="13"/>
  <c r="C15" i="13"/>
  <c r="C24" i="13"/>
  <c r="E13" i="13"/>
  <c r="D13" i="13"/>
  <c r="D25" i="13"/>
  <c r="D27" i="13"/>
  <c r="C13" i="13"/>
  <c r="F47" i="12"/>
  <c r="D47" i="12"/>
  <c r="E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F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E54" i="11"/>
  <c r="F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E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E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D120" i="10"/>
  <c r="E120" i="10"/>
  <c r="C120" i="10"/>
  <c r="F120" i="10"/>
  <c r="D119" i="10"/>
  <c r="E119" i="10"/>
  <c r="C119" i="10"/>
  <c r="F119" i="10"/>
  <c r="D118" i="10"/>
  <c r="E118" i="10"/>
  <c r="C118" i="10"/>
  <c r="F118" i="10"/>
  <c r="D117" i="10"/>
  <c r="E117" i="10"/>
  <c r="C117" i="10"/>
  <c r="F117" i="10"/>
  <c r="D116" i="10"/>
  <c r="E116" i="10"/>
  <c r="C116" i="10"/>
  <c r="F116" i="10"/>
  <c r="D115" i="10"/>
  <c r="E115" i="10"/>
  <c r="C115" i="10"/>
  <c r="F115" i="10"/>
  <c r="D114" i="10"/>
  <c r="E114" i="10"/>
  <c r="C114" i="10"/>
  <c r="F114" i="10"/>
  <c r="D113" i="10"/>
  <c r="D122" i="10"/>
  <c r="C113" i="10"/>
  <c r="F113" i="10"/>
  <c r="D112" i="10"/>
  <c r="D121" i="10"/>
  <c r="C112" i="10"/>
  <c r="F112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F206" i="9"/>
  <c r="C206" i="9"/>
  <c r="D205" i="9"/>
  <c r="E205" i="9"/>
  <c r="F205" i="9"/>
  <c r="C205" i="9"/>
  <c r="D204" i="9"/>
  <c r="E204" i="9"/>
  <c r="F204" i="9"/>
  <c r="C204" i="9"/>
  <c r="D203" i="9"/>
  <c r="E203" i="9"/>
  <c r="F203" i="9"/>
  <c r="C203" i="9"/>
  <c r="D202" i="9"/>
  <c r="E202" i="9"/>
  <c r="F202" i="9"/>
  <c r="C202" i="9"/>
  <c r="D201" i="9"/>
  <c r="E201" i="9"/>
  <c r="F201" i="9"/>
  <c r="C201" i="9"/>
  <c r="D200" i="9"/>
  <c r="E200" i="9"/>
  <c r="F200" i="9"/>
  <c r="C200" i="9"/>
  <c r="D199" i="9"/>
  <c r="D208" i="9"/>
  <c r="E208" i="9"/>
  <c r="C199" i="9"/>
  <c r="C208" i="9"/>
  <c r="D198" i="9"/>
  <c r="D207" i="9"/>
  <c r="E207" i="9"/>
  <c r="C198" i="9"/>
  <c r="C207" i="9"/>
  <c r="D193" i="9"/>
  <c r="E193" i="9"/>
  <c r="F193" i="9"/>
  <c r="C193" i="9"/>
  <c r="D192" i="9"/>
  <c r="E192" i="9"/>
  <c r="F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/>
  <c r="F141" i="9"/>
  <c r="C141" i="9"/>
  <c r="D140" i="9"/>
  <c r="E140" i="9"/>
  <c r="F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D115" i="9"/>
  <c r="E115" i="9"/>
  <c r="F115" i="9"/>
  <c r="C115" i="9"/>
  <c r="D114" i="9"/>
  <c r="E114" i="9"/>
  <c r="F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/>
  <c r="F102" i="9"/>
  <c r="C102" i="9"/>
  <c r="D101" i="9"/>
  <c r="E101" i="9"/>
  <c r="F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D89" i="9"/>
  <c r="E89" i="9"/>
  <c r="F89" i="9"/>
  <c r="C89" i="9"/>
  <c r="D88" i="9"/>
  <c r="E88" i="9"/>
  <c r="F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E160" i="8"/>
  <c r="E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C95" i="8"/>
  <c r="C94" i="8"/>
  <c r="D94" i="8"/>
  <c r="E89" i="8"/>
  <c r="D89" i="8"/>
  <c r="C89" i="8"/>
  <c r="E87" i="8"/>
  <c r="D87" i="8"/>
  <c r="C87" i="8"/>
  <c r="E84" i="8"/>
  <c r="D84" i="8"/>
  <c r="C84" i="8"/>
  <c r="E83" i="8"/>
  <c r="E79" i="8"/>
  <c r="D83" i="8"/>
  <c r="C83" i="8"/>
  <c r="C79" i="8"/>
  <c r="D79" i="8"/>
  <c r="E77" i="8"/>
  <c r="E71" i="8"/>
  <c r="C77" i="8"/>
  <c r="C71" i="8"/>
  <c r="E75" i="8"/>
  <c r="E88" i="8"/>
  <c r="E90" i="8"/>
  <c r="E86" i="8"/>
  <c r="D75" i="8"/>
  <c r="D88" i="8"/>
  <c r="D90" i="8"/>
  <c r="D86" i="8"/>
  <c r="C75" i="8"/>
  <c r="C88" i="8"/>
  <c r="C90" i="8"/>
  <c r="C86" i="8"/>
  <c r="E74" i="8"/>
  <c r="D74" i="8"/>
  <c r="C74" i="8"/>
  <c r="E67" i="8"/>
  <c r="D67" i="8"/>
  <c r="C67" i="8"/>
  <c r="D53" i="8"/>
  <c r="D43" i="8"/>
  <c r="E38" i="8"/>
  <c r="E57" i="8"/>
  <c r="E62" i="8"/>
  <c r="D38" i="8"/>
  <c r="D57" i="8"/>
  <c r="D62" i="8"/>
  <c r="C38" i="8"/>
  <c r="C57" i="8"/>
  <c r="C62" i="8"/>
  <c r="E33" i="8"/>
  <c r="E34" i="8"/>
  <c r="D33" i="8"/>
  <c r="D34" i="8"/>
  <c r="E26" i="8"/>
  <c r="D26" i="8"/>
  <c r="C26" i="8"/>
  <c r="E25" i="8"/>
  <c r="E27" i="8"/>
  <c r="C25" i="8"/>
  <c r="C27" i="8"/>
  <c r="E15" i="8"/>
  <c r="E24" i="8"/>
  <c r="C15" i="8"/>
  <c r="C24" i="8"/>
  <c r="E13" i="8"/>
  <c r="D13" i="8"/>
  <c r="D25" i="8"/>
  <c r="D27" i="8"/>
  <c r="C13" i="8"/>
  <c r="F186" i="7"/>
  <c r="E186" i="7"/>
  <c r="D183" i="7"/>
  <c r="D188" i="7"/>
  <c r="E188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/>
  <c r="E95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F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D94" i="6"/>
  <c r="E94" i="6"/>
  <c r="F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E84" i="6"/>
  <c r="F84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D51" i="6"/>
  <c r="E51" i="6"/>
  <c r="F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E41" i="6"/>
  <c r="F41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F48" i="5"/>
  <c r="D48" i="5"/>
  <c r="E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C16" i="5"/>
  <c r="C18" i="5"/>
  <c r="F15" i="5"/>
  <c r="E15" i="5"/>
  <c r="F14" i="5"/>
  <c r="E14" i="5"/>
  <c r="F13" i="5"/>
  <c r="E13" i="5"/>
  <c r="F12" i="5"/>
  <c r="E12" i="5"/>
  <c r="D73" i="4"/>
  <c r="E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/>
  <c r="E65" i="4"/>
  <c r="C61" i="4"/>
  <c r="C65" i="4"/>
  <c r="F60" i="4"/>
  <c r="E60" i="4"/>
  <c r="F59" i="4"/>
  <c r="E59" i="4"/>
  <c r="D56" i="4"/>
  <c r="D75" i="4"/>
  <c r="E75" i="4"/>
  <c r="C56" i="4"/>
  <c r="C75" i="4"/>
  <c r="F55" i="4"/>
  <c r="E55" i="4"/>
  <c r="F54" i="4"/>
  <c r="E54" i="4"/>
  <c r="F53" i="4"/>
  <c r="E53" i="4"/>
  <c r="F52" i="4"/>
  <c r="E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D41" i="4"/>
  <c r="C38" i="4"/>
  <c r="C41" i="4"/>
  <c r="F37" i="4"/>
  <c r="E37" i="4"/>
  <c r="F36" i="4"/>
  <c r="E36" i="4"/>
  <c r="F33" i="4"/>
  <c r="E33" i="4"/>
  <c r="F32" i="4"/>
  <c r="E32" i="4"/>
  <c r="F31" i="4"/>
  <c r="E31" i="4"/>
  <c r="D29" i="4"/>
  <c r="E29" i="4"/>
  <c r="F29" i="4"/>
  <c r="C29" i="4"/>
  <c r="F28" i="4"/>
  <c r="E28" i="4"/>
  <c r="F27" i="4"/>
  <c r="E27" i="4"/>
  <c r="F26" i="4"/>
  <c r="E26" i="4"/>
  <c r="F25" i="4"/>
  <c r="E25" i="4"/>
  <c r="D22" i="4"/>
  <c r="D43" i="4"/>
  <c r="C22" i="4"/>
  <c r="C43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D108" i="22"/>
  <c r="D109" i="22"/>
  <c r="C109" i="22"/>
  <c r="C108" i="22"/>
  <c r="E109" i="22"/>
  <c r="E108" i="22"/>
  <c r="C103" i="22"/>
  <c r="D22" i="22"/>
  <c r="C23" i="22"/>
  <c r="E23" i="22"/>
  <c r="D33" i="22"/>
  <c r="C34" i="22"/>
  <c r="E34" i="22"/>
  <c r="D101" i="22"/>
  <c r="D103" i="22"/>
  <c r="C102" i="22"/>
  <c r="E102" i="22"/>
  <c r="E103" i="22"/>
  <c r="E238" i="17"/>
  <c r="E294" i="17"/>
  <c r="E295" i="17"/>
  <c r="E296" i="17"/>
  <c r="E297" i="17"/>
  <c r="E298" i="17"/>
  <c r="E299" i="17"/>
  <c r="C22" i="22"/>
  <c r="E22" i="22"/>
  <c r="D23" i="22"/>
  <c r="F229" i="17"/>
  <c r="F230" i="17"/>
  <c r="F20" i="20"/>
  <c r="C41" i="20"/>
  <c r="F40" i="20"/>
  <c r="D41" i="20"/>
  <c r="E39" i="20"/>
  <c r="E41" i="20"/>
  <c r="E19" i="20"/>
  <c r="F19" i="20"/>
  <c r="E43" i="20"/>
  <c r="E85" i="17"/>
  <c r="C38" i="19"/>
  <c r="C127" i="19"/>
  <c r="C129" i="19"/>
  <c r="C133" i="19"/>
  <c r="C22" i="19"/>
  <c r="E33" i="18"/>
  <c r="D258" i="18"/>
  <c r="D100" i="18"/>
  <c r="D98" i="18"/>
  <c r="E98" i="18"/>
  <c r="D96" i="18"/>
  <c r="D89" i="18"/>
  <c r="E89" i="18"/>
  <c r="D87" i="18"/>
  <c r="D85" i="18"/>
  <c r="E85" i="18"/>
  <c r="D83" i="18"/>
  <c r="D101" i="18"/>
  <c r="E101" i="18"/>
  <c r="D99" i="18"/>
  <c r="D97" i="18"/>
  <c r="E97" i="18"/>
  <c r="D95" i="18"/>
  <c r="D88" i="18"/>
  <c r="E88" i="18"/>
  <c r="D86" i="18"/>
  <c r="E44" i="18"/>
  <c r="D84" i="18"/>
  <c r="D259" i="18"/>
  <c r="E43" i="18"/>
  <c r="C258" i="18"/>
  <c r="C101" i="18"/>
  <c r="C99" i="18"/>
  <c r="C97" i="18"/>
  <c r="C95" i="18"/>
  <c r="C88" i="18"/>
  <c r="C86" i="18"/>
  <c r="C84" i="18"/>
  <c r="C100" i="18"/>
  <c r="C98" i="18"/>
  <c r="C96" i="18"/>
  <c r="C102" i="18"/>
  <c r="C89" i="18"/>
  <c r="C87" i="18"/>
  <c r="C85" i="18"/>
  <c r="C83" i="18"/>
  <c r="E66" i="18"/>
  <c r="D127" i="18"/>
  <c r="D125" i="18"/>
  <c r="D123" i="18"/>
  <c r="D121" i="18"/>
  <c r="D114" i="18"/>
  <c r="D112" i="18"/>
  <c r="D110" i="18"/>
  <c r="D126" i="18"/>
  <c r="D124" i="18"/>
  <c r="D122" i="18"/>
  <c r="D115" i="18"/>
  <c r="D113" i="18"/>
  <c r="D111" i="18"/>
  <c r="D109" i="18"/>
  <c r="E94" i="17"/>
  <c r="E95" i="17"/>
  <c r="E100" i="17"/>
  <c r="E110" i="17"/>
  <c r="E120" i="17"/>
  <c r="E164" i="17"/>
  <c r="E165" i="17"/>
  <c r="E170" i="17"/>
  <c r="E180" i="17"/>
  <c r="C283" i="18"/>
  <c r="E283" i="18"/>
  <c r="E21" i="18"/>
  <c r="D22" i="18"/>
  <c r="D294" i="18"/>
  <c r="E37" i="18"/>
  <c r="C55" i="18"/>
  <c r="E55" i="18"/>
  <c r="E289" i="18"/>
  <c r="C65" i="18"/>
  <c r="C66" i="18"/>
  <c r="C295" i="18"/>
  <c r="E65" i="18"/>
  <c r="E69" i="18"/>
  <c r="C71" i="18"/>
  <c r="C76" i="18"/>
  <c r="E157" i="18"/>
  <c r="C284" i="18"/>
  <c r="C294" i="18"/>
  <c r="E32" i="18"/>
  <c r="D295" i="18"/>
  <c r="E36" i="18"/>
  <c r="E60" i="18"/>
  <c r="E70" i="18"/>
  <c r="E139" i="18"/>
  <c r="D144" i="18"/>
  <c r="C145" i="18"/>
  <c r="C156" i="18"/>
  <c r="C157" i="18"/>
  <c r="E156" i="18"/>
  <c r="C163" i="18"/>
  <c r="E163" i="18"/>
  <c r="D175" i="18"/>
  <c r="E175" i="18"/>
  <c r="C229" i="18"/>
  <c r="C210" i="18"/>
  <c r="C180" i="18"/>
  <c r="E205" i="18"/>
  <c r="C240" i="18"/>
  <c r="C253" i="18"/>
  <c r="C254" i="18"/>
  <c r="C222" i="18"/>
  <c r="C246" i="18"/>
  <c r="E216" i="18"/>
  <c r="D241" i="18"/>
  <c r="E242" i="18"/>
  <c r="E243" i="18"/>
  <c r="E244" i="18"/>
  <c r="E245" i="18"/>
  <c r="D252" i="18"/>
  <c r="D253" i="18"/>
  <c r="E302" i="18"/>
  <c r="C303" i="18"/>
  <c r="C306" i="18"/>
  <c r="C310" i="18"/>
  <c r="C261" i="18"/>
  <c r="E261" i="18"/>
  <c r="C189" i="18"/>
  <c r="E189" i="18"/>
  <c r="E188" i="18"/>
  <c r="D260" i="18"/>
  <c r="E195" i="18"/>
  <c r="E229" i="18"/>
  <c r="D234" i="18"/>
  <c r="D211" i="18"/>
  <c r="E210" i="18"/>
  <c r="D239" i="18"/>
  <c r="E239" i="18"/>
  <c r="D223" i="18"/>
  <c r="E215" i="18"/>
  <c r="E240" i="18"/>
  <c r="D303" i="18"/>
  <c r="D320" i="18"/>
  <c r="E320" i="18"/>
  <c r="E316" i="18"/>
  <c r="E326" i="18"/>
  <c r="D330" i="18"/>
  <c r="E330" i="18"/>
  <c r="C217" i="18"/>
  <c r="C241" i="18"/>
  <c r="E217" i="18"/>
  <c r="E219" i="18"/>
  <c r="E221" i="18"/>
  <c r="D222" i="18"/>
  <c r="C223" i="18"/>
  <c r="C247" i="18"/>
  <c r="C252" i="18"/>
  <c r="E265" i="18"/>
  <c r="E314" i="18"/>
  <c r="E218" i="18"/>
  <c r="E220" i="18"/>
  <c r="E233" i="18"/>
  <c r="E301" i="18"/>
  <c r="E324" i="18"/>
  <c r="D32" i="17"/>
  <c r="E31" i="17"/>
  <c r="D160" i="17"/>
  <c r="D90" i="17"/>
  <c r="E48" i="17"/>
  <c r="F48" i="17"/>
  <c r="D61" i="17"/>
  <c r="E60" i="17"/>
  <c r="F60" i="17"/>
  <c r="E68" i="17"/>
  <c r="E77" i="17"/>
  <c r="E89" i="17"/>
  <c r="F89" i="17"/>
  <c r="C103" i="17"/>
  <c r="F111" i="17"/>
  <c r="D207" i="17"/>
  <c r="E137" i="17"/>
  <c r="F137" i="17"/>
  <c r="D138" i="17"/>
  <c r="E146" i="17"/>
  <c r="F146" i="17"/>
  <c r="E159" i="17"/>
  <c r="C173" i="17"/>
  <c r="F181" i="17"/>
  <c r="F31" i="17"/>
  <c r="C32" i="17"/>
  <c r="C160" i="17"/>
  <c r="C90" i="17"/>
  <c r="C61" i="17"/>
  <c r="F68" i="17"/>
  <c r="E102" i="17"/>
  <c r="F102" i="17"/>
  <c r="D103" i="17"/>
  <c r="E103" i="17"/>
  <c r="C207" i="17"/>
  <c r="C138" i="17"/>
  <c r="F159" i="17"/>
  <c r="E172" i="17"/>
  <c r="F172" i="17"/>
  <c r="D173" i="17"/>
  <c r="E173" i="17"/>
  <c r="C21" i="17"/>
  <c r="E30" i="17"/>
  <c r="F30" i="17"/>
  <c r="E35" i="17"/>
  <c r="F35" i="17"/>
  <c r="C37" i="17"/>
  <c r="E47" i="17"/>
  <c r="F47" i="17"/>
  <c r="E59" i="17"/>
  <c r="F59" i="17"/>
  <c r="E66" i="17"/>
  <c r="F66" i="17"/>
  <c r="E76" i="17"/>
  <c r="F76" i="17"/>
  <c r="F85" i="17"/>
  <c r="F94" i="17"/>
  <c r="F95" i="17"/>
  <c r="F100" i="17"/>
  <c r="F110" i="17"/>
  <c r="F120" i="17"/>
  <c r="D124" i="17"/>
  <c r="E124" i="17"/>
  <c r="F129" i="17"/>
  <c r="F130" i="17"/>
  <c r="F135" i="17"/>
  <c r="F145" i="17"/>
  <c r="F155" i="17"/>
  <c r="F164" i="17"/>
  <c r="F165" i="17"/>
  <c r="F170" i="17"/>
  <c r="F180" i="17"/>
  <c r="F223" i="17"/>
  <c r="D21" i="17"/>
  <c r="E88" i="17"/>
  <c r="F88" i="17"/>
  <c r="E101" i="17"/>
  <c r="F101" i="17"/>
  <c r="E109" i="17"/>
  <c r="F109" i="17"/>
  <c r="C193" i="17"/>
  <c r="C282" i="17"/>
  <c r="C192" i="17"/>
  <c r="E123" i="17"/>
  <c r="F123" i="17"/>
  <c r="C124" i="17"/>
  <c r="E136" i="17"/>
  <c r="F136" i="17"/>
  <c r="E144" i="17"/>
  <c r="F144" i="17"/>
  <c r="E158" i="17"/>
  <c r="F158" i="17"/>
  <c r="E171" i="17"/>
  <c r="F171" i="17"/>
  <c r="E179" i="17"/>
  <c r="F179" i="17"/>
  <c r="E277" i="17"/>
  <c r="D279" i="17"/>
  <c r="E278" i="17"/>
  <c r="D190" i="17"/>
  <c r="E280" i="17"/>
  <c r="F280" i="17"/>
  <c r="D193" i="17"/>
  <c r="D266" i="17"/>
  <c r="D290" i="17"/>
  <c r="D274" i="17"/>
  <c r="D199" i="17"/>
  <c r="D200" i="17"/>
  <c r="D283" i="17"/>
  <c r="D284" i="17"/>
  <c r="D267" i="17"/>
  <c r="D285" i="17"/>
  <c r="E285" i="17"/>
  <c r="D269" i="17"/>
  <c r="D205" i="17"/>
  <c r="D206" i="17"/>
  <c r="E206" i="17"/>
  <c r="D214" i="17"/>
  <c r="D215" i="17"/>
  <c r="F226" i="17"/>
  <c r="D227" i="17"/>
  <c r="E227" i="17"/>
  <c r="F227" i="17"/>
  <c r="F237" i="17"/>
  <c r="F238" i="17"/>
  <c r="D239" i="17"/>
  <c r="E239" i="17"/>
  <c r="F239" i="17"/>
  <c r="E306" i="17"/>
  <c r="D261" i="17"/>
  <c r="D262" i="17"/>
  <c r="D264" i="17"/>
  <c r="C287" i="17"/>
  <c r="C284" i="17"/>
  <c r="C279" i="17"/>
  <c r="F277" i="17"/>
  <c r="E188" i="17"/>
  <c r="F188" i="17"/>
  <c r="C288" i="17"/>
  <c r="F278" i="17"/>
  <c r="E189" i="17"/>
  <c r="F189" i="17"/>
  <c r="C190" i="17"/>
  <c r="E191" i="17"/>
  <c r="F191" i="17"/>
  <c r="C290" i="17"/>
  <c r="C274" i="17"/>
  <c r="E198" i="17"/>
  <c r="F198" i="17"/>
  <c r="C199" i="17"/>
  <c r="C200" i="17"/>
  <c r="C286" i="17"/>
  <c r="E203" i="17"/>
  <c r="F203" i="17"/>
  <c r="F285" i="17"/>
  <c r="E204" i="17"/>
  <c r="F204" i="17"/>
  <c r="C205" i="17"/>
  <c r="C206" i="17"/>
  <c r="C214" i="17"/>
  <c r="C215" i="17"/>
  <c r="E250" i="17"/>
  <c r="F250" i="17"/>
  <c r="C254" i="17"/>
  <c r="C255" i="17"/>
  <c r="C261" i="17"/>
  <c r="C262" i="17"/>
  <c r="C264" i="17"/>
  <c r="C267" i="17"/>
  <c r="C269" i="17"/>
  <c r="F294" i="17"/>
  <c r="F295" i="17"/>
  <c r="F296" i="17"/>
  <c r="F297" i="17"/>
  <c r="F298" i="17"/>
  <c r="F299" i="17"/>
  <c r="F21" i="16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E20" i="13"/>
  <c r="E21" i="13"/>
  <c r="C69" i="13"/>
  <c r="D21" i="13"/>
  <c r="C22" i="13"/>
  <c r="C20" i="13"/>
  <c r="C21" i="13"/>
  <c r="D15" i="13"/>
  <c r="C17" i="13"/>
  <c r="C28" i="13"/>
  <c r="C70" i="13"/>
  <c r="C72" i="13"/>
  <c r="E17" i="13"/>
  <c r="E28" i="13"/>
  <c r="E70" i="13"/>
  <c r="E72" i="13"/>
  <c r="E69" i="13"/>
  <c r="D48" i="13"/>
  <c r="D42" i="13"/>
  <c r="D20" i="12"/>
  <c r="E17" i="12"/>
  <c r="F17" i="12"/>
  <c r="C20" i="12"/>
  <c r="E15" i="12"/>
  <c r="F15" i="12"/>
  <c r="F43" i="11"/>
  <c r="F41" i="11"/>
  <c r="F75" i="11"/>
  <c r="F65" i="11"/>
  <c r="E22" i="11"/>
  <c r="F22" i="11"/>
  <c r="E38" i="11"/>
  <c r="F38" i="11"/>
  <c r="E56" i="11"/>
  <c r="F56" i="11"/>
  <c r="E61" i="11"/>
  <c r="F61" i="11"/>
  <c r="E112" i="10"/>
  <c r="E113" i="10"/>
  <c r="C121" i="10"/>
  <c r="F121" i="10"/>
  <c r="C122" i="10"/>
  <c r="F122" i="10"/>
  <c r="F207" i="9"/>
  <c r="F208" i="9"/>
  <c r="E198" i="9"/>
  <c r="F198" i="9"/>
  <c r="E199" i="9"/>
  <c r="F199" i="9"/>
  <c r="D21" i="8"/>
  <c r="C20" i="8"/>
  <c r="C21" i="8"/>
  <c r="C140" i="8"/>
  <c r="C138" i="8"/>
  <c r="C136" i="8"/>
  <c r="C139" i="8"/>
  <c r="C137" i="8"/>
  <c r="C135" i="8"/>
  <c r="E157" i="8"/>
  <c r="E155" i="8"/>
  <c r="E153" i="8"/>
  <c r="E156" i="8"/>
  <c r="E154" i="8"/>
  <c r="E152" i="8"/>
  <c r="D156" i="8"/>
  <c r="D154" i="8"/>
  <c r="D152" i="8"/>
  <c r="D158" i="8"/>
  <c r="D157" i="8"/>
  <c r="D155" i="8"/>
  <c r="D153" i="8"/>
  <c r="E20" i="8"/>
  <c r="E21" i="8"/>
  <c r="E140" i="8"/>
  <c r="E138" i="8"/>
  <c r="E136" i="8"/>
  <c r="E139" i="8"/>
  <c r="E137" i="8"/>
  <c r="E135" i="8"/>
  <c r="D139" i="8"/>
  <c r="D137" i="8"/>
  <c r="D135" i="8"/>
  <c r="D140" i="8"/>
  <c r="D138" i="8"/>
  <c r="D136" i="8"/>
  <c r="C157" i="8"/>
  <c r="C155" i="8"/>
  <c r="C153" i="8"/>
  <c r="C156" i="8"/>
  <c r="C154" i="8"/>
  <c r="C152" i="8"/>
  <c r="D15" i="8"/>
  <c r="C17" i="8"/>
  <c r="E17" i="8"/>
  <c r="C43" i="8"/>
  <c r="E43" i="8"/>
  <c r="D49" i="8"/>
  <c r="C53" i="8"/>
  <c r="E53" i="8"/>
  <c r="D77" i="8"/>
  <c r="D71" i="8"/>
  <c r="C49" i="8"/>
  <c r="E49" i="8"/>
  <c r="F95" i="7"/>
  <c r="F188" i="7"/>
  <c r="E90" i="7"/>
  <c r="F90" i="7"/>
  <c r="E183" i="7"/>
  <c r="F183" i="7"/>
  <c r="D52" i="6"/>
  <c r="E52" i="6"/>
  <c r="F52" i="6"/>
  <c r="D95" i="6"/>
  <c r="E95" i="6"/>
  <c r="F95" i="6"/>
  <c r="D21" i="5"/>
  <c r="E18" i="5"/>
  <c r="F18" i="5"/>
  <c r="C21" i="5"/>
  <c r="E16" i="5"/>
  <c r="F16" i="5"/>
  <c r="E43" i="4"/>
  <c r="F43" i="4"/>
  <c r="E41" i="4"/>
  <c r="F75" i="4"/>
  <c r="F65" i="4"/>
  <c r="F73" i="4"/>
  <c r="F41" i="4"/>
  <c r="E22" i="4"/>
  <c r="F22" i="4"/>
  <c r="E38" i="4"/>
  <c r="F38" i="4"/>
  <c r="E56" i="4"/>
  <c r="F56" i="4"/>
  <c r="E61" i="4"/>
  <c r="F61" i="4"/>
  <c r="E53" i="22"/>
  <c r="E45" i="22"/>
  <c r="E39" i="22"/>
  <c r="E35" i="22"/>
  <c r="E29" i="22"/>
  <c r="E110" i="22"/>
  <c r="C111" i="22"/>
  <c r="C54" i="22"/>
  <c r="C46" i="22"/>
  <c r="C40" i="22"/>
  <c r="C36" i="22"/>
  <c r="C30" i="22"/>
  <c r="D54" i="22"/>
  <c r="D46" i="22"/>
  <c r="D40" i="22"/>
  <c r="D36" i="22"/>
  <c r="D30" i="22"/>
  <c r="D111" i="22"/>
  <c r="C53" i="22"/>
  <c r="C45" i="22"/>
  <c r="C39" i="22"/>
  <c r="C35" i="22"/>
  <c r="C29" i="22"/>
  <c r="C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F39" i="20"/>
  <c r="F43" i="20"/>
  <c r="E46" i="20"/>
  <c r="F46" i="20"/>
  <c r="F41" i="20"/>
  <c r="E76" i="18"/>
  <c r="C77" i="18"/>
  <c r="C259" i="18"/>
  <c r="C263" i="18"/>
  <c r="E222" i="18"/>
  <c r="D246" i="18"/>
  <c r="E246" i="18"/>
  <c r="D235" i="18"/>
  <c r="E260" i="18"/>
  <c r="E253" i="18"/>
  <c r="E241" i="18"/>
  <c r="D180" i="18"/>
  <c r="E180" i="18"/>
  <c r="D145" i="18"/>
  <c r="E144" i="18"/>
  <c r="D168" i="18"/>
  <c r="E168" i="18"/>
  <c r="C168" i="18"/>
  <c r="E295" i="18"/>
  <c r="E294" i="18"/>
  <c r="D128" i="18"/>
  <c r="D116" i="18"/>
  <c r="D117" i="18"/>
  <c r="C90" i="18"/>
  <c r="E71" i="18"/>
  <c r="E84" i="18"/>
  <c r="D90" i="18"/>
  <c r="E90" i="18"/>
  <c r="E86" i="18"/>
  <c r="E95" i="18"/>
  <c r="E99" i="18"/>
  <c r="E83" i="18"/>
  <c r="E87" i="18"/>
  <c r="D102" i="18"/>
  <c r="E102" i="18"/>
  <c r="E96" i="18"/>
  <c r="E100" i="18"/>
  <c r="E303" i="18"/>
  <c r="D306" i="18"/>
  <c r="D247" i="18"/>
  <c r="E247" i="18"/>
  <c r="E223" i="18"/>
  <c r="D254" i="18"/>
  <c r="E254" i="18"/>
  <c r="E252" i="18"/>
  <c r="C234" i="18"/>
  <c r="E234" i="18"/>
  <c r="C211" i="18"/>
  <c r="C235" i="18"/>
  <c r="C181" i="18"/>
  <c r="C169" i="18"/>
  <c r="D284" i="18"/>
  <c r="E284" i="18"/>
  <c r="E22" i="18"/>
  <c r="D129" i="18"/>
  <c r="C91" i="18"/>
  <c r="C103" i="18"/>
  <c r="C264" i="18"/>
  <c r="C266" i="18"/>
  <c r="C267" i="18"/>
  <c r="D263" i="18"/>
  <c r="E263" i="18"/>
  <c r="E259" i="18"/>
  <c r="E258" i="18"/>
  <c r="D264" i="18"/>
  <c r="C281" i="17"/>
  <c r="C270" i="17"/>
  <c r="C216" i="17"/>
  <c r="C300" i="17"/>
  <c r="C271" i="17"/>
  <c r="C268" i="17"/>
  <c r="C263" i="17"/>
  <c r="F206" i="17"/>
  <c r="D300" i="17"/>
  <c r="E300" i="17"/>
  <c r="E264" i="17"/>
  <c r="F264" i="17"/>
  <c r="D265" i="17"/>
  <c r="D271" i="17"/>
  <c r="D268" i="17"/>
  <c r="E268" i="17"/>
  <c r="E261" i="17"/>
  <c r="F261" i="17"/>
  <c r="D263" i="17"/>
  <c r="E263" i="17"/>
  <c r="E214" i="17"/>
  <c r="F214" i="17"/>
  <c r="D254" i="17"/>
  <c r="D216" i="17"/>
  <c r="E216" i="17"/>
  <c r="E205" i="17"/>
  <c r="F205" i="17"/>
  <c r="E269" i="17"/>
  <c r="F269" i="17"/>
  <c r="E283" i="17"/>
  <c r="F283" i="17"/>
  <c r="D286" i="17"/>
  <c r="E286" i="17"/>
  <c r="F286" i="17"/>
  <c r="E199" i="17"/>
  <c r="F199" i="17"/>
  <c r="E290" i="17"/>
  <c r="F290" i="17"/>
  <c r="E279" i="17"/>
  <c r="D287" i="17"/>
  <c r="F124" i="17"/>
  <c r="E192" i="17"/>
  <c r="F192" i="17"/>
  <c r="C304" i="17"/>
  <c r="C161" i="17"/>
  <c r="C126" i="17"/>
  <c r="C91" i="17"/>
  <c r="C49" i="17"/>
  <c r="F138" i="17"/>
  <c r="C174" i="17"/>
  <c r="C139" i="17"/>
  <c r="C104" i="17"/>
  <c r="C125" i="17"/>
  <c r="E138" i="17"/>
  <c r="E207" i="17"/>
  <c r="F207" i="17"/>
  <c r="D208" i="17"/>
  <c r="F103" i="17"/>
  <c r="D125" i="17"/>
  <c r="C272" i="17"/>
  <c r="F279" i="17"/>
  <c r="C291" i="17"/>
  <c r="C289" i="17"/>
  <c r="D272" i="17"/>
  <c r="E272" i="17"/>
  <c r="E262" i="17"/>
  <c r="F262" i="17"/>
  <c r="E215" i="17"/>
  <c r="F215" i="17"/>
  <c r="D255" i="17"/>
  <c r="E255" i="17"/>
  <c r="F255" i="17"/>
  <c r="D270" i="17"/>
  <c r="E270" i="17"/>
  <c r="E267" i="17"/>
  <c r="F267" i="17"/>
  <c r="E200" i="17"/>
  <c r="F200" i="17"/>
  <c r="E274" i="17"/>
  <c r="F274" i="17"/>
  <c r="E193" i="17"/>
  <c r="D194" i="17"/>
  <c r="E190" i="17"/>
  <c r="F190" i="17"/>
  <c r="D288" i="17"/>
  <c r="E288" i="17"/>
  <c r="F288" i="17"/>
  <c r="E284" i="17"/>
  <c r="F284" i="17"/>
  <c r="C194" i="17"/>
  <c r="F193" i="17"/>
  <c r="D196" i="17"/>
  <c r="D49" i="17"/>
  <c r="D161" i="17"/>
  <c r="D126" i="17"/>
  <c r="D91" i="17"/>
  <c r="E21" i="17"/>
  <c r="F21" i="17"/>
  <c r="D282" i="17"/>
  <c r="C266" i="17"/>
  <c r="C208" i="17"/>
  <c r="C209" i="17"/>
  <c r="C210" i="17"/>
  <c r="C175" i="17"/>
  <c r="C140" i="17"/>
  <c r="C105" i="17"/>
  <c r="C62" i="17"/>
  <c r="F173" i="17"/>
  <c r="D209" i="17"/>
  <c r="D174" i="17"/>
  <c r="E174" i="17"/>
  <c r="D139" i="17"/>
  <c r="E139" i="17"/>
  <c r="D104" i="17"/>
  <c r="E104" i="17"/>
  <c r="E61" i="17"/>
  <c r="F61" i="17"/>
  <c r="E90" i="17"/>
  <c r="F90" i="17"/>
  <c r="E160" i="17"/>
  <c r="F160" i="17"/>
  <c r="E37" i="17"/>
  <c r="F37" i="17"/>
  <c r="D210" i="17"/>
  <c r="D62" i="17"/>
  <c r="D175" i="17"/>
  <c r="D140" i="17"/>
  <c r="D105" i="17"/>
  <c r="E32" i="17"/>
  <c r="F32" i="17"/>
  <c r="G36" i="14"/>
  <c r="G38" i="14"/>
  <c r="G40" i="14"/>
  <c r="I33" i="14"/>
  <c r="I36" i="14"/>
  <c r="I38" i="14"/>
  <c r="I40" i="14"/>
  <c r="H33" i="14"/>
  <c r="H36" i="14"/>
  <c r="H38" i="14"/>
  <c r="H40" i="14"/>
  <c r="D24" i="13"/>
  <c r="D20" i="13"/>
  <c r="D17" i="13"/>
  <c r="D28" i="13"/>
  <c r="E22" i="13"/>
  <c r="D34" i="12"/>
  <c r="E20" i="12"/>
  <c r="F20" i="12"/>
  <c r="C34" i="12"/>
  <c r="E122" i="10"/>
  <c r="E121" i="10"/>
  <c r="D24" i="8"/>
  <c r="D20" i="8"/>
  <c r="D17" i="8"/>
  <c r="D141" i="8"/>
  <c r="C112" i="8"/>
  <c r="C111" i="8"/>
  <c r="C28" i="8"/>
  <c r="C158" i="8"/>
  <c r="E141" i="8"/>
  <c r="E158" i="8"/>
  <c r="C141" i="8"/>
  <c r="E112" i="8"/>
  <c r="E111" i="8"/>
  <c r="E28" i="8"/>
  <c r="D35" i="5"/>
  <c r="E21" i="5"/>
  <c r="F21" i="5"/>
  <c r="C35" i="5"/>
  <c r="D112" i="22"/>
  <c r="D55" i="22"/>
  <c r="D47" i="22"/>
  <c r="D37" i="22"/>
  <c r="E113" i="22"/>
  <c r="E56" i="22"/>
  <c r="E48" i="22"/>
  <c r="E38" i="22"/>
  <c r="C113" i="22"/>
  <c r="C56" i="22"/>
  <c r="C48" i="22"/>
  <c r="C38" i="22"/>
  <c r="C55" i="22"/>
  <c r="C47" i="22"/>
  <c r="C37" i="22"/>
  <c r="C112" i="22"/>
  <c r="D56" i="22"/>
  <c r="D48" i="22"/>
  <c r="D38" i="22"/>
  <c r="D113" i="22"/>
  <c r="E55" i="22"/>
  <c r="E47" i="22"/>
  <c r="E37" i="22"/>
  <c r="E112" i="22"/>
  <c r="D131" i="18"/>
  <c r="E264" i="18"/>
  <c r="D266" i="18"/>
  <c r="C105" i="18"/>
  <c r="D91" i="18"/>
  <c r="D103" i="18"/>
  <c r="E103" i="18"/>
  <c r="E235" i="18"/>
  <c r="C126" i="18"/>
  <c r="E126" i="18"/>
  <c r="C124" i="18"/>
  <c r="E124" i="18"/>
  <c r="C122" i="18"/>
  <c r="C115" i="18"/>
  <c r="E115" i="18"/>
  <c r="C113" i="18"/>
  <c r="E113" i="18"/>
  <c r="C111" i="18"/>
  <c r="E111" i="18"/>
  <c r="C109" i="18"/>
  <c r="C127" i="18"/>
  <c r="E127" i="18"/>
  <c r="C125" i="18"/>
  <c r="E125" i="18"/>
  <c r="C123" i="18"/>
  <c r="E123" i="18"/>
  <c r="C121" i="18"/>
  <c r="C114" i="18"/>
  <c r="E114" i="18"/>
  <c r="C112" i="18"/>
  <c r="E112" i="18"/>
  <c r="C110" i="18"/>
  <c r="E77" i="18"/>
  <c r="C269" i="18"/>
  <c r="C268" i="18"/>
  <c r="C271" i="18"/>
  <c r="E306" i="18"/>
  <c r="D310" i="18"/>
  <c r="E310" i="18"/>
  <c r="D169" i="18"/>
  <c r="E169" i="18"/>
  <c r="D181" i="18"/>
  <c r="E181" i="18"/>
  <c r="E145" i="18"/>
  <c r="E211" i="18"/>
  <c r="E140" i="17"/>
  <c r="F140" i="17"/>
  <c r="D141" i="17"/>
  <c r="E105" i="17"/>
  <c r="F105" i="17"/>
  <c r="D106" i="17"/>
  <c r="E175" i="17"/>
  <c r="F175" i="17"/>
  <c r="D176" i="17"/>
  <c r="E210" i="17"/>
  <c r="F210" i="17"/>
  <c r="D211" i="17"/>
  <c r="E209" i="17"/>
  <c r="F209" i="17"/>
  <c r="C63" i="17"/>
  <c r="C106" i="17"/>
  <c r="C176" i="17"/>
  <c r="E126" i="17"/>
  <c r="F126" i="17"/>
  <c r="D127" i="17"/>
  <c r="D50" i="17"/>
  <c r="E49" i="17"/>
  <c r="F49" i="17"/>
  <c r="E125" i="17"/>
  <c r="F125" i="17"/>
  <c r="E208" i="17"/>
  <c r="F139" i="17"/>
  <c r="C50" i="17"/>
  <c r="C92" i="17"/>
  <c r="C162" i="17"/>
  <c r="E254" i="17"/>
  <c r="F254" i="17"/>
  <c r="F268" i="17"/>
  <c r="F300" i="17"/>
  <c r="F216" i="17"/>
  <c r="D63" i="17"/>
  <c r="E63" i="17"/>
  <c r="E62" i="17"/>
  <c r="F62" i="17"/>
  <c r="C141" i="17"/>
  <c r="F208" i="17"/>
  <c r="E282" i="17"/>
  <c r="F282" i="17"/>
  <c r="D281" i="17"/>
  <c r="E281" i="17"/>
  <c r="F281" i="17"/>
  <c r="E91" i="17"/>
  <c r="F91" i="17"/>
  <c r="D92" i="17"/>
  <c r="E161" i="17"/>
  <c r="F161" i="17"/>
  <c r="D162" i="17"/>
  <c r="D197" i="17"/>
  <c r="C195" i="17"/>
  <c r="E194" i="17"/>
  <c r="F194" i="17"/>
  <c r="D195" i="17"/>
  <c r="E195" i="17"/>
  <c r="C305" i="17"/>
  <c r="F272" i="17"/>
  <c r="F104" i="17"/>
  <c r="F174" i="17"/>
  <c r="C127" i="17"/>
  <c r="C196" i="17"/>
  <c r="E287" i="17"/>
  <c r="F287" i="17"/>
  <c r="D291" i="17"/>
  <c r="D289" i="17"/>
  <c r="E289" i="17"/>
  <c r="F289" i="17"/>
  <c r="E271" i="17"/>
  <c r="F271" i="17"/>
  <c r="D304" i="17"/>
  <c r="D273" i="17"/>
  <c r="F263" i="17"/>
  <c r="C273" i="17"/>
  <c r="C265" i="17"/>
  <c r="F270" i="17"/>
  <c r="E266" i="17"/>
  <c r="F266" i="17"/>
  <c r="D70" i="13"/>
  <c r="D72" i="13"/>
  <c r="D69" i="13"/>
  <c r="D22" i="13"/>
  <c r="F34" i="12"/>
  <c r="C42" i="12"/>
  <c r="D42" i="12"/>
  <c r="E34" i="12"/>
  <c r="E99" i="8"/>
  <c r="E101" i="8"/>
  <c r="E98" i="8"/>
  <c r="E22" i="8"/>
  <c r="C99" i="8"/>
  <c r="C101" i="8"/>
  <c r="C98" i="8"/>
  <c r="C22" i="8"/>
  <c r="D28" i="8"/>
  <c r="D112" i="8"/>
  <c r="D111" i="8"/>
  <c r="D43" i="5"/>
  <c r="E35" i="5"/>
  <c r="F35" i="5"/>
  <c r="C43" i="5"/>
  <c r="C116" i="18"/>
  <c r="E116" i="18"/>
  <c r="E110" i="18"/>
  <c r="D105" i="18"/>
  <c r="E105" i="18"/>
  <c r="E91" i="18"/>
  <c r="E266" i="18"/>
  <c r="D267" i="18"/>
  <c r="E121" i="18"/>
  <c r="E109" i="18"/>
  <c r="C128" i="18"/>
  <c r="E128" i="18"/>
  <c r="E122" i="18"/>
  <c r="E304" i="17"/>
  <c r="F304" i="17"/>
  <c r="E273" i="17"/>
  <c r="F273" i="17"/>
  <c r="E291" i="17"/>
  <c r="F291" i="17"/>
  <c r="D305" i="17"/>
  <c r="C197" i="17"/>
  <c r="C148" i="17"/>
  <c r="C309" i="17"/>
  <c r="E196" i="17"/>
  <c r="F196" i="17"/>
  <c r="C322" i="17"/>
  <c r="C211" i="17"/>
  <c r="C323" i="17"/>
  <c r="C183" i="17"/>
  <c r="C324" i="17"/>
  <c r="C113" i="17"/>
  <c r="D70" i="17"/>
  <c r="E70" i="17"/>
  <c r="E50" i="17"/>
  <c r="F50" i="17"/>
  <c r="F63" i="17"/>
  <c r="F195" i="17"/>
  <c r="E197" i="17"/>
  <c r="D323" i="17"/>
  <c r="E162" i="17"/>
  <c r="F162" i="17"/>
  <c r="D183" i="17"/>
  <c r="E183" i="17"/>
  <c r="D324" i="17"/>
  <c r="E92" i="17"/>
  <c r="F92" i="17"/>
  <c r="D113" i="17"/>
  <c r="E113" i="17"/>
  <c r="E265" i="17"/>
  <c r="F265" i="17"/>
  <c r="C70" i="17"/>
  <c r="E127" i="17"/>
  <c r="F127" i="17"/>
  <c r="D148" i="17"/>
  <c r="E211" i="17"/>
  <c r="E176" i="17"/>
  <c r="F176" i="17"/>
  <c r="E106" i="17"/>
  <c r="F106" i="17"/>
  <c r="D322" i="17"/>
  <c r="E322" i="17"/>
  <c r="E141" i="17"/>
  <c r="F141" i="17"/>
  <c r="D49" i="12"/>
  <c r="E49" i="12"/>
  <c r="E42" i="12"/>
  <c r="F42" i="12"/>
  <c r="C49" i="12"/>
  <c r="D99" i="8"/>
  <c r="D101" i="8"/>
  <c r="D98" i="8"/>
  <c r="D22" i="8"/>
  <c r="D50" i="5"/>
  <c r="E50" i="5"/>
  <c r="E43" i="5"/>
  <c r="F43" i="5"/>
  <c r="C50" i="5"/>
  <c r="C117" i="18"/>
  <c r="C129" i="18"/>
  <c r="E129" i="18"/>
  <c r="D269" i="18"/>
  <c r="E269" i="18"/>
  <c r="E267" i="18"/>
  <c r="D268" i="18"/>
  <c r="D325" i="17"/>
  <c r="E325" i="17"/>
  <c r="E324" i="17"/>
  <c r="F324" i="17"/>
  <c r="F211" i="17"/>
  <c r="E148" i="17"/>
  <c r="F148" i="17"/>
  <c r="F70" i="17"/>
  <c r="E323" i="17"/>
  <c r="F323" i="17"/>
  <c r="C325" i="17"/>
  <c r="F183" i="17"/>
  <c r="F322" i="17"/>
  <c r="F197" i="17"/>
  <c r="D309" i="17"/>
  <c r="E305" i="17"/>
  <c r="F305" i="17"/>
  <c r="F113" i="17"/>
  <c r="C310" i="17"/>
  <c r="F49" i="12"/>
  <c r="F50" i="5"/>
  <c r="D271" i="18"/>
  <c r="E271" i="18"/>
  <c r="E268" i="18"/>
  <c r="C131" i="18"/>
  <c r="E131" i="18"/>
  <c r="E117" i="18"/>
  <c r="C312" i="17"/>
  <c r="E309" i="17"/>
  <c r="F309" i="17"/>
  <c r="D310" i="17"/>
  <c r="F325" i="17"/>
  <c r="D312" i="17"/>
  <c r="E310" i="17"/>
  <c r="F310" i="17"/>
  <c r="C313" i="17"/>
  <c r="E312" i="17"/>
  <c r="F312" i="17"/>
  <c r="D313" i="17"/>
  <c r="C251" i="17"/>
  <c r="C314" i="17"/>
  <c r="C315" i="17"/>
  <c r="C256" i="17"/>
  <c r="C257" i="17"/>
  <c r="C318" i="17"/>
  <c r="D315" i="17"/>
  <c r="E315" i="17"/>
  <c r="F315" i="17"/>
  <c r="D314" i="17"/>
  <c r="E313" i="17"/>
  <c r="F313" i="17"/>
  <c r="D251" i="17"/>
  <c r="E251" i="17"/>
  <c r="F251" i="17"/>
  <c r="D256" i="17"/>
  <c r="E256" i="17"/>
  <c r="F256" i="17"/>
  <c r="D257" i="17"/>
  <c r="E257" i="17"/>
  <c r="F257" i="17"/>
  <c r="D318" i="17"/>
  <c r="E318" i="17"/>
  <c r="E314" i="17"/>
  <c r="F314" i="17"/>
  <c r="F318" i="17"/>
</calcChain>
</file>

<file path=xl/sharedStrings.xml><?xml version="1.0" encoding="utf-8"?>
<sst xmlns="http://schemas.openxmlformats.org/spreadsheetml/2006/main" count="2333" uniqueCount="1008">
  <si>
    <t>SAINT VINCENT`S MEDICAL CENTER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</si>
  <si>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</si>
  <si>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</si>
  <si>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</si>
  <si>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</si>
  <si>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</si>
  <si>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</si>
  <si>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</si>
  <si>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</si>
  <si>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</si>
  <si>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</si>
  <si>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</si>
  <si>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</si>
  <si>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</si>
  <si>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</si>
  <si>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</si>
  <si>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</si>
  <si>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</si>
  <si>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</si>
  <si>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</si>
  <si>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</si>
  <si>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</si>
  <si>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</si>
  <si>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</si>
  <si>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</si>
  <si>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</si>
  <si>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</si>
  <si>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</si>
  <si>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</si>
  <si>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</si>
  <si>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</si>
  <si>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</si>
  <si>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</si>
  <si>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</si>
  <si>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</si>
  <si>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</si>
  <si>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</si>
  <si>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</si>
  <si>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</si>
  <si>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</si>
  <si>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</si>
  <si>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</si>
  <si>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</si>
  <si>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</si>
  <si>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</si>
  <si>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</si>
  <si>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</si>
  <si>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</si>
  <si>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</si>
  <si>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</si>
  <si>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</si>
  <si>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</si>
  <si>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</si>
  <si>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</si>
  <si>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</si>
  <si>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</si>
  <si>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</si>
  <si>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</si>
  <si>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</si>
  <si>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</si>
  <si>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</si>
  <si>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</si>
  <si>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</si>
  <si>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</si>
  <si>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</si>
  <si>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</si>
  <si>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</si>
  <si>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</si>
  <si>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</si>
  <si>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</si>
  <si>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</si>
  <si>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</si>
  <si>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</si>
  <si>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</si>
  <si>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</si>
  <si>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</si>
  <si>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</si>
  <si>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</si>
  <si>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</si>
  <si>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</si>
  <si>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</si>
  <si>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</si>
  <si>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</si>
  <si>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</si>
  <si>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</si>
  <si>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</si>
  <si>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</si>
  <si>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</si>
  <si>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</si>
  <si>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</si>
  <si>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</si>
  <si>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</si>
  <si>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</si>
  <si>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</si>
  <si>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</si>
  <si>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</si>
  <si>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</si>
  <si>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</si>
  <si>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</si>
  <si>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</si>
  <si>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</si>
  <si>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</si>
  <si>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</si>
  <si>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</si>
  <si>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</si>
  <si>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</si>
  <si>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</si>
  <si>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</si>
  <si>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</si>
  <si>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</si>
  <si>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</si>
  <si>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</si>
  <si>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</si>
  <si>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</si>
  <si>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</si>
  <si>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</si>
  <si>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</si>
  <si>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</si>
  <si>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</si>
  <si>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</si>
  <si>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</si>
  <si>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</si>
  <si>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</si>
  <si>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</si>
  <si>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</si>
  <si>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</si>
  <si>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</si>
  <si>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</si>
  <si>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</si>
  <si>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</si>
  <si>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</si>
  <si>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</si>
  <si>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</si>
  <si>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</si>
  <si>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</si>
  <si>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</si>
  <si>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</si>
  <si>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</si>
  <si>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</si>
  <si>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</si>
  <si>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</si>
  <si>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</si>
  <si>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</si>
  <si>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</si>
  <si>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</si>
  <si>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</si>
  <si>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</si>
  <si>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</si>
  <si>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</si>
  <si>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</si>
  <si>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</si>
  <si>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</si>
  <si>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</si>
  <si>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</si>
  <si>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</si>
  <si>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</si>
  <si>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</si>
  <si>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</si>
  <si>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</si>
  <si>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</si>
  <si>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</si>
  <si>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</si>
  <si>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</si>
  <si>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</si>
  <si>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</si>
  <si>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</si>
  <si>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</si>
  <si>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</si>
  <si>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</si>
  <si>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</si>
  <si>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</si>
  <si>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</si>
  <si>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</si>
  <si>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</si>
  <si>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</si>
  <si>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</si>
  <si>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</si>
  <si>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</si>
  <si>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</si>
  <si>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</si>
  <si>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</si>
  <si>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</si>
  <si>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</si>
  <si>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</si>
  <si>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</si>
  <si>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</si>
  <si>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</si>
  <si>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</si>
  <si>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</si>
  <si>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</si>
  <si>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</si>
  <si>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</si>
  <si>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</si>
  <si>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</si>
  <si>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</si>
  <si>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</si>
  <si>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</si>
  <si>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</si>
  <si>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</si>
  <si>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</si>
  <si>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</si>
  <si>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</si>
  <si>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</si>
  <si>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</si>
  <si>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</si>
  <si>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</si>
  <si>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</si>
  <si>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</si>
  <si>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</si>
  <si>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</si>
  <si>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</si>
  <si>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</si>
  <si>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</si>
  <si>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</si>
  <si>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</si>
  <si>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</si>
  <si>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</si>
  <si>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</si>
  <si>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</si>
  <si>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</si>
  <si>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</si>
  <si>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</si>
  <si>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</si>
  <si>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</si>
  <si>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</si>
  <si>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</si>
  <si>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</si>
  <si>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</si>
  <si>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</si>
  <si>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</si>
  <si>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</si>
  <si>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</si>
  <si>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</si>
  <si>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</si>
  <si>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</si>
  <si>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</si>
  <si>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</si>
  <si>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</si>
  <si>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</si>
  <si>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</si>
  <si>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</si>
  <si>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</si>
  <si>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</si>
  <si>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</si>
  <si>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</si>
  <si>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</si>
  <si>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</si>
  <si>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</si>
  <si>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</si>
  <si>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</si>
  <si>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</si>
  <si>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</si>
  <si>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</si>
  <si>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</si>
  <si>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</si>
  <si>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</si>
  <si>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</si>
  <si>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</si>
  <si>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</si>
  <si>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</si>
  <si>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</si>
  <si>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</si>
  <si>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</si>
  <si>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</si>
  <si>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</si>
  <si>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</si>
  <si>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</si>
  <si>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</si>
  <si>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</si>
  <si>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</si>
  <si>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</si>
  <si>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</si>
  <si>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</si>
  <si>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</si>
  <si>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</si>
  <si>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</si>
  <si>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</si>
  <si>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</si>
  <si>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</si>
  <si>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</si>
  <si>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</si>
  <si>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</si>
  <si>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</si>
  <si>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</si>
  <si>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</si>
  <si>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</si>
  <si>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</si>
  <si>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</si>
  <si>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</si>
  <si>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</si>
  <si>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</si>
  <si>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</si>
  <si>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</si>
  <si>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</si>
  <si>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</si>
  <si>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</si>
  <si>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</si>
  <si>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</si>
  <si>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</si>
  <si>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</si>
  <si>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</si>
  <si>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</si>
  <si>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</si>
  <si>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</si>
  <si>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</si>
  <si>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</si>
  <si>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</si>
  <si>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</si>
  <si>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</si>
  <si>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</si>
  <si>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</si>
  <si>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</si>
  <si>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</si>
  <si>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</si>
  <si>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</si>
  <si>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</si>
  <si>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</si>
  <si>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</si>
  <si>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</si>
  <si>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</si>
  <si>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</si>
  <si>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</si>
  <si>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</si>
  <si>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</si>
  <si>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</si>
  <si>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</si>
  <si>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</si>
  <si>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</si>
  <si>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</si>
  <si>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</si>
  <si>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</si>
  <si>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</si>
  <si>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</si>
  <si>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</si>
  <si>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</si>
  <si>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</si>
  <si>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</si>
  <si>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</si>
  <si>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</si>
  <si>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</si>
  <si>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</si>
  <si>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</si>
  <si>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</si>
  <si>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</si>
  <si>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</si>
  <si>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</si>
  <si>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</si>
  <si>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</si>
  <si>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</si>
  <si>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</si>
  <si>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</si>
  <si>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</si>
  <si>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</si>
  <si>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</si>
  <si>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</si>
  <si>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</si>
  <si>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</si>
  <si>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</si>
  <si>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</si>
  <si>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</si>
  <si>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</si>
  <si>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</si>
  <si>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</si>
  <si>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</si>
  <si>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</si>
  <si>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</si>
  <si>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</si>
  <si>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</si>
  <si>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</si>
  <si>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</si>
  <si>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</si>
  <si>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</si>
  <si>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</si>
  <si>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</si>
  <si>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</si>
  <si>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</si>
  <si>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</si>
  <si>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</si>
  <si>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</si>
  <si>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</si>
  <si>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</si>
  <si>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</si>
  <si>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</si>
  <si>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</si>
  <si>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</si>
  <si>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</si>
  <si>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</si>
  <si>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</si>
  <si>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</si>
  <si>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</si>
  <si>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</si>
  <si>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</si>
  <si>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</si>
  <si>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</si>
  <si>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</si>
  <si>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</si>
  <si>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</si>
  <si>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</si>
  <si>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</si>
  <si>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</si>
  <si>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</si>
  <si>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</si>
  <si>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</si>
  <si>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</si>
  <si>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</si>
  <si>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</si>
  <si>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</si>
  <si>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</si>
  <si>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</si>
  <si>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</si>
  <si>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</si>
  <si>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</si>
  <si>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</si>
  <si>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</si>
  <si>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</si>
  <si>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</si>
  <si>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</si>
  <si>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</si>
  <si>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</si>
  <si>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</si>
  <si>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</si>
  <si>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</si>
  <si>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</si>
  <si>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</si>
  <si>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</si>
  <si>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</si>
  <si>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</si>
  <si>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</si>
  <si>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</si>
  <si>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</si>
  <si>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</si>
  <si>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</si>
  <si>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</si>
  <si>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</si>
  <si>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</si>
  <si>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</si>
  <si>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</si>
  <si>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</si>
  <si>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</si>
  <si>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</si>
  <si>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</si>
  <si>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</si>
  <si>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</si>
  <si>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</si>
  <si>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</si>
  <si>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</si>
  <si>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</si>
  <si>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</si>
  <si>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</si>
  <si>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</si>
  <si>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</si>
  <si>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</si>
  <si>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</si>
  <si>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</si>
  <si>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</si>
  <si>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</si>
  <si>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</si>
  <si>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</si>
  <si>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</si>
  <si>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</si>
  <si>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</si>
  <si>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</si>
  <si>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</si>
  <si>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</si>
  <si>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</si>
  <si>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</si>
  <si>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</si>
  <si>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</si>
  <si>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</si>
  <si>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</si>
  <si>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</si>
  <si>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</si>
  <si>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</si>
  <si>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</si>
  <si>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</si>
  <si>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</si>
  <si>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</si>
  <si>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</si>
  <si>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</si>
  <si>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</si>
  <si>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</si>
  <si>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</si>
  <si>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</si>
  <si>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</si>
  <si>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</si>
  <si>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</si>
  <si>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</si>
  <si>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</si>
  <si>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</si>
  <si>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</si>
  <si>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</si>
  <si>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</si>
  <si>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</si>
  <si>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</si>
  <si>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</si>
  <si>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</si>
  <si>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</si>
  <si>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</si>
  <si>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</si>
  <si>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</si>
  <si>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ST VINCENTS HEALTH SERVICES CORPORATION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</si>
  <si>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</si>
  <si>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</si>
  <si>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</si>
  <si>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</si>
  <si>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</si>
  <si>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</si>
  <si>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</si>
  <si>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</si>
  <si>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</si>
  <si>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</si>
  <si>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</si>
  <si>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</si>
  <si>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</si>
  <si>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</si>
  <si>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</si>
  <si>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</si>
  <si>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</si>
  <si>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</si>
  <si>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</si>
  <si>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</si>
  <si>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</si>
  <si>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</si>
  <si>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</si>
  <si>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</si>
  <si>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</si>
  <si>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</si>
  <si>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</si>
  <si>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</si>
  <si>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</si>
  <si>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</si>
  <si>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</si>
  <si>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</si>
  <si>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</si>
  <si>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</si>
  <si>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</si>
  <si>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</si>
  <si>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</si>
  <si>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</si>
  <si>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</si>
  <si>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</si>
  <si>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</si>
  <si>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</si>
  <si>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</si>
  <si>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</si>
  <si>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</si>
  <si>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</si>
  <si>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</si>
  <si>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</si>
  <si>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</si>
  <si>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</si>
  <si>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</si>
  <si>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</si>
  <si>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</si>
  <si>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</si>
  <si>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</si>
  <si>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</si>
  <si>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</si>
  <si>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</si>
  <si>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</si>
  <si>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</si>
  <si>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</si>
  <si>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</si>
  <si>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</si>
  <si>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</si>
  <si>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</si>
  <si>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</si>
  <si>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</si>
  <si>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</si>
  <si>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</si>
  <si>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</si>
  <si>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</si>
  <si>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</si>
  <si>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</si>
  <si>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</si>
  <si>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</si>
  <si>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</si>
  <si>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</si>
  <si>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</si>
  <si>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</si>
  <si>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</si>
  <si>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</si>
  <si>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</si>
  <si>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</si>
  <si>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</si>
  <si>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</si>
  <si>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</si>
  <si>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</si>
  <si>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</si>
  <si>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</si>
  <si>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</si>
  <si>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</si>
  <si>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</si>
  <si>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</si>
  <si>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</si>
  <si>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</si>
  <si>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</si>
  <si>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</si>
  <si>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</si>
  <si>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</si>
  <si>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</si>
  <si>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</si>
  <si>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</si>
  <si>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</si>
  <si>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</si>
  <si>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</si>
  <si>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</si>
  <si>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</si>
  <si>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</si>
  <si>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</si>
  <si>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</si>
  <si>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</si>
  <si>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</si>
  <si>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</si>
  <si>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</si>
  <si>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</si>
  <si>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</si>
  <si>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</si>
  <si>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</si>
  <si>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</si>
  <si>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</si>
  <si>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St. Vincents Medical Center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</si>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</sst>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3609000</v>
      </c>
      <c r="D13" s="22">
        <v>654000</v>
      </c>
      <c r="E13" s="22">
        <f t="shared" ref="E13:E22" si="0">D13-C13</f>
        <v>-2955000</v>
      </c>
      <c r="F13" s="23">
        <f t="shared" ref="F13:F22" si="1">IF(C13=0,0,E13/C13)</f>
        <v>-0.81878636741479638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52068000</v>
      </c>
      <c r="D15" s="22">
        <v>61867000</v>
      </c>
      <c r="E15" s="22">
        <f t="shared" si="0"/>
        <v>9799000</v>
      </c>
      <c r="F15" s="23">
        <f t="shared" si="1"/>
        <v>0.18819620496274103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18040000</v>
      </c>
      <c r="D17" s="22">
        <v>5579000</v>
      </c>
      <c r="E17" s="22">
        <f t="shared" si="0"/>
        <v>-12461000</v>
      </c>
      <c r="F17" s="23">
        <f t="shared" si="1"/>
        <v>-0.69074279379157433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4742000</v>
      </c>
      <c r="D19" s="22">
        <v>4081000</v>
      </c>
      <c r="E19" s="22">
        <f t="shared" si="0"/>
        <v>-661000</v>
      </c>
      <c r="F19" s="23">
        <f t="shared" si="1"/>
        <v>-0.13939266132433573</v>
      </c>
    </row>
    <row r="20" spans="1:11" ht="24" customHeight="1" x14ac:dyDescent="0.2">
      <c r="A20" s="20">
        <v>8</v>
      </c>
      <c r="B20" s="21" t="s">
        <v>23</v>
      </c>
      <c r="C20" s="22">
        <v>2605000</v>
      </c>
      <c r="D20" s="22">
        <v>2778000</v>
      </c>
      <c r="E20" s="22">
        <f t="shared" si="0"/>
        <v>173000</v>
      </c>
      <c r="F20" s="23">
        <f t="shared" si="1"/>
        <v>6.6410748560460656E-2</v>
      </c>
    </row>
    <row r="21" spans="1:11" ht="24" customHeight="1" x14ac:dyDescent="0.2">
      <c r="A21" s="20">
        <v>9</v>
      </c>
      <c r="B21" s="21" t="s">
        <v>24</v>
      </c>
      <c r="C21" s="22">
        <v>9738000</v>
      </c>
      <c r="D21" s="22">
        <v>3955000</v>
      </c>
      <c r="E21" s="22">
        <f t="shared" si="0"/>
        <v>-5783000</v>
      </c>
      <c r="F21" s="23">
        <f t="shared" si="1"/>
        <v>-0.59385910864653935</v>
      </c>
    </row>
    <row r="22" spans="1:11" ht="24" customHeight="1" x14ac:dyDescent="0.25">
      <c r="A22" s="24"/>
      <c r="B22" s="25" t="s">
        <v>25</v>
      </c>
      <c r="C22" s="26">
        <f>SUM(C13:C21)</f>
        <v>90802000</v>
      </c>
      <c r="D22" s="26">
        <f>SUM(D13:D21)</f>
        <v>78914000</v>
      </c>
      <c r="E22" s="26">
        <f t="shared" si="0"/>
        <v>-11888000</v>
      </c>
      <c r="F22" s="27">
        <f t="shared" si="1"/>
        <v>-0.13092222638267881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281000</v>
      </c>
      <c r="D28" s="22">
        <v>290000</v>
      </c>
      <c r="E28" s="22">
        <f>D28-C28</f>
        <v>9000</v>
      </c>
      <c r="F28" s="23">
        <f>IF(C28=0,0,E28/C28)</f>
        <v>3.2028469750889681E-2</v>
      </c>
    </row>
    <row r="29" spans="1:11" ht="24" customHeight="1" x14ac:dyDescent="0.25">
      <c r="A29" s="24"/>
      <c r="B29" s="25" t="s">
        <v>32</v>
      </c>
      <c r="C29" s="26">
        <f>SUM(C25:C28)</f>
        <v>281000</v>
      </c>
      <c r="D29" s="26">
        <f>SUM(D25:D28)</f>
        <v>290000</v>
      </c>
      <c r="E29" s="26">
        <f>D29-C29</f>
        <v>9000</v>
      </c>
      <c r="F29" s="27">
        <f>IF(C29=0,0,E29/C29)</f>
        <v>3.2028469750889681E-2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20351000</v>
      </c>
      <c r="D31" s="22">
        <v>21811000</v>
      </c>
      <c r="E31" s="22">
        <f>D31-C31</f>
        <v>1460000</v>
      </c>
      <c r="F31" s="23">
        <f>IF(C31=0,0,E31/C31)</f>
        <v>7.1740946390840749E-2</v>
      </c>
    </row>
    <row r="32" spans="1:11" ht="24" customHeight="1" x14ac:dyDescent="0.2">
      <c r="A32" s="20">
        <v>6</v>
      </c>
      <c r="B32" s="21" t="s">
        <v>34</v>
      </c>
      <c r="C32" s="22">
        <v>342380000</v>
      </c>
      <c r="D32" s="22">
        <v>351018000</v>
      </c>
      <c r="E32" s="22">
        <f>D32-C32</f>
        <v>8638000</v>
      </c>
      <c r="F32" s="23">
        <f>IF(C32=0,0,E32/C32)</f>
        <v>2.522927741106373E-2</v>
      </c>
    </row>
    <row r="33" spans="1:8" ht="24" customHeight="1" x14ac:dyDescent="0.2">
      <c r="A33" s="20">
        <v>7</v>
      </c>
      <c r="B33" s="21" t="s">
        <v>35</v>
      </c>
      <c r="C33" s="22">
        <v>22629000</v>
      </c>
      <c r="D33" s="22">
        <v>44314000</v>
      </c>
      <c r="E33" s="22">
        <f>D33-C33</f>
        <v>21685000</v>
      </c>
      <c r="F33" s="23">
        <f>IF(C33=0,0,E33/C33)</f>
        <v>0.95828361836581377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427386000</v>
      </c>
      <c r="D36" s="22">
        <v>434189000</v>
      </c>
      <c r="E36" s="22">
        <f>D36-C36</f>
        <v>6803000</v>
      </c>
      <c r="F36" s="23">
        <f>IF(C36=0,0,E36/C36)</f>
        <v>1.5917695011067278E-2</v>
      </c>
    </row>
    <row r="37" spans="1:8" ht="24" customHeight="1" x14ac:dyDescent="0.2">
      <c r="A37" s="20">
        <v>2</v>
      </c>
      <c r="B37" s="21" t="s">
        <v>39</v>
      </c>
      <c r="C37" s="22">
        <v>237495000</v>
      </c>
      <c r="D37" s="22">
        <v>258287000</v>
      </c>
      <c r="E37" s="22">
        <f>D37-C37</f>
        <v>20792000</v>
      </c>
      <c r="F37" s="23">
        <f>IF(C37=0,0,E37/C37)</f>
        <v>8.7547106254868529E-2</v>
      </c>
    </row>
    <row r="38" spans="1:8" ht="24" customHeight="1" x14ac:dyDescent="0.25">
      <c r="A38" s="24"/>
      <c r="B38" s="25" t="s">
        <v>40</v>
      </c>
      <c r="C38" s="26">
        <f>C36-C37</f>
        <v>189891000</v>
      </c>
      <c r="D38" s="26">
        <f>D36-D37</f>
        <v>175902000</v>
      </c>
      <c r="E38" s="26">
        <f>D38-C38</f>
        <v>-13989000</v>
      </c>
      <c r="F38" s="27">
        <f>IF(C38=0,0,E38/C38)</f>
        <v>-7.3668578289650372E-2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2003000</v>
      </c>
      <c r="D40" s="22">
        <v>1646000</v>
      </c>
      <c r="E40" s="22">
        <f>D40-C40</f>
        <v>-357000</v>
      </c>
      <c r="F40" s="23">
        <f>IF(C40=0,0,E40/C40)</f>
        <v>-0.17823265102346481</v>
      </c>
    </row>
    <row r="41" spans="1:8" ht="24" customHeight="1" x14ac:dyDescent="0.25">
      <c r="A41" s="24"/>
      <c r="B41" s="25" t="s">
        <v>42</v>
      </c>
      <c r="C41" s="26">
        <f>+C38+C40</f>
        <v>191894000</v>
      </c>
      <c r="D41" s="26">
        <f>+D38+D40</f>
        <v>177548000</v>
      </c>
      <c r="E41" s="26">
        <f>D41-C41</f>
        <v>-14346000</v>
      </c>
      <c r="F41" s="27">
        <f>IF(C41=0,0,E41/C41)</f>
        <v>-7.4760023763119215E-2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668337000</v>
      </c>
      <c r="D43" s="26">
        <f>D22+D29+D31+D32+D33+D41</f>
        <v>673895000</v>
      </c>
      <c r="E43" s="26">
        <f>D43-C43</f>
        <v>5558000</v>
      </c>
      <c r="F43" s="27">
        <f>IF(C43=0,0,E43/C43)</f>
        <v>8.3161638514701423E-3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26609000</v>
      </c>
      <c r="D49" s="22">
        <v>19930000</v>
      </c>
      <c r="E49" s="22">
        <f t="shared" ref="E49:E56" si="2">D49-C49</f>
        <v>-6679000</v>
      </c>
      <c r="F49" s="23">
        <f t="shared" ref="F49:F56" si="3">IF(C49=0,0,E49/C49)</f>
        <v>-0.25100529895899881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22510000</v>
      </c>
      <c r="D50" s="22">
        <v>23808000</v>
      </c>
      <c r="E50" s="22">
        <f t="shared" si="2"/>
        <v>1298000</v>
      </c>
      <c r="F50" s="23">
        <f t="shared" si="3"/>
        <v>5.7663260772989784E-2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5681000</v>
      </c>
      <c r="D51" s="22">
        <v>10642000</v>
      </c>
      <c r="E51" s="22">
        <f t="shared" si="2"/>
        <v>4961000</v>
      </c>
      <c r="F51" s="23">
        <f t="shared" si="3"/>
        <v>0.87326174969195569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737000</v>
      </c>
      <c r="D53" s="22">
        <v>885000</v>
      </c>
      <c r="E53" s="22">
        <f t="shared" si="2"/>
        <v>148000</v>
      </c>
      <c r="F53" s="23">
        <f t="shared" si="3"/>
        <v>0.20081411126187246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0</v>
      </c>
      <c r="D55" s="22">
        <v>0</v>
      </c>
      <c r="E55" s="22">
        <f t="shared" si="2"/>
        <v>0</v>
      </c>
      <c r="F55" s="23">
        <f t="shared" si="3"/>
        <v>0</v>
      </c>
    </row>
    <row r="56" spans="1:6" ht="24" customHeight="1" x14ac:dyDescent="0.25">
      <c r="A56" s="24"/>
      <c r="B56" s="25" t="s">
        <v>54</v>
      </c>
      <c r="C56" s="26">
        <f>SUM(C49:C55)</f>
        <v>55537000</v>
      </c>
      <c r="D56" s="26">
        <f>SUM(D49:D55)</f>
        <v>55265000</v>
      </c>
      <c r="E56" s="26">
        <f t="shared" si="2"/>
        <v>-272000</v>
      </c>
      <c r="F56" s="27">
        <f t="shared" si="3"/>
        <v>-4.8976358103606605E-3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57489000</v>
      </c>
      <c r="D59" s="22">
        <v>56503000</v>
      </c>
      <c r="E59" s="22">
        <f>D59-C59</f>
        <v>-986000</v>
      </c>
      <c r="F59" s="23">
        <f>IF(C59=0,0,E59/C59)</f>
        <v>-1.7151107168327854E-2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57489000</v>
      </c>
      <c r="D61" s="26">
        <f>SUM(D59:D60)</f>
        <v>56503000</v>
      </c>
      <c r="E61" s="26">
        <f>D61-C61</f>
        <v>-986000</v>
      </c>
      <c r="F61" s="27">
        <f>IF(C61=0,0,E61/C61)</f>
        <v>-1.7151107168327854E-2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5704000</v>
      </c>
      <c r="D63" s="22">
        <v>4978000</v>
      </c>
      <c r="E63" s="22">
        <f>D63-C63</f>
        <v>-726000</v>
      </c>
      <c r="F63" s="23">
        <f>IF(C63=0,0,E63/C63)</f>
        <v>-0.12727910238429171</v>
      </c>
    </row>
    <row r="64" spans="1:6" ht="24" customHeight="1" x14ac:dyDescent="0.2">
      <c r="A64" s="20">
        <v>4</v>
      </c>
      <c r="B64" s="21" t="s">
        <v>60</v>
      </c>
      <c r="C64" s="22">
        <v>11187000</v>
      </c>
      <c r="D64" s="22">
        <v>12176000</v>
      </c>
      <c r="E64" s="22">
        <f>D64-C64</f>
        <v>989000</v>
      </c>
      <c r="F64" s="23">
        <f>IF(C64=0,0,E64/C64)</f>
        <v>8.8406185751318492E-2</v>
      </c>
    </row>
    <row r="65" spans="1:6" ht="24" customHeight="1" x14ac:dyDescent="0.25">
      <c r="A65" s="24"/>
      <c r="B65" s="25" t="s">
        <v>61</v>
      </c>
      <c r="C65" s="26">
        <f>SUM(C61:C64)</f>
        <v>74380000</v>
      </c>
      <c r="D65" s="26">
        <f>SUM(D61:D64)</f>
        <v>73657000</v>
      </c>
      <c r="E65" s="26">
        <f>D65-C65</f>
        <v>-723000</v>
      </c>
      <c r="F65" s="27">
        <f>IF(C65=0,0,E65/C65)</f>
        <v>-9.7203549341220753E-3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517788000</v>
      </c>
      <c r="D70" s="22">
        <v>522872000</v>
      </c>
      <c r="E70" s="22">
        <f>D70-C70</f>
        <v>5084000</v>
      </c>
      <c r="F70" s="23">
        <f>IF(C70=0,0,E70/C70)</f>
        <v>9.8186902747842749E-3</v>
      </c>
    </row>
    <row r="71" spans="1:6" ht="24" customHeight="1" x14ac:dyDescent="0.2">
      <c r="A71" s="20">
        <v>2</v>
      </c>
      <c r="B71" s="21" t="s">
        <v>65</v>
      </c>
      <c r="C71" s="22">
        <v>10854000</v>
      </c>
      <c r="D71" s="22">
        <v>12248000</v>
      </c>
      <c r="E71" s="22">
        <f>D71-C71</f>
        <v>1394000</v>
      </c>
      <c r="F71" s="23">
        <f>IF(C71=0,0,E71/C71)</f>
        <v>0.12843191450156624</v>
      </c>
    </row>
    <row r="72" spans="1:6" ht="24" customHeight="1" x14ac:dyDescent="0.2">
      <c r="A72" s="20">
        <v>3</v>
      </c>
      <c r="B72" s="21" t="s">
        <v>66</v>
      </c>
      <c r="C72" s="22">
        <v>9778000</v>
      </c>
      <c r="D72" s="22">
        <v>9853000</v>
      </c>
      <c r="E72" s="22">
        <f>D72-C72</f>
        <v>75000</v>
      </c>
      <c r="F72" s="23">
        <f>IF(C72=0,0,E72/C72)</f>
        <v>7.67028022090407E-3</v>
      </c>
    </row>
    <row r="73" spans="1:6" ht="24" customHeight="1" x14ac:dyDescent="0.25">
      <c r="A73" s="20"/>
      <c r="B73" s="25" t="s">
        <v>67</v>
      </c>
      <c r="C73" s="26">
        <f>SUM(C70:C72)</f>
        <v>538420000</v>
      </c>
      <c r="D73" s="26">
        <f>SUM(D70:D72)</f>
        <v>544973000</v>
      </c>
      <c r="E73" s="26">
        <f>D73-C73</f>
        <v>6553000</v>
      </c>
      <c r="F73" s="27">
        <f>IF(C73=0,0,E73/C73)</f>
        <v>1.2170796032836819E-2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668337000</v>
      </c>
      <c r="D75" s="26">
        <f>D56+D65+D67+D73</f>
        <v>673895000</v>
      </c>
      <c r="E75" s="26">
        <f>D75-C75</f>
        <v>5558000</v>
      </c>
      <c r="F75" s="27">
        <f>IF(C75=0,0,E75/C75)</f>
        <v>8.3161638514701423E-3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FILING&amp;RSAINT VINCENT`S MEDICAL CENTER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442096000</v>
      </c>
      <c r="D11" s="76">
        <v>433357000</v>
      </c>
      <c r="E11" s="76">
        <v>431702000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44022000</v>
      </c>
      <c r="D12" s="185">
        <v>41260000</v>
      </c>
      <c r="E12" s="185">
        <v>48756000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486118000</v>
      </c>
      <c r="D13" s="76">
        <f>+D11+D12</f>
        <v>474617000</v>
      </c>
      <c r="E13" s="76">
        <f>+E11+E12</f>
        <v>480458000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424803000</v>
      </c>
      <c r="D14" s="185">
        <v>456701000</v>
      </c>
      <c r="E14" s="185">
        <v>464057000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61315000</v>
      </c>
      <c r="D15" s="76">
        <f>+D13-D14</f>
        <v>17916000</v>
      </c>
      <c r="E15" s="76">
        <f>+E13-E14</f>
        <v>16401000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25565000</v>
      </c>
      <c r="D16" s="185">
        <v>27179000</v>
      </c>
      <c r="E16" s="185">
        <v>25040000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86880000</v>
      </c>
      <c r="D17" s="76">
        <f>D15+D16</f>
        <v>45095000</v>
      </c>
      <c r="E17" s="76">
        <f>E15+E16</f>
        <v>41441000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0.11983005102768707</v>
      </c>
      <c r="D20" s="189">
        <f>IF(+D27=0,0,+D24/+D27)</f>
        <v>3.5703752122376427E-2</v>
      </c>
      <c r="E20" s="189">
        <f>IF(+E27=0,0,+E24/+E27)</f>
        <v>3.2445232226438088E-2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4.9962574484593E-2</v>
      </c>
      <c r="D21" s="189">
        <f>IF(+D27=0,0,+D26/+D27)</f>
        <v>5.4163444905898014E-2</v>
      </c>
      <c r="E21" s="189">
        <f>IF(+E27=0,0,+E26/+E27)</f>
        <v>4.953530973416314E-2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0.16979262551228005</v>
      </c>
      <c r="D22" s="189">
        <f>IF(+D27=0,0,+D28/+D27)</f>
        <v>8.9867197028274434E-2</v>
      </c>
      <c r="E22" s="189">
        <f>IF(+E27=0,0,+E28/+E27)</f>
        <v>8.1980541960601228E-2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61315000</v>
      </c>
      <c r="D24" s="76">
        <f>+D15</f>
        <v>17916000</v>
      </c>
      <c r="E24" s="76">
        <f>+E15</f>
        <v>16401000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486118000</v>
      </c>
      <c r="D25" s="76">
        <f>+D13</f>
        <v>474617000</v>
      </c>
      <c r="E25" s="76">
        <f>+E13</f>
        <v>480458000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25565000</v>
      </c>
      <c r="D26" s="76">
        <f>+D16</f>
        <v>27179000</v>
      </c>
      <c r="E26" s="76">
        <f>+E16</f>
        <v>25040000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511683000</v>
      </c>
      <c r="D27" s="76">
        <f>SUM(D25:D26)</f>
        <v>501796000</v>
      </c>
      <c r="E27" s="76">
        <f>SUM(E25:E26)</f>
        <v>505498000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86880000</v>
      </c>
      <c r="D28" s="76">
        <f>+D17</f>
        <v>45095000</v>
      </c>
      <c r="E28" s="76">
        <f>+E17</f>
        <v>41441000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537187000</v>
      </c>
      <c r="D31" s="76">
        <v>569055000</v>
      </c>
      <c r="E31" s="76">
        <v>596405000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564326000</v>
      </c>
      <c r="D32" s="76">
        <v>596123000</v>
      </c>
      <c r="E32" s="76">
        <v>624918000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57965000</v>
      </c>
      <c r="D33" s="76">
        <f>+D32-C32</f>
        <v>31797000</v>
      </c>
      <c r="E33" s="76">
        <f>+E32-D32</f>
        <v>28795000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1.1144000000000001</v>
      </c>
      <c r="D34" s="193">
        <f>IF(C32=0,0,+D33/C32)</f>
        <v>5.6345091312468322E-2</v>
      </c>
      <c r="E34" s="193">
        <f>IF(D32=0,0,+E33/D32)</f>
        <v>4.8303789654148555E-2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1.1956502619642924</v>
      </c>
      <c r="D38" s="338">
        <f>IF(+D40=0,0,+D39/+D40)</f>
        <v>1.1834019546073935</v>
      </c>
      <c r="E38" s="338">
        <f>IF(+E40=0,0,+E39/+E40)</f>
        <v>1.2910278964563962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95163000</v>
      </c>
      <c r="D39" s="341">
        <v>80766000</v>
      </c>
      <c r="E39" s="341">
        <v>92466000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79591000</v>
      </c>
      <c r="D40" s="341">
        <v>68249000</v>
      </c>
      <c r="E40" s="341">
        <v>71622000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25.227580767147497</v>
      </c>
      <c r="D42" s="343">
        <f>IF((D48/365)=0,0,+D45/(D48/365))</f>
        <v>4.2422330367850067</v>
      </c>
      <c r="E42" s="343">
        <f>IF((E48/365)=0,0,+E45/(E48/365))</f>
        <v>2.7674704469998965</v>
      </c>
    </row>
    <row r="43" spans="1:14" ht="24" customHeight="1" x14ac:dyDescent="0.2">
      <c r="A43" s="339">
        <v>5</v>
      </c>
      <c r="B43" s="344" t="s">
        <v>16</v>
      </c>
      <c r="C43" s="345">
        <v>7416000</v>
      </c>
      <c r="D43" s="345">
        <v>5001000</v>
      </c>
      <c r="E43" s="345">
        <v>3300000</v>
      </c>
    </row>
    <row r="44" spans="1:14" ht="24" customHeight="1" x14ac:dyDescent="0.2">
      <c r="A44" s="339">
        <v>6</v>
      </c>
      <c r="B44" s="346" t="s">
        <v>17</v>
      </c>
      <c r="C44" s="345">
        <v>20274000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27690000</v>
      </c>
      <c r="D45" s="341">
        <f>+D43+D44</f>
        <v>5001000</v>
      </c>
      <c r="E45" s="341">
        <f>+E43+E44</f>
        <v>3300000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424803000</v>
      </c>
      <c r="D46" s="341">
        <f>+D14</f>
        <v>456701000</v>
      </c>
      <c r="E46" s="341">
        <f>+E14</f>
        <v>464057000</v>
      </c>
    </row>
    <row r="47" spans="1:14" ht="24" customHeight="1" x14ac:dyDescent="0.2">
      <c r="A47" s="339">
        <v>9</v>
      </c>
      <c r="B47" s="340" t="s">
        <v>356</v>
      </c>
      <c r="C47" s="341">
        <v>24176000</v>
      </c>
      <c r="D47" s="341">
        <v>26417000</v>
      </c>
      <c r="E47" s="341">
        <v>28822000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400627000</v>
      </c>
      <c r="D48" s="341">
        <f>+D46-D47</f>
        <v>430284000</v>
      </c>
      <c r="E48" s="341">
        <f>+E46-E47</f>
        <v>435235000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35.043949730375303</v>
      </c>
      <c r="D50" s="350">
        <f>IF((D55/365)=0,0,+D54/(D55/365))</f>
        <v>42.417983325526073</v>
      </c>
      <c r="E50" s="350">
        <f>IF((E55/365)=0,0,+E54/(E55/365))</f>
        <v>48.148155440558533</v>
      </c>
    </row>
    <row r="51" spans="1:5" ht="24" customHeight="1" x14ac:dyDescent="0.2">
      <c r="A51" s="339">
        <v>12</v>
      </c>
      <c r="B51" s="344" t="s">
        <v>359</v>
      </c>
      <c r="C51" s="351">
        <v>54446000</v>
      </c>
      <c r="D51" s="351">
        <v>56043000</v>
      </c>
      <c r="E51" s="351">
        <v>67589000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12000000</v>
      </c>
      <c r="D53" s="341">
        <v>5681000</v>
      </c>
      <c r="E53" s="341">
        <v>10642000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42446000</v>
      </c>
      <c r="D54" s="352">
        <f>+D51+D52-D53</f>
        <v>50362000</v>
      </c>
      <c r="E54" s="352">
        <f>+E51+E52-E53</f>
        <v>56947000</v>
      </c>
    </row>
    <row r="55" spans="1:5" ht="24" customHeight="1" x14ac:dyDescent="0.2">
      <c r="A55" s="339">
        <v>16</v>
      </c>
      <c r="B55" s="340" t="s">
        <v>75</v>
      </c>
      <c r="C55" s="341">
        <f>+C11</f>
        <v>442096000</v>
      </c>
      <c r="D55" s="341">
        <f>+D11</f>
        <v>433357000</v>
      </c>
      <c r="E55" s="341">
        <f>+E11</f>
        <v>431702000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72.513123179416269</v>
      </c>
      <c r="D57" s="355">
        <f>IF((D61/365)=0,0,+D58/(D61/365))</f>
        <v>57.894053694769035</v>
      </c>
      <c r="E57" s="355">
        <f>IF((E61/365)=0,0,+E58/(E61/365))</f>
        <v>60.06417222879594</v>
      </c>
    </row>
    <row r="58" spans="1:5" ht="24" customHeight="1" x14ac:dyDescent="0.2">
      <c r="A58" s="339">
        <v>18</v>
      </c>
      <c r="B58" s="340" t="s">
        <v>54</v>
      </c>
      <c r="C58" s="353">
        <f>+C40</f>
        <v>79591000</v>
      </c>
      <c r="D58" s="353">
        <f>+D40</f>
        <v>68249000</v>
      </c>
      <c r="E58" s="353">
        <f>+E40</f>
        <v>71622000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424803000</v>
      </c>
      <c r="D59" s="353">
        <f t="shared" si="0"/>
        <v>456701000</v>
      </c>
      <c r="E59" s="353">
        <f t="shared" si="0"/>
        <v>464057000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24176000</v>
      </c>
      <c r="D60" s="356">
        <f t="shared" si="0"/>
        <v>26417000</v>
      </c>
      <c r="E60" s="356">
        <f t="shared" si="0"/>
        <v>28822000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400627000</v>
      </c>
      <c r="D61" s="353">
        <f>+D59-D60</f>
        <v>430284000</v>
      </c>
      <c r="E61" s="353">
        <f>+E59-E60</f>
        <v>435235000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77.673401354645392</v>
      </c>
      <c r="D65" s="357">
        <f>IF(D67=0,0,(D66/D67)*100)</f>
        <v>80.255337023060562</v>
      </c>
      <c r="E65" s="357">
        <f>IF(E67=0,0,(E66/E67)*100)</f>
        <v>80.964288120397384</v>
      </c>
    </row>
    <row r="66" spans="1:5" ht="24" customHeight="1" x14ac:dyDescent="0.2">
      <c r="A66" s="339">
        <v>2</v>
      </c>
      <c r="B66" s="340" t="s">
        <v>67</v>
      </c>
      <c r="C66" s="353">
        <f>+C32</f>
        <v>564326000</v>
      </c>
      <c r="D66" s="353">
        <f>+D32</f>
        <v>596123000</v>
      </c>
      <c r="E66" s="353">
        <f>+E32</f>
        <v>624918000</v>
      </c>
    </row>
    <row r="67" spans="1:5" ht="24" customHeight="1" x14ac:dyDescent="0.2">
      <c r="A67" s="339">
        <v>3</v>
      </c>
      <c r="B67" s="340" t="s">
        <v>43</v>
      </c>
      <c r="C67" s="353">
        <v>726537000</v>
      </c>
      <c r="D67" s="353">
        <v>742783000</v>
      </c>
      <c r="E67" s="353">
        <v>771844000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80.5383923650393</v>
      </c>
      <c r="D69" s="357">
        <f>IF(D75=0,0,(D72/D75)*100)</f>
        <v>56.873816984523373</v>
      </c>
      <c r="E69" s="357">
        <f>IF(E75=0,0,(E72/E75)*100)</f>
        <v>54.839414634146344</v>
      </c>
    </row>
    <row r="70" spans="1:5" ht="24" customHeight="1" x14ac:dyDescent="0.2">
      <c r="A70" s="339">
        <v>5</v>
      </c>
      <c r="B70" s="340" t="s">
        <v>366</v>
      </c>
      <c r="C70" s="353">
        <f>+C28</f>
        <v>86880000</v>
      </c>
      <c r="D70" s="353">
        <f>+D28</f>
        <v>45095000</v>
      </c>
      <c r="E70" s="353">
        <f>+E28</f>
        <v>41441000</v>
      </c>
    </row>
    <row r="71" spans="1:5" ht="24" customHeight="1" x14ac:dyDescent="0.2">
      <c r="A71" s="339">
        <v>6</v>
      </c>
      <c r="B71" s="340" t="s">
        <v>356</v>
      </c>
      <c r="C71" s="356">
        <f>+C47</f>
        <v>24176000</v>
      </c>
      <c r="D71" s="356">
        <f>+D47</f>
        <v>26417000</v>
      </c>
      <c r="E71" s="356">
        <f>+E47</f>
        <v>28822000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111056000</v>
      </c>
      <c r="D72" s="353">
        <f>+D70+D71</f>
        <v>71512000</v>
      </c>
      <c r="E72" s="353">
        <f>+E70+E71</f>
        <v>70263000</v>
      </c>
    </row>
    <row r="73" spans="1:5" ht="24" customHeight="1" x14ac:dyDescent="0.2">
      <c r="A73" s="339">
        <v>8</v>
      </c>
      <c r="B73" s="340" t="s">
        <v>54</v>
      </c>
      <c r="C73" s="341">
        <f>+C40</f>
        <v>79591000</v>
      </c>
      <c r="D73" s="341">
        <f>+D40</f>
        <v>68249000</v>
      </c>
      <c r="E73" s="341">
        <f>+E40</f>
        <v>71622000</v>
      </c>
    </row>
    <row r="74" spans="1:5" ht="24" customHeight="1" x14ac:dyDescent="0.2">
      <c r="A74" s="339">
        <v>9</v>
      </c>
      <c r="B74" s="340" t="s">
        <v>58</v>
      </c>
      <c r="C74" s="353">
        <v>58301000</v>
      </c>
      <c r="D74" s="353">
        <v>57489000</v>
      </c>
      <c r="E74" s="353">
        <v>56503000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137892000</v>
      </c>
      <c r="D75" s="341">
        <f>+D73+D74</f>
        <v>125738000</v>
      </c>
      <c r="E75" s="341">
        <f>+E73+E74</f>
        <v>128125000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9.3637121422617398</v>
      </c>
      <c r="D77" s="359">
        <f>IF(D80=0,0,(D78/D80)*100)</f>
        <v>8.7955851483754888</v>
      </c>
      <c r="E77" s="359">
        <f>IF(E80=0,0,(E78/E80)*100)</f>
        <v>8.2919369963649494</v>
      </c>
    </row>
    <row r="78" spans="1:5" ht="24" customHeight="1" x14ac:dyDescent="0.2">
      <c r="A78" s="339">
        <v>12</v>
      </c>
      <c r="B78" s="340" t="s">
        <v>58</v>
      </c>
      <c r="C78" s="341">
        <f>+C74</f>
        <v>58301000</v>
      </c>
      <c r="D78" s="341">
        <f>+D74</f>
        <v>57489000</v>
      </c>
      <c r="E78" s="341">
        <f>+E74</f>
        <v>56503000</v>
      </c>
    </row>
    <row r="79" spans="1:5" ht="24" customHeight="1" x14ac:dyDescent="0.2">
      <c r="A79" s="339">
        <v>13</v>
      </c>
      <c r="B79" s="340" t="s">
        <v>67</v>
      </c>
      <c r="C79" s="341">
        <f>+C32</f>
        <v>564326000</v>
      </c>
      <c r="D79" s="341">
        <f>+D32</f>
        <v>596123000</v>
      </c>
      <c r="E79" s="341">
        <f>+E32</f>
        <v>624918000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622627000</v>
      </c>
      <c r="D80" s="341">
        <f>+D78+D79</f>
        <v>653612000</v>
      </c>
      <c r="E80" s="341">
        <f>+E78+E79</f>
        <v>681421000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FILING&amp;R&amp;8ST VINCENTS HEALTH SERVICES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67605</v>
      </c>
      <c r="D11" s="376">
        <v>13248</v>
      </c>
      <c r="E11" s="376">
        <v>14153</v>
      </c>
      <c r="F11" s="377">
        <v>243</v>
      </c>
      <c r="G11" s="377">
        <v>253</v>
      </c>
      <c r="H11" s="378">
        <f>IF(F11=0,0,$C11/(F11*365))</f>
        <v>0.76221883984441063</v>
      </c>
      <c r="I11" s="378">
        <f>IF(G11=0,0,$C11/(G11*365))</f>
        <v>0.73209161297309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6499</v>
      </c>
      <c r="D13" s="376">
        <v>355</v>
      </c>
      <c r="E13" s="376">
        <v>0</v>
      </c>
      <c r="F13" s="377">
        <v>30</v>
      </c>
      <c r="G13" s="377">
        <v>30</v>
      </c>
      <c r="H13" s="378">
        <f>IF(F13=0,0,$C13/(F13*365))</f>
        <v>0.59351598173515985</v>
      </c>
      <c r="I13" s="378">
        <f>IF(G13=0,0,$C13/(G13*365))</f>
        <v>0.59351598173515985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4156</v>
      </c>
      <c r="D15" s="376">
        <v>500</v>
      </c>
      <c r="E15" s="376">
        <v>395</v>
      </c>
      <c r="F15" s="377">
        <v>17</v>
      </c>
      <c r="G15" s="377">
        <v>17</v>
      </c>
      <c r="H15" s="378">
        <f t="shared" ref="H15:I17" si="0">IF(F15=0,0,$C15/(F15*365))</f>
        <v>0.66978243352135369</v>
      </c>
      <c r="I15" s="378">
        <f t="shared" si="0"/>
        <v>0.66978243352135369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23710</v>
      </c>
      <c r="D16" s="376">
        <v>2319</v>
      </c>
      <c r="E16" s="376">
        <v>1727</v>
      </c>
      <c r="F16" s="377">
        <v>75</v>
      </c>
      <c r="G16" s="377">
        <v>75</v>
      </c>
      <c r="H16" s="378">
        <f t="shared" si="0"/>
        <v>0.86611872146118718</v>
      </c>
      <c r="I16" s="378">
        <f t="shared" si="0"/>
        <v>0.86611872146118718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27866</v>
      </c>
      <c r="D17" s="381">
        <f>SUM(D15:D16)</f>
        <v>2819</v>
      </c>
      <c r="E17" s="381">
        <f>SUM(E15:E16)</f>
        <v>2122</v>
      </c>
      <c r="F17" s="381">
        <f>SUM(F15:F16)</f>
        <v>92</v>
      </c>
      <c r="G17" s="381">
        <f>SUM(G15:G16)</f>
        <v>92</v>
      </c>
      <c r="H17" s="382">
        <f t="shared" si="0"/>
        <v>0.82983918999404405</v>
      </c>
      <c r="I17" s="382">
        <f t="shared" si="0"/>
        <v>0.82983918999404405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3060</v>
      </c>
      <c r="D19" s="376">
        <v>209</v>
      </c>
      <c r="E19" s="376">
        <v>226</v>
      </c>
      <c r="F19" s="377">
        <v>10</v>
      </c>
      <c r="G19" s="377">
        <v>10</v>
      </c>
      <c r="H19" s="378">
        <f>IF(F19=0,0,$C19/(F19*365))</f>
        <v>0.83835616438356164</v>
      </c>
      <c r="I19" s="378">
        <f>IF(G19=0,0,$C19/(G19*365))</f>
        <v>0.83835616438356164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2657</v>
      </c>
      <c r="D21" s="376">
        <v>1022</v>
      </c>
      <c r="E21" s="376">
        <v>1176</v>
      </c>
      <c r="F21" s="377">
        <v>22</v>
      </c>
      <c r="G21" s="377">
        <v>26</v>
      </c>
      <c r="H21" s="378">
        <f>IF(F21=0,0,$C21/(F21*365))</f>
        <v>0.33088418430884187</v>
      </c>
      <c r="I21" s="378">
        <f>IF(G21=0,0,$C21/(G21*365))</f>
        <v>0.27997892518440465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3069</v>
      </c>
      <c r="D23" s="376">
        <v>1058</v>
      </c>
      <c r="E23" s="376">
        <v>971</v>
      </c>
      <c r="F23" s="377">
        <v>27</v>
      </c>
      <c r="G23" s="377">
        <v>35</v>
      </c>
      <c r="H23" s="378">
        <f>IF(F23=0,0,$C23/(F23*365))</f>
        <v>0.31141552511415527</v>
      </c>
      <c r="I23" s="378">
        <f>IF(G23=0,0,$C23/(G23*365))</f>
        <v>0.24023483365949119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107687</v>
      </c>
      <c r="D31" s="384">
        <f>SUM(D10:D29)-D13-D17-D23</f>
        <v>17298</v>
      </c>
      <c r="E31" s="384">
        <f>SUM(E10:E29)-E17-E23</f>
        <v>17677</v>
      </c>
      <c r="F31" s="384">
        <f>SUM(F10:F29)-F17-F23</f>
        <v>397</v>
      </c>
      <c r="G31" s="384">
        <f>SUM(G10:G29)-G17-G23</f>
        <v>411</v>
      </c>
      <c r="H31" s="385">
        <f>IF(F31=0,0,$C31/(F31*365))</f>
        <v>0.74315586073634454</v>
      </c>
      <c r="I31" s="385">
        <f>IF(G31=0,0,$C31/(G31*365))</f>
        <v>0.71784154917841547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110756</v>
      </c>
      <c r="D33" s="384">
        <f>SUM(D10:D29)-D13-D17</f>
        <v>18356</v>
      </c>
      <c r="E33" s="384">
        <f>SUM(E10:E29)-E17</f>
        <v>18648</v>
      </c>
      <c r="F33" s="384">
        <f>SUM(F10:F29)-F17</f>
        <v>424</v>
      </c>
      <c r="G33" s="384">
        <f>SUM(G10:G29)-G17</f>
        <v>446</v>
      </c>
      <c r="H33" s="385">
        <f>IF(F33=0,0,$C33/(F33*365))</f>
        <v>0.71566296200568624</v>
      </c>
      <c r="I33" s="385">
        <f>IF(G33=0,0,$C33/(G33*365))</f>
        <v>0.68036120154800661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110756</v>
      </c>
      <c r="D36" s="384">
        <f t="shared" si="1"/>
        <v>18356</v>
      </c>
      <c r="E36" s="384">
        <f t="shared" si="1"/>
        <v>18648</v>
      </c>
      <c r="F36" s="384">
        <f t="shared" si="1"/>
        <v>424</v>
      </c>
      <c r="G36" s="384">
        <f t="shared" si="1"/>
        <v>446</v>
      </c>
      <c r="H36" s="387">
        <f t="shared" si="1"/>
        <v>0.71566296200568624</v>
      </c>
      <c r="I36" s="387">
        <f t="shared" si="1"/>
        <v>0.68036120154800661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120574</v>
      </c>
      <c r="D37" s="384">
        <v>20324</v>
      </c>
      <c r="E37" s="384">
        <v>18236</v>
      </c>
      <c r="F37" s="386">
        <v>424</v>
      </c>
      <c r="G37" s="386">
        <v>446</v>
      </c>
      <c r="H37" s="385">
        <f>IF(F37=0,0,$C37/(F37*365))</f>
        <v>0.77910312742310672</v>
      </c>
      <c r="I37" s="385">
        <f>IF(G37=0,0,$C37/(G37*365))</f>
        <v>0.74067203145156335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-9818</v>
      </c>
      <c r="D38" s="384">
        <f t="shared" si="2"/>
        <v>-1968</v>
      </c>
      <c r="E38" s="384">
        <f t="shared" si="2"/>
        <v>412</v>
      </c>
      <c r="F38" s="384">
        <f t="shared" si="2"/>
        <v>0</v>
      </c>
      <c r="G38" s="384">
        <f t="shared" si="2"/>
        <v>0</v>
      </c>
      <c r="H38" s="387">
        <f t="shared" si="2"/>
        <v>-6.344016541742048E-2</v>
      </c>
      <c r="I38" s="387">
        <f t="shared" si="2"/>
        <v>-6.031082990355674E-2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-8.1427173354122778E-2</v>
      </c>
      <c r="D40" s="389">
        <f t="shared" si="3"/>
        <v>-9.6831332414878957E-2</v>
      </c>
      <c r="E40" s="389">
        <f t="shared" si="3"/>
        <v>2.2592673831980697E-2</v>
      </c>
      <c r="F40" s="389">
        <f t="shared" si="3"/>
        <v>0</v>
      </c>
      <c r="G40" s="389">
        <f t="shared" si="3"/>
        <v>0</v>
      </c>
      <c r="H40" s="389">
        <f t="shared" si="3"/>
        <v>-8.1427173354122723E-2</v>
      </c>
      <c r="I40" s="389">
        <f t="shared" si="3"/>
        <v>-8.1427173354122792E-2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520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5" fitToHeight="0" orientation="landscape" horizontalDpi="1200" verticalDpi="1200" r:id="rId1"/>
  <headerFooter>
    <oddHeader>&amp;LOFFICE OF HEALTH CARE ACCESS&amp;CTWELVE MONTHS ACTUAL FILING&amp;RSAINT VINCENT`S MEDICAL CENTER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13667</v>
      </c>
      <c r="D12" s="409">
        <v>12350</v>
      </c>
      <c r="E12" s="409">
        <f>+D12-C12</f>
        <v>-1317</v>
      </c>
      <c r="F12" s="410">
        <f>IF(C12=0,0,+E12/C12)</f>
        <v>-9.6363503329187097E-2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5854</v>
      </c>
      <c r="D13" s="409">
        <v>6161</v>
      </c>
      <c r="E13" s="409">
        <f>+D13-C13</f>
        <v>307</v>
      </c>
      <c r="F13" s="410">
        <f>IF(C13=0,0,+E13/C13)</f>
        <v>5.2442774171506661E-2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14174</v>
      </c>
      <c r="D14" s="409">
        <v>13544</v>
      </c>
      <c r="E14" s="409">
        <f>+D14-C14</f>
        <v>-630</v>
      </c>
      <c r="F14" s="410">
        <f>IF(C14=0,0,+E14/C14)</f>
        <v>-4.4447580076195849E-2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33695</v>
      </c>
      <c r="D16" s="401">
        <f>SUM(D12:D15)</f>
        <v>32055</v>
      </c>
      <c r="E16" s="401">
        <f>+D16-C16</f>
        <v>-1640</v>
      </c>
      <c r="F16" s="402">
        <f>IF(C16=0,0,+E16/C16)</f>
        <v>-4.8671909778898945E-2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1754</v>
      </c>
      <c r="D19" s="409">
        <v>1727</v>
      </c>
      <c r="E19" s="409">
        <f>+D19-C19</f>
        <v>-27</v>
      </c>
      <c r="F19" s="410">
        <f>IF(C19=0,0,+E19/C19)</f>
        <v>-1.5393386545039909E-2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2064</v>
      </c>
      <c r="D20" s="409">
        <v>1899</v>
      </c>
      <c r="E20" s="409">
        <f>+D20-C20</f>
        <v>-165</v>
      </c>
      <c r="F20" s="410">
        <f>IF(C20=0,0,+E20/C20)</f>
        <v>-7.9941860465116282E-2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279</v>
      </c>
      <c r="D21" s="409">
        <v>251</v>
      </c>
      <c r="E21" s="409">
        <f>+D21-C21</f>
        <v>-28</v>
      </c>
      <c r="F21" s="410">
        <f>IF(C21=0,0,+E21/C21)</f>
        <v>-0.1003584229390681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4097</v>
      </c>
      <c r="D23" s="401">
        <f>SUM(D19:D22)</f>
        <v>3877</v>
      </c>
      <c r="E23" s="401">
        <f>+D23-C23</f>
        <v>-220</v>
      </c>
      <c r="F23" s="402">
        <f>IF(C23=0,0,+E23/C23)</f>
        <v>-5.3697827678789355E-2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3</v>
      </c>
      <c r="E27" s="409">
        <f>+D27-C27</f>
        <v>3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3</v>
      </c>
      <c r="E30" s="401">
        <f>+D30-C30</f>
        <v>3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46</v>
      </c>
      <c r="D33" s="409">
        <v>28</v>
      </c>
      <c r="E33" s="409">
        <f>+D33-C33</f>
        <v>-18</v>
      </c>
      <c r="F33" s="410">
        <f>IF(C33=0,0,+E33/C33)</f>
        <v>-0.39130434782608697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569</v>
      </c>
      <c r="D34" s="409">
        <v>584</v>
      </c>
      <c r="E34" s="409">
        <f>+D34-C34</f>
        <v>15</v>
      </c>
      <c r="F34" s="410">
        <f>IF(C34=0,0,+E34/C34)</f>
        <v>2.6362038664323375E-2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1</v>
      </c>
      <c r="D35" s="409">
        <v>0</v>
      </c>
      <c r="E35" s="409">
        <f>+D35-C35</f>
        <v>-1</v>
      </c>
      <c r="F35" s="410">
        <f>IF(C35=0,0,+E35/C35)</f>
        <v>-1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616</v>
      </c>
      <c r="D37" s="401">
        <f>SUM(D33:D36)</f>
        <v>612</v>
      </c>
      <c r="E37" s="401">
        <f>+D37-C37</f>
        <v>-4</v>
      </c>
      <c r="F37" s="402">
        <f>IF(C37=0,0,+E37/C37)</f>
        <v>-6.4935064935064939E-3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1034</v>
      </c>
      <c r="D43" s="409">
        <v>1141</v>
      </c>
      <c r="E43" s="409">
        <f>+D43-C43</f>
        <v>107</v>
      </c>
      <c r="F43" s="410">
        <f>IF(C43=0,0,+E43/C43)</f>
        <v>0.10348162475822051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17479</v>
      </c>
      <c r="D44" s="409">
        <v>14696</v>
      </c>
      <c r="E44" s="409">
        <f>+D44-C44</f>
        <v>-2783</v>
      </c>
      <c r="F44" s="410">
        <f>IF(C44=0,0,+E44/C44)</f>
        <v>-0.1592196349905601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18513</v>
      </c>
      <c r="D45" s="401">
        <f>SUM(D43:D44)</f>
        <v>15837</v>
      </c>
      <c r="E45" s="401">
        <f>+D45-C45</f>
        <v>-2676</v>
      </c>
      <c r="F45" s="402">
        <f>IF(C45=0,0,+E45/C45)</f>
        <v>-0.14454707502835845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902</v>
      </c>
      <c r="D48" s="409">
        <v>706</v>
      </c>
      <c r="E48" s="409">
        <f>+D48-C48</f>
        <v>-196</v>
      </c>
      <c r="F48" s="410">
        <f>IF(C48=0,0,+E48/C48)</f>
        <v>-0.21729490022172948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760</v>
      </c>
      <c r="D49" s="409">
        <v>686</v>
      </c>
      <c r="E49" s="409">
        <f>+D49-C49</f>
        <v>-74</v>
      </c>
      <c r="F49" s="410">
        <f>IF(C49=0,0,+E49/C49)</f>
        <v>-9.7368421052631576E-2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1662</v>
      </c>
      <c r="D50" s="401">
        <f>SUM(D48:D49)</f>
        <v>1392</v>
      </c>
      <c r="E50" s="401">
        <f>+D50-C50</f>
        <v>-270</v>
      </c>
      <c r="F50" s="402">
        <f>IF(C50=0,0,+E50/C50)</f>
        <v>-0.16245487364620939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307</v>
      </c>
      <c r="D53" s="409">
        <v>567</v>
      </c>
      <c r="E53" s="409">
        <f>+D53-C53</f>
        <v>260</v>
      </c>
      <c r="F53" s="410">
        <f>IF(C53=0,0,+E53/C53)</f>
        <v>0.84690553745928343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511</v>
      </c>
      <c r="D54" s="409">
        <v>428</v>
      </c>
      <c r="E54" s="409">
        <f>+D54-C54</f>
        <v>-83</v>
      </c>
      <c r="F54" s="410">
        <f>IF(C54=0,0,+E54/C54)</f>
        <v>-0.16242661448140899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818</v>
      </c>
      <c r="D55" s="401">
        <f>SUM(D53:D54)</f>
        <v>995</v>
      </c>
      <c r="E55" s="401">
        <f>+D55-C55</f>
        <v>177</v>
      </c>
      <c r="F55" s="402">
        <f>IF(C55=0,0,+E55/C55)</f>
        <v>0.21638141809290953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589</v>
      </c>
      <c r="D58" s="409">
        <v>419</v>
      </c>
      <c r="E58" s="409">
        <f>+D58-C58</f>
        <v>-170</v>
      </c>
      <c r="F58" s="410">
        <f>IF(C58=0,0,+E58/C58)</f>
        <v>-0.28862478777589134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438</v>
      </c>
      <c r="D59" s="409">
        <v>289</v>
      </c>
      <c r="E59" s="409">
        <f>+D59-C59</f>
        <v>-149</v>
      </c>
      <c r="F59" s="410">
        <f>IF(C59=0,0,+E59/C59)</f>
        <v>-0.34018264840182649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1027</v>
      </c>
      <c r="D60" s="401">
        <f>SUM(D58:D59)</f>
        <v>708</v>
      </c>
      <c r="E60" s="401">
        <f>SUM(E58:E59)</f>
        <v>-319</v>
      </c>
      <c r="F60" s="402">
        <f>IF(C60=0,0,+E60/C60)</f>
        <v>-0.31061343719571566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4424</v>
      </c>
      <c r="D63" s="409">
        <v>5182</v>
      </c>
      <c r="E63" s="409">
        <f>+D63-C63</f>
        <v>758</v>
      </c>
      <c r="F63" s="410">
        <f>IF(C63=0,0,+E63/C63)</f>
        <v>0.17133815551537071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5983</v>
      </c>
      <c r="D64" s="409">
        <v>3503</v>
      </c>
      <c r="E64" s="409">
        <f>+D64-C64</f>
        <v>-2480</v>
      </c>
      <c r="F64" s="410">
        <f>IF(C64=0,0,+E64/C64)</f>
        <v>-0.41450777202072536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10407</v>
      </c>
      <c r="D65" s="401">
        <f>SUM(D63:D64)</f>
        <v>8685</v>
      </c>
      <c r="E65" s="401">
        <f>+D65-C65</f>
        <v>-1722</v>
      </c>
      <c r="F65" s="402">
        <f>IF(C65=0,0,+E65/C65)</f>
        <v>-0.16546555203228597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1691</v>
      </c>
      <c r="D68" s="409">
        <v>1955</v>
      </c>
      <c r="E68" s="409">
        <f>+D68-C68</f>
        <v>264</v>
      </c>
      <c r="F68" s="410">
        <f>IF(C68=0,0,+E68/C68)</f>
        <v>0.15612063867534004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4856</v>
      </c>
      <c r="D69" s="409">
        <v>5065</v>
      </c>
      <c r="E69" s="409">
        <f>+D69-C69</f>
        <v>209</v>
      </c>
      <c r="F69" s="412">
        <f>IF(C69=0,0,+E69/C69)</f>
        <v>4.3039538714991762E-2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6547</v>
      </c>
      <c r="D70" s="401">
        <f>SUM(D68:D69)</f>
        <v>7020</v>
      </c>
      <c r="E70" s="401">
        <f>+D70-C70</f>
        <v>473</v>
      </c>
      <c r="F70" s="402">
        <f>IF(C70=0,0,+E70/C70)</f>
        <v>7.2246830609439441E-2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14293</v>
      </c>
      <c r="D73" s="376">
        <v>13155</v>
      </c>
      <c r="E73" s="409">
        <f>+D73-C73</f>
        <v>-1138</v>
      </c>
      <c r="F73" s="410">
        <f>IF(C73=0,0,+E73/C73)</f>
        <v>-7.9619394109004413E-2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64264</v>
      </c>
      <c r="D74" s="376">
        <v>57689</v>
      </c>
      <c r="E74" s="409">
        <f>+D74-C74</f>
        <v>-6575</v>
      </c>
      <c r="F74" s="410">
        <f>IF(C74=0,0,+E74/C74)</f>
        <v>-0.10231233661147765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78557</v>
      </c>
      <c r="D75" s="401">
        <f>SUM(D73:D74)</f>
        <v>70844</v>
      </c>
      <c r="E75" s="401">
        <f>SUM(E73:E74)</f>
        <v>-7713</v>
      </c>
      <c r="F75" s="402">
        <f>IF(C75=0,0,+E75/C75)</f>
        <v>-9.8183484603536292E-2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20634</v>
      </c>
      <c r="D81" s="376">
        <v>18590</v>
      </c>
      <c r="E81" s="409">
        <f t="shared" si="0"/>
        <v>-2044</v>
      </c>
      <c r="F81" s="410">
        <f t="shared" si="1"/>
        <v>-9.9059804206649213E-2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62109</v>
      </c>
      <c r="D84" s="376">
        <v>47258</v>
      </c>
      <c r="E84" s="409">
        <f t="shared" si="0"/>
        <v>-14851</v>
      </c>
      <c r="F84" s="410">
        <f t="shared" si="1"/>
        <v>-0.23911188394596597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19377</v>
      </c>
      <c r="D91" s="376">
        <v>15070</v>
      </c>
      <c r="E91" s="409">
        <f t="shared" si="0"/>
        <v>-4307</v>
      </c>
      <c r="F91" s="410">
        <f t="shared" si="1"/>
        <v>-0.22227382979821439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102120</v>
      </c>
      <c r="D92" s="381">
        <f>SUM(D79:D91)</f>
        <v>80918</v>
      </c>
      <c r="E92" s="401">
        <f t="shared" si="0"/>
        <v>-21202</v>
      </c>
      <c r="F92" s="402">
        <f t="shared" si="1"/>
        <v>-0.20761848805327066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11997</v>
      </c>
      <c r="D95" s="414">
        <v>9305</v>
      </c>
      <c r="E95" s="415">
        <f t="shared" ref="E95:E100" si="2">+D95-C95</f>
        <v>-2692</v>
      </c>
      <c r="F95" s="412">
        <f t="shared" ref="F95:F100" si="3">IF(C95=0,0,+E95/C95)</f>
        <v>-0.22438943069100609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5738</v>
      </c>
      <c r="D96" s="414">
        <v>5346</v>
      </c>
      <c r="E96" s="409">
        <f t="shared" si="2"/>
        <v>-392</v>
      </c>
      <c r="F96" s="410">
        <f t="shared" si="3"/>
        <v>-6.8316486580690131E-2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1759</v>
      </c>
      <c r="D97" s="414">
        <v>2815</v>
      </c>
      <c r="E97" s="409">
        <f t="shared" si="2"/>
        <v>1056</v>
      </c>
      <c r="F97" s="410">
        <f t="shared" si="3"/>
        <v>0.60034110289937459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3387</v>
      </c>
      <c r="D98" s="414">
        <v>3184</v>
      </c>
      <c r="E98" s="409">
        <f t="shared" si="2"/>
        <v>-203</v>
      </c>
      <c r="F98" s="410">
        <f t="shared" si="3"/>
        <v>-5.9935045763212284E-2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89152</v>
      </c>
      <c r="D99" s="414">
        <v>79469</v>
      </c>
      <c r="E99" s="409">
        <f t="shared" si="2"/>
        <v>-9683</v>
      </c>
      <c r="F99" s="410">
        <f t="shared" si="3"/>
        <v>-0.10861225771715721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112033</v>
      </c>
      <c r="D100" s="381">
        <f>SUM(D95:D99)</f>
        <v>100119</v>
      </c>
      <c r="E100" s="401">
        <f t="shared" si="2"/>
        <v>-11914</v>
      </c>
      <c r="F100" s="402">
        <f t="shared" si="3"/>
        <v>-0.10634366659823445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853</v>
      </c>
      <c r="D104" s="416">
        <v>936.7</v>
      </c>
      <c r="E104" s="417">
        <f>+D104-C104</f>
        <v>83.700000000000045</v>
      </c>
      <c r="F104" s="410">
        <f>IF(C104=0,0,+E104/C104)</f>
        <v>9.8124267291910955E-2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69.900000000000006</v>
      </c>
      <c r="D105" s="416">
        <v>65.2</v>
      </c>
      <c r="E105" s="417">
        <f>+D105-C105</f>
        <v>-4.7000000000000028</v>
      </c>
      <c r="F105" s="410">
        <f>IF(C105=0,0,+E105/C105)</f>
        <v>-6.7238912732474995E-2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1340.3</v>
      </c>
      <c r="D106" s="416">
        <v>1279.9000000000001</v>
      </c>
      <c r="E106" s="417">
        <f>+D106-C106</f>
        <v>-60.399999999999864</v>
      </c>
      <c r="F106" s="410">
        <f>IF(C106=0,0,+E106/C106)</f>
        <v>-4.5064537790046905E-2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2263.1999999999998</v>
      </c>
      <c r="D107" s="418">
        <f>SUM(D104:D106)</f>
        <v>2281.8000000000002</v>
      </c>
      <c r="E107" s="418">
        <f>+D107-C107</f>
        <v>18.600000000000364</v>
      </c>
      <c r="F107" s="402">
        <f>IF(C107=0,0,+E107/C107)</f>
        <v>8.21845174973505E-3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FILING&amp;RSAINT VINCENT`S MEDICAL CENTER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5983</v>
      </c>
      <c r="D12" s="409">
        <v>3503</v>
      </c>
      <c r="E12" s="409">
        <f>+D12-C12</f>
        <v>-2480</v>
      </c>
      <c r="F12" s="410">
        <f>IF(C12=0,0,+E12/C12)</f>
        <v>-0.41450777202072536</v>
      </c>
    </row>
    <row r="13" spans="1:6" ht="15.75" customHeight="1" x14ac:dyDescent="0.25">
      <c r="A13" s="374"/>
      <c r="B13" s="399" t="s">
        <v>622</v>
      </c>
      <c r="C13" s="401">
        <f>SUM(C11:C12)</f>
        <v>5983</v>
      </c>
      <c r="D13" s="401">
        <f>SUM(D11:D12)</f>
        <v>3503</v>
      </c>
      <c r="E13" s="401">
        <f>+D13-C13</f>
        <v>-2480</v>
      </c>
      <c r="F13" s="402">
        <f>IF(C13=0,0,+E13/C13)</f>
        <v>-0.41450777202072536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4856</v>
      </c>
      <c r="D16" s="409">
        <v>5065</v>
      </c>
      <c r="E16" s="409">
        <f>+D16-C16</f>
        <v>209</v>
      </c>
      <c r="F16" s="410">
        <f>IF(C16=0,0,+E16/C16)</f>
        <v>4.3039538714991762E-2</v>
      </c>
    </row>
    <row r="17" spans="1:6" ht="15.75" customHeight="1" x14ac:dyDescent="0.25">
      <c r="A17" s="374"/>
      <c r="B17" s="399" t="s">
        <v>623</v>
      </c>
      <c r="C17" s="401">
        <f>SUM(C15:C16)</f>
        <v>4856</v>
      </c>
      <c r="D17" s="401">
        <f>SUM(D15:D16)</f>
        <v>5065</v>
      </c>
      <c r="E17" s="401">
        <f>+D17-C17</f>
        <v>209</v>
      </c>
      <c r="F17" s="402">
        <f>IF(C17=0,0,+E17/C17)</f>
        <v>4.3039538714991762E-2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64264</v>
      </c>
      <c r="D20" s="409">
        <v>57689</v>
      </c>
      <c r="E20" s="409">
        <f>+D20-C20</f>
        <v>-6575</v>
      </c>
      <c r="F20" s="410">
        <f>IF(C20=0,0,+E20/C20)</f>
        <v>-0.10231233661147765</v>
      </c>
    </row>
    <row r="21" spans="1:6" ht="15.75" customHeight="1" x14ac:dyDescent="0.25">
      <c r="A21" s="374"/>
      <c r="B21" s="399" t="s">
        <v>625</v>
      </c>
      <c r="C21" s="401">
        <f>SUM(C19:C20)</f>
        <v>64264</v>
      </c>
      <c r="D21" s="401">
        <f>SUM(D19:D20)</f>
        <v>57689</v>
      </c>
      <c r="E21" s="401">
        <f>+D21-C21</f>
        <v>-6575</v>
      </c>
      <c r="F21" s="402">
        <f>IF(C21=0,0,+E21/C21)</f>
        <v>-0.10231233661147765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626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627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628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FILING&amp;RSAINT VINCENT`S MEDICAL CENTER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438086271</v>
      </c>
      <c r="D15" s="448">
        <v>421061707</v>
      </c>
      <c r="E15" s="448">
        <f t="shared" ref="E15:E24" si="0">D15-C15</f>
        <v>-17024564</v>
      </c>
      <c r="F15" s="449">
        <f t="shared" ref="F15:F24" si="1">IF(C15=0,0,E15/C15)</f>
        <v>-3.8861213251761548E-2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126929300</v>
      </c>
      <c r="D16" s="448">
        <v>120638609</v>
      </c>
      <c r="E16" s="448">
        <f t="shared" si="0"/>
        <v>-6290691</v>
      </c>
      <c r="F16" s="449">
        <f t="shared" si="1"/>
        <v>-4.9560590029252505E-2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0.28973585433358628</v>
      </c>
      <c r="D17" s="453">
        <f>IF(LN_IA1=0,0,LN_IA2/LN_IA1)</f>
        <v>0.28651052089141887</v>
      </c>
      <c r="E17" s="454">
        <f t="shared" si="0"/>
        <v>-3.2253334421674107E-3</v>
      </c>
      <c r="F17" s="449">
        <f t="shared" si="1"/>
        <v>-1.1131978986811675E-2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9550</v>
      </c>
      <c r="D18" s="456">
        <v>8674</v>
      </c>
      <c r="E18" s="456">
        <f t="shared" si="0"/>
        <v>-876</v>
      </c>
      <c r="F18" s="449">
        <f t="shared" si="1"/>
        <v>-9.1727748691099481E-2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1.5337000000000001</v>
      </c>
      <c r="D19" s="459">
        <v>1.5561</v>
      </c>
      <c r="E19" s="460">
        <f t="shared" si="0"/>
        <v>2.2399999999999975E-2</v>
      </c>
      <c r="F19" s="449">
        <f t="shared" si="1"/>
        <v>1.4605203103605644E-2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14646.835000000001</v>
      </c>
      <c r="D20" s="463">
        <f>LN_IA4*LN_IA5</f>
        <v>13497.6114</v>
      </c>
      <c r="E20" s="463">
        <f t="shared" si="0"/>
        <v>-1149.2236000000012</v>
      </c>
      <c r="F20" s="449">
        <f t="shared" si="1"/>
        <v>-7.8462247987363898E-2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8665.9882493385085</v>
      </c>
      <c r="D21" s="465">
        <f>IF(LN_IA6=0,0,LN_IA2/LN_IA6)</f>
        <v>8937.7746495205811</v>
      </c>
      <c r="E21" s="465">
        <f t="shared" si="0"/>
        <v>271.78640018207261</v>
      </c>
      <c r="F21" s="449">
        <f t="shared" si="1"/>
        <v>3.1362424268555705E-2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64221</v>
      </c>
      <c r="D22" s="456">
        <v>57146</v>
      </c>
      <c r="E22" s="456">
        <f t="shared" si="0"/>
        <v>-7075</v>
      </c>
      <c r="F22" s="449">
        <f t="shared" si="1"/>
        <v>-0.11016645645505364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1976.445399479921</v>
      </c>
      <c r="D23" s="465">
        <f>IF(LN_IA8=0,0,LN_IA2/LN_IA8)</f>
        <v>2111.0595492247926</v>
      </c>
      <c r="E23" s="465">
        <f t="shared" si="0"/>
        <v>134.61414974487161</v>
      </c>
      <c r="F23" s="449">
        <f t="shared" si="1"/>
        <v>6.8109217578332187E-2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6.7247120418848167</v>
      </c>
      <c r="D24" s="466">
        <f>IF(LN_IA4=0,0,LN_IA8/LN_IA4)</f>
        <v>6.5881946045653681</v>
      </c>
      <c r="E24" s="466">
        <f t="shared" si="0"/>
        <v>-0.13651743731944865</v>
      </c>
      <c r="F24" s="449">
        <f t="shared" si="1"/>
        <v>-2.0300859943020735E-2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136933475</v>
      </c>
      <c r="D27" s="448">
        <v>152320573</v>
      </c>
      <c r="E27" s="448">
        <f t="shared" ref="E27:E32" si="2">D27-C27</f>
        <v>15387098</v>
      </c>
      <c r="F27" s="449">
        <f t="shared" ref="F27:F32" si="3">IF(C27=0,0,E27/C27)</f>
        <v>0.11236914859569583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33752723</v>
      </c>
      <c r="D28" s="448">
        <v>36017165</v>
      </c>
      <c r="E28" s="448">
        <f t="shared" si="2"/>
        <v>2264442</v>
      </c>
      <c r="F28" s="449">
        <f t="shared" si="3"/>
        <v>6.708916492456031E-2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0.24648993242886738</v>
      </c>
      <c r="D29" s="453">
        <f>IF(LN_IA11=0,0,LN_IA12/LN_IA11)</f>
        <v>0.23645633869825319</v>
      </c>
      <c r="E29" s="454">
        <f t="shared" si="2"/>
        <v>-1.0033593730614188E-2</v>
      </c>
      <c r="F29" s="449">
        <f t="shared" si="3"/>
        <v>-4.0705896714502546E-2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0.31257193859882454</v>
      </c>
      <c r="D30" s="453">
        <f>IF(LN_IA1=0,0,LN_IA11/LN_IA1)</f>
        <v>0.36175356359347111</v>
      </c>
      <c r="E30" s="454">
        <f t="shared" si="2"/>
        <v>4.9181624994646567E-2</v>
      </c>
      <c r="F30" s="449">
        <f t="shared" si="3"/>
        <v>0.15734497861552924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2985.0620136187745</v>
      </c>
      <c r="D31" s="463">
        <f>LN_IA14*LN_IA4</f>
        <v>3137.8504106097685</v>
      </c>
      <c r="E31" s="463">
        <f t="shared" si="2"/>
        <v>152.78839699099399</v>
      </c>
      <c r="F31" s="449">
        <f t="shared" si="3"/>
        <v>5.1184329268178064E-2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11307.209982911463</v>
      </c>
      <c r="D32" s="465">
        <f>IF(LN_IA15=0,0,LN_IA12/LN_IA15)</f>
        <v>11478.292552831064</v>
      </c>
      <c r="E32" s="465">
        <f t="shared" si="2"/>
        <v>171.08256991960116</v>
      </c>
      <c r="F32" s="449">
        <f t="shared" si="3"/>
        <v>1.5130396461917439E-2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575019746</v>
      </c>
      <c r="D35" s="448">
        <f>LN_IA1+LN_IA11</f>
        <v>573382280</v>
      </c>
      <c r="E35" s="448">
        <f>D35-C35</f>
        <v>-1637466</v>
      </c>
      <c r="F35" s="449">
        <f>IF(C35=0,0,E35/C35)</f>
        <v>-2.8476691650863761E-3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160682023</v>
      </c>
      <c r="D36" s="448">
        <f>LN_IA2+LN_IA12</f>
        <v>156655774</v>
      </c>
      <c r="E36" s="448">
        <f>D36-C36</f>
        <v>-4026249</v>
      </c>
      <c r="F36" s="449">
        <f>IF(C36=0,0,E36/C36)</f>
        <v>-2.5057246136364612E-2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414337723</v>
      </c>
      <c r="D37" s="448">
        <f>LN_IA17-LN_IA18</f>
        <v>416726506</v>
      </c>
      <c r="E37" s="448">
        <f>D37-C37</f>
        <v>2388783</v>
      </c>
      <c r="F37" s="449">
        <f>IF(C37=0,0,E37/C37)</f>
        <v>5.7653041646898275E-3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181894656</v>
      </c>
      <c r="D42" s="448">
        <v>188632348</v>
      </c>
      <c r="E42" s="448">
        <f t="shared" ref="E42:E53" si="4">D42-C42</f>
        <v>6737692</v>
      </c>
      <c r="F42" s="449">
        <f t="shared" ref="F42:F53" si="5">IF(C42=0,0,E42/C42)</f>
        <v>3.7041725953730051E-2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95113264</v>
      </c>
      <c r="D43" s="448">
        <v>94288743</v>
      </c>
      <c r="E43" s="448">
        <f t="shared" si="4"/>
        <v>-824521</v>
      </c>
      <c r="F43" s="449">
        <f t="shared" si="5"/>
        <v>-8.6688329821169845E-3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0.52290301480874735</v>
      </c>
      <c r="D44" s="453">
        <f>IF(LN_IB1=0,0,LN_IB2/LN_IB1)</f>
        <v>0.49985457955493401</v>
      </c>
      <c r="E44" s="454">
        <f t="shared" si="4"/>
        <v>-2.3048435253813337E-2</v>
      </c>
      <c r="F44" s="449">
        <f t="shared" si="5"/>
        <v>-4.407783967786711E-2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6023</v>
      </c>
      <c r="D45" s="456">
        <v>5420</v>
      </c>
      <c r="E45" s="456">
        <f t="shared" si="4"/>
        <v>-603</v>
      </c>
      <c r="F45" s="449">
        <f t="shared" si="5"/>
        <v>-0.1001162211522497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1.2766</v>
      </c>
      <c r="D46" s="459">
        <v>1.3435999999999999</v>
      </c>
      <c r="E46" s="460">
        <f t="shared" si="4"/>
        <v>6.6999999999999948E-2</v>
      </c>
      <c r="F46" s="449">
        <f t="shared" si="5"/>
        <v>5.2483158389471998E-2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7688.9618</v>
      </c>
      <c r="D47" s="463">
        <f>LN_IB4*LN_IB5</f>
        <v>7282.3119999999999</v>
      </c>
      <c r="E47" s="463">
        <f t="shared" si="4"/>
        <v>-406.64980000000014</v>
      </c>
      <c r="F47" s="449">
        <f t="shared" si="5"/>
        <v>-5.2887478254866623E-2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12370.104895045779</v>
      </c>
      <c r="D48" s="465">
        <f>IF(LN_IB6=0,0,LN_IB2/LN_IB6)</f>
        <v>12947.638469760703</v>
      </c>
      <c r="E48" s="465">
        <f t="shared" si="4"/>
        <v>577.53357471492382</v>
      </c>
      <c r="F48" s="449">
        <f t="shared" si="5"/>
        <v>4.6687847808487518E-2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-3704.1166457072704</v>
      </c>
      <c r="D49" s="465">
        <f>LN_IA7-LN_IB7</f>
        <v>-4009.8638202401216</v>
      </c>
      <c r="E49" s="465">
        <f t="shared" si="4"/>
        <v>-305.7471745328512</v>
      </c>
      <c r="F49" s="449">
        <f t="shared" si="5"/>
        <v>8.2542534098429099E-2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-28480811.391587336</v>
      </c>
      <c r="D50" s="479">
        <f>LN_IB8*LN_IB6</f>
        <v>-29201079.416500479</v>
      </c>
      <c r="E50" s="479">
        <f t="shared" si="4"/>
        <v>-720268.02491314337</v>
      </c>
      <c r="F50" s="449">
        <f t="shared" si="5"/>
        <v>2.528958936633021E-2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27434</v>
      </c>
      <c r="D51" s="456">
        <v>24995</v>
      </c>
      <c r="E51" s="456">
        <f t="shared" si="4"/>
        <v>-2439</v>
      </c>
      <c r="F51" s="449">
        <f t="shared" si="5"/>
        <v>-8.890427936137639E-2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3466.9849092367135</v>
      </c>
      <c r="D52" s="465">
        <f>IF(LN_IB10=0,0,LN_IB2/LN_IB10)</f>
        <v>3772.3041808361672</v>
      </c>
      <c r="E52" s="465">
        <f t="shared" si="4"/>
        <v>305.31927159945371</v>
      </c>
      <c r="F52" s="449">
        <f t="shared" si="5"/>
        <v>8.8064782395223168E-2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4.5548729868836126</v>
      </c>
      <c r="D53" s="466">
        <f>IF(LN_IB4=0,0,LN_IB10/LN_IB4)</f>
        <v>4.6116236162361623</v>
      </c>
      <c r="E53" s="466">
        <f t="shared" si="4"/>
        <v>5.6750629352549709E-2</v>
      </c>
      <c r="F53" s="449">
        <f t="shared" si="5"/>
        <v>1.2459322030706675E-2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191232440</v>
      </c>
      <c r="D56" s="448">
        <v>190549095</v>
      </c>
      <c r="E56" s="448">
        <f t="shared" ref="E56:E63" si="6">D56-C56</f>
        <v>-683345</v>
      </c>
      <c r="F56" s="449">
        <f t="shared" ref="F56:F63" si="7">IF(C56=0,0,E56/C56)</f>
        <v>-3.5733738480772403E-3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91977390</v>
      </c>
      <c r="D57" s="448">
        <v>91285443</v>
      </c>
      <c r="E57" s="448">
        <f t="shared" si="6"/>
        <v>-691947</v>
      </c>
      <c r="F57" s="449">
        <f t="shared" si="7"/>
        <v>-7.5230119054258875E-3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0.48097169078635404</v>
      </c>
      <c r="D58" s="453">
        <f>IF(LN_IB13=0,0,LN_IB14/LN_IB13)</f>
        <v>0.47906521413812014</v>
      </c>
      <c r="E58" s="454">
        <f t="shared" si="6"/>
        <v>-1.9064766482339013E-3</v>
      </c>
      <c r="F58" s="449">
        <f t="shared" si="7"/>
        <v>-3.9638022044851525E-3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1.0513362195753568</v>
      </c>
      <c r="D59" s="453">
        <f>IF(LN_IB1=0,0,LN_IB13/LN_IB1)</f>
        <v>1.0101612847442263</v>
      </c>
      <c r="E59" s="454">
        <f t="shared" si="6"/>
        <v>-4.117493483113055E-2</v>
      </c>
      <c r="F59" s="449">
        <f t="shared" si="7"/>
        <v>-3.9164383443159069E-2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6332.1980505023739</v>
      </c>
      <c r="D60" s="463">
        <f>LN_IB16*LN_IB4</f>
        <v>5475.0741633137068</v>
      </c>
      <c r="E60" s="463">
        <f t="shared" si="6"/>
        <v>-857.12388718866714</v>
      </c>
      <c r="F60" s="449">
        <f t="shared" si="7"/>
        <v>-0.13535961452132186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14525.34953367462</v>
      </c>
      <c r="D61" s="465">
        <f>IF(LN_IB17=0,0,LN_IB14/LN_IB17)</f>
        <v>16672.914425829596</v>
      </c>
      <c r="E61" s="465">
        <f t="shared" si="6"/>
        <v>2147.5648921549764</v>
      </c>
      <c r="F61" s="449">
        <f t="shared" si="7"/>
        <v>0.1478494467328447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-3218.1395507631569</v>
      </c>
      <c r="D62" s="465">
        <f>LN_IA16-LN_IB18</f>
        <v>-5194.6218729985321</v>
      </c>
      <c r="E62" s="465">
        <f t="shared" si="6"/>
        <v>-1976.4823222353752</v>
      </c>
      <c r="F62" s="449">
        <f t="shared" si="7"/>
        <v>0.61416924004015538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-20377896.989587046</v>
      </c>
      <c r="D63" s="448">
        <f>LN_IB19*LN_IB17</f>
        <v>-28440940.005038518</v>
      </c>
      <c r="E63" s="448">
        <f t="shared" si="6"/>
        <v>-8063043.0154514723</v>
      </c>
      <c r="F63" s="449">
        <f t="shared" si="7"/>
        <v>0.39567591393614499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373127096</v>
      </c>
      <c r="D66" s="448">
        <f>LN_IB1+LN_IB13</f>
        <v>379181443</v>
      </c>
      <c r="E66" s="448">
        <f>D66-C66</f>
        <v>6054347</v>
      </c>
      <c r="F66" s="449">
        <f>IF(C66=0,0,E66/C66)</f>
        <v>1.6225964463325922E-2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187090654</v>
      </c>
      <c r="D67" s="448">
        <f>LN_IB2+LN_IB14</f>
        <v>185574186</v>
      </c>
      <c r="E67" s="448">
        <f>D67-C67</f>
        <v>-1516468</v>
      </c>
      <c r="F67" s="449">
        <f>IF(C67=0,0,E67/C67)</f>
        <v>-8.105525142907459E-3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186036442</v>
      </c>
      <c r="D68" s="448">
        <f>LN_IB21-LN_IB22</f>
        <v>193607257</v>
      </c>
      <c r="E68" s="448">
        <f>D68-C68</f>
        <v>7570815</v>
      </c>
      <c r="F68" s="449">
        <f>IF(C68=0,0,E68/C68)</f>
        <v>4.0695333229389542E-2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-48858708.381174386</v>
      </c>
      <c r="D70" s="441">
        <f>LN_IB9+LN_IB20</f>
        <v>-57642019.421538994</v>
      </c>
      <c r="E70" s="448">
        <f>D70-C70</f>
        <v>-8783311.0403646082</v>
      </c>
      <c r="F70" s="449">
        <f>IF(C70=0,0,E70/C70)</f>
        <v>0.17976961183339185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349570952</v>
      </c>
      <c r="D73" s="488">
        <v>328772437</v>
      </c>
      <c r="E73" s="488">
        <f>D73-C73</f>
        <v>-20798515</v>
      </c>
      <c r="F73" s="489">
        <f>IF(C73=0,0,E73/C73)</f>
        <v>-5.9497263376735034E-2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205239440</v>
      </c>
      <c r="D74" s="488">
        <v>181528473</v>
      </c>
      <c r="E74" s="488">
        <f>D74-C74</f>
        <v>-23710967</v>
      </c>
      <c r="F74" s="489">
        <f>IF(C74=0,0,E74/C74)</f>
        <v>-0.11552831658476558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144331512</v>
      </c>
      <c r="D76" s="441">
        <f>LN_IB32-LN_IB33</f>
        <v>147243964</v>
      </c>
      <c r="E76" s="488">
        <f>D76-C76</f>
        <v>2912452</v>
      </c>
      <c r="F76" s="489">
        <f>IF(E76=0,0,E76/C76)</f>
        <v>2.0178905906563217E-2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0.4128818804143658</v>
      </c>
      <c r="D77" s="453">
        <f>IF(LN_IB32=0,0,LN_IB34/LN_IB32)</f>
        <v>0.44785981861368751</v>
      </c>
      <c r="E77" s="493">
        <f>D77-C77</f>
        <v>3.4977938199321712E-2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21755534</v>
      </c>
      <c r="D83" s="448">
        <v>20452129</v>
      </c>
      <c r="E83" s="448">
        <f t="shared" ref="E83:E95" si="8">D83-C83</f>
        <v>-1303405</v>
      </c>
      <c r="F83" s="449">
        <f t="shared" ref="F83:F95" si="9">IF(C83=0,0,E83/C83)</f>
        <v>-5.9911422997017676E-2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167941</v>
      </c>
      <c r="D84" s="448">
        <v>1347825</v>
      </c>
      <c r="E84" s="448">
        <f t="shared" si="8"/>
        <v>1179884</v>
      </c>
      <c r="F84" s="449">
        <f t="shared" si="9"/>
        <v>7.025586366640665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7.7194611724998342E-3</v>
      </c>
      <c r="D85" s="453">
        <f>IF(LN_IC1=0,0,LN_IC2/LN_IC1)</f>
        <v>6.5901452117772194E-2</v>
      </c>
      <c r="E85" s="454">
        <f t="shared" si="8"/>
        <v>5.8181990945272363E-2</v>
      </c>
      <c r="F85" s="449">
        <f t="shared" si="9"/>
        <v>7.5370533830188275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793</v>
      </c>
      <c r="D86" s="456">
        <v>584</v>
      </c>
      <c r="E86" s="456">
        <f t="shared" si="8"/>
        <v>-209</v>
      </c>
      <c r="F86" s="449">
        <f t="shared" si="9"/>
        <v>-0.2635561160151324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1.0913999999999999</v>
      </c>
      <c r="D87" s="459">
        <v>1.1977</v>
      </c>
      <c r="E87" s="460">
        <f t="shared" si="8"/>
        <v>0.10630000000000006</v>
      </c>
      <c r="F87" s="449">
        <f t="shared" si="9"/>
        <v>9.7397837639728854E-2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865.48019999999997</v>
      </c>
      <c r="D88" s="463">
        <f>LN_IC4*LN_IC5</f>
        <v>699.45680000000004</v>
      </c>
      <c r="E88" s="463">
        <f t="shared" si="8"/>
        <v>-166.02339999999992</v>
      </c>
      <c r="F88" s="449">
        <f t="shared" si="9"/>
        <v>-0.19182807417200293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194.04372277956216</v>
      </c>
      <c r="D89" s="465">
        <f>IF(LN_IC6=0,0,LN_IC2/LN_IC6)</f>
        <v>1926.9596063688277</v>
      </c>
      <c r="E89" s="465">
        <f t="shared" si="8"/>
        <v>1732.9158835892656</v>
      </c>
      <c r="F89" s="449">
        <f t="shared" si="9"/>
        <v>8.9305433784008326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12176.061172266216</v>
      </c>
      <c r="D90" s="465">
        <f>LN_IB7-LN_IC7</f>
        <v>11020.678863391875</v>
      </c>
      <c r="E90" s="465">
        <f t="shared" si="8"/>
        <v>-1155.3823088743411</v>
      </c>
      <c r="F90" s="449">
        <f t="shared" si="9"/>
        <v>-9.4889660336627615E-2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8471.9445265589457</v>
      </c>
      <c r="D91" s="465">
        <f>LN_IA7-LN_IC7</f>
        <v>7010.8150431517533</v>
      </c>
      <c r="E91" s="465">
        <f t="shared" si="8"/>
        <v>-1461.1294834071923</v>
      </c>
      <c r="F91" s="449">
        <f t="shared" si="9"/>
        <v>-0.17246683790559003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7332300.243235141</v>
      </c>
      <c r="D92" s="441">
        <f>LN_IC9*LN_IC6</f>
        <v>4903762.2554747872</v>
      </c>
      <c r="E92" s="441">
        <f t="shared" si="8"/>
        <v>-2428537.9877603538</v>
      </c>
      <c r="F92" s="449">
        <f t="shared" si="9"/>
        <v>-0.33121093070362867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4263</v>
      </c>
      <c r="D93" s="456">
        <v>3329</v>
      </c>
      <c r="E93" s="456">
        <f t="shared" si="8"/>
        <v>-934</v>
      </c>
      <c r="F93" s="449">
        <f t="shared" si="9"/>
        <v>-0.21909453436547033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39.395026976307761</v>
      </c>
      <c r="D94" s="499">
        <f>IF(LN_IC11=0,0,LN_IC2/LN_IC11)</f>
        <v>404.87383598678281</v>
      </c>
      <c r="E94" s="499">
        <f t="shared" si="8"/>
        <v>365.47880901047506</v>
      </c>
      <c r="F94" s="449">
        <f t="shared" si="9"/>
        <v>9.277282872030387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5.3757881462799499</v>
      </c>
      <c r="D95" s="466">
        <f>IF(LN_IC4=0,0,LN_IC11/LN_IC4)</f>
        <v>5.7003424657534243</v>
      </c>
      <c r="E95" s="466">
        <f t="shared" si="8"/>
        <v>0.32455431947347435</v>
      </c>
      <c r="F95" s="449">
        <f t="shared" si="9"/>
        <v>6.037334631538005E-2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34649030</v>
      </c>
      <c r="D98" s="448">
        <v>29956877</v>
      </c>
      <c r="E98" s="448">
        <f t="shared" ref="E98:E106" si="10">D98-C98</f>
        <v>-4692153</v>
      </c>
      <c r="F98" s="449">
        <f t="shared" ref="F98:F106" si="11">IF(C98=0,0,E98/C98)</f>
        <v>-0.13541946195896393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3298310</v>
      </c>
      <c r="D99" s="448">
        <v>2697891</v>
      </c>
      <c r="E99" s="448">
        <f t="shared" si="10"/>
        <v>-600419</v>
      </c>
      <c r="F99" s="449">
        <f t="shared" si="11"/>
        <v>-0.18203837722955088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9.5191986615498325E-2</v>
      </c>
      <c r="D100" s="453">
        <f>IF(LN_IC14=0,0,LN_IC15/LN_IC14)</f>
        <v>9.0059154029974484E-2</v>
      </c>
      <c r="E100" s="454">
        <f t="shared" si="10"/>
        <v>-5.1328325855238416E-3</v>
      </c>
      <c r="F100" s="449">
        <f t="shared" si="11"/>
        <v>-5.392084741603826E-2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1.5926536209131892</v>
      </c>
      <c r="D101" s="453">
        <f>IF(LN_IC1=0,0,LN_IC14/LN_IC1)</f>
        <v>1.4647314712321637</v>
      </c>
      <c r="E101" s="454">
        <f t="shared" si="10"/>
        <v>-0.12792214968102544</v>
      </c>
      <c r="F101" s="449">
        <f t="shared" si="11"/>
        <v>-8.0320132388659607E-2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1262.9743213841591</v>
      </c>
      <c r="D102" s="463">
        <f>LN_IC17*LN_IC4</f>
        <v>855.40317919958363</v>
      </c>
      <c r="E102" s="463">
        <f t="shared" si="10"/>
        <v>-407.57114218457548</v>
      </c>
      <c r="F102" s="449">
        <f t="shared" si="11"/>
        <v>-0.32270738627361567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2611.5416158146518</v>
      </c>
      <c r="D103" s="465">
        <f>IF(LN_IC18=0,0,LN_IC15/LN_IC18)</f>
        <v>3153.9408148149109</v>
      </c>
      <c r="E103" s="465">
        <f t="shared" si="10"/>
        <v>542.39919900025916</v>
      </c>
      <c r="F103" s="449">
        <f t="shared" si="11"/>
        <v>0.20769310958541307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11913.807917859969</v>
      </c>
      <c r="D104" s="465">
        <f>LN_IB18-LN_IC19</f>
        <v>13518.973611014686</v>
      </c>
      <c r="E104" s="465">
        <f t="shared" si="10"/>
        <v>1605.1656931547168</v>
      </c>
      <c r="F104" s="449">
        <f t="shared" si="11"/>
        <v>0.13473154042952259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8695.6683670968123</v>
      </c>
      <c r="D105" s="465">
        <f>LN_IA16-LN_IC19</f>
        <v>8324.3517380161538</v>
      </c>
      <c r="E105" s="465">
        <f t="shared" si="10"/>
        <v>-371.31662908065846</v>
      </c>
      <c r="F105" s="449">
        <f t="shared" si="11"/>
        <v>-4.270133282516482E-2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10982405.854915796</v>
      </c>
      <c r="D106" s="448">
        <f>LN_IC21*LN_IC18</f>
        <v>7120676.9414745979</v>
      </c>
      <c r="E106" s="448">
        <f t="shared" si="10"/>
        <v>-3861728.9134411979</v>
      </c>
      <c r="F106" s="449">
        <f t="shared" si="11"/>
        <v>-0.35162868359237182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56404564</v>
      </c>
      <c r="D109" s="448">
        <f>LN_IC1+LN_IC14</f>
        <v>50409006</v>
      </c>
      <c r="E109" s="448">
        <f>D109-C109</f>
        <v>-5995558</v>
      </c>
      <c r="F109" s="449">
        <f>IF(C109=0,0,E109/C109)</f>
        <v>-0.10629561820564733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3466251</v>
      </c>
      <c r="D110" s="448">
        <f>LN_IC2+LN_IC15</f>
        <v>4045716</v>
      </c>
      <c r="E110" s="448">
        <f>D110-C110</f>
        <v>579465</v>
      </c>
      <c r="F110" s="449">
        <f>IF(C110=0,0,E110/C110)</f>
        <v>0.16717341011946335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52938313</v>
      </c>
      <c r="D111" s="448">
        <f>LN_IC23-LN_IC24</f>
        <v>46363290</v>
      </c>
      <c r="E111" s="448">
        <f>D111-C111</f>
        <v>-6575023</v>
      </c>
      <c r="F111" s="449">
        <f>IF(C111=0,0,E111/C111)</f>
        <v>-0.12420159667724961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18314706.098150939</v>
      </c>
      <c r="D113" s="448">
        <f>LN_IC10+LN_IC22</f>
        <v>12024439.196949385</v>
      </c>
      <c r="E113" s="448">
        <f>D113-C113</f>
        <v>-6290266.9012015536</v>
      </c>
      <c r="F113" s="449">
        <f>IF(C113=0,0,E113/C113)</f>
        <v>-0.34345442768730106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140676638</v>
      </c>
      <c r="D118" s="448">
        <v>144867015</v>
      </c>
      <c r="E118" s="448">
        <f t="shared" ref="E118:E130" si="12">D118-C118</f>
        <v>4190377</v>
      </c>
      <c r="F118" s="449">
        <f t="shared" ref="F118:F130" si="13">IF(C118=0,0,E118/C118)</f>
        <v>2.9787298442545948E-2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34020629</v>
      </c>
      <c r="D119" s="448">
        <v>36206115</v>
      </c>
      <c r="E119" s="448">
        <f t="shared" si="12"/>
        <v>2185486</v>
      </c>
      <c r="F119" s="449">
        <f t="shared" si="13"/>
        <v>6.4240023310562541E-2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0.24183566997101538</v>
      </c>
      <c r="D120" s="453">
        <f>IF(LN_ID1=0,0,LN_1D2/LN_ID1)</f>
        <v>0.24992656195753049</v>
      </c>
      <c r="E120" s="454">
        <f t="shared" si="12"/>
        <v>8.0908919865151085E-3</v>
      </c>
      <c r="F120" s="449">
        <f t="shared" si="13"/>
        <v>3.3456156353960612E-2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4685</v>
      </c>
      <c r="D121" s="456">
        <v>4548</v>
      </c>
      <c r="E121" s="456">
        <f t="shared" si="12"/>
        <v>-137</v>
      </c>
      <c r="F121" s="449">
        <f t="shared" si="13"/>
        <v>-2.9242262540021345E-2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1.04</v>
      </c>
      <c r="D122" s="459">
        <v>1.0742</v>
      </c>
      <c r="E122" s="460">
        <f t="shared" si="12"/>
        <v>3.4200000000000008E-2</v>
      </c>
      <c r="F122" s="449">
        <f t="shared" si="13"/>
        <v>3.2884615384615394E-2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4872.4000000000005</v>
      </c>
      <c r="D123" s="463">
        <f>LN_ID4*LN_ID5</f>
        <v>4885.4616000000005</v>
      </c>
      <c r="E123" s="463">
        <f t="shared" si="12"/>
        <v>13.061599999999999</v>
      </c>
      <c r="F123" s="449">
        <f t="shared" si="13"/>
        <v>2.6807322879894911E-3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6982.3144651506436</v>
      </c>
      <c r="D124" s="465">
        <f>IF(LN_ID6=0,0,LN_1D2/LN_ID6)</f>
        <v>7410.9916246194616</v>
      </c>
      <c r="E124" s="465">
        <f t="shared" si="12"/>
        <v>428.67715946881799</v>
      </c>
      <c r="F124" s="449">
        <f t="shared" si="13"/>
        <v>6.1394708245866618E-2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5387.7904298951353</v>
      </c>
      <c r="D125" s="465">
        <f>LN_IB7-LN_ID7</f>
        <v>5536.6468451412411</v>
      </c>
      <c r="E125" s="465">
        <f t="shared" si="12"/>
        <v>148.85641524610583</v>
      </c>
      <c r="F125" s="449">
        <f t="shared" si="13"/>
        <v>2.762847166811629E-2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1683.6737841878648</v>
      </c>
      <c r="D126" s="465">
        <f>LN_IA7-LN_ID7</f>
        <v>1526.7830249011195</v>
      </c>
      <c r="E126" s="465">
        <f t="shared" si="12"/>
        <v>-156.89075928674538</v>
      </c>
      <c r="F126" s="449">
        <f t="shared" si="13"/>
        <v>-9.3183585062722257E-2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8203532.146076954</v>
      </c>
      <c r="D127" s="479">
        <f>LN_ID9*LN_ID6</f>
        <v>7459039.8396862634</v>
      </c>
      <c r="E127" s="479">
        <f t="shared" si="12"/>
        <v>-744492.30639069062</v>
      </c>
      <c r="F127" s="449">
        <f t="shared" si="13"/>
        <v>-9.0752653019921109E-2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28549</v>
      </c>
      <c r="D128" s="456">
        <v>28260</v>
      </c>
      <c r="E128" s="456">
        <f t="shared" si="12"/>
        <v>-289</v>
      </c>
      <c r="F128" s="449">
        <f t="shared" si="13"/>
        <v>-1.0122946513012715E-2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1191.6574661108971</v>
      </c>
      <c r="D129" s="465">
        <f>IF(LN_ID11=0,0,LN_1D2/LN_ID11)</f>
        <v>1281.1788747346072</v>
      </c>
      <c r="E129" s="465">
        <f t="shared" si="12"/>
        <v>89.521408623710158</v>
      </c>
      <c r="F129" s="449">
        <f t="shared" si="13"/>
        <v>7.5123440392542457E-2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6.0937033084311629</v>
      </c>
      <c r="D130" s="466">
        <f>IF(LN_ID4=0,0,LN_ID11/LN_ID4)</f>
        <v>6.2137203166226911</v>
      </c>
      <c r="E130" s="466">
        <f t="shared" si="12"/>
        <v>0.12001700819152816</v>
      </c>
      <c r="F130" s="449">
        <f t="shared" si="13"/>
        <v>1.9695249689211863E-2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100790177</v>
      </c>
      <c r="D133" s="448">
        <v>99756592</v>
      </c>
      <c r="E133" s="448">
        <f t="shared" ref="E133:E141" si="14">D133-C133</f>
        <v>-1033585</v>
      </c>
      <c r="F133" s="449">
        <f t="shared" ref="F133:F141" si="15">IF(C133=0,0,E133/C133)</f>
        <v>-1.0254818780603987E-2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22452103</v>
      </c>
      <c r="D134" s="448">
        <v>24150433</v>
      </c>
      <c r="E134" s="448">
        <f t="shared" si="14"/>
        <v>1698330</v>
      </c>
      <c r="F134" s="449">
        <f t="shared" si="15"/>
        <v>7.5642357421930581E-2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0.2227608251943044</v>
      </c>
      <c r="D135" s="453">
        <f>IF(LN_ID14=0,0,LN_ID15/LN_ID14)</f>
        <v>0.24209360520255144</v>
      </c>
      <c r="E135" s="454">
        <f t="shared" si="14"/>
        <v>1.9332780008247036E-2</v>
      </c>
      <c r="F135" s="449">
        <f t="shared" si="15"/>
        <v>8.678716282983738E-2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0.71646705830430779</v>
      </c>
      <c r="D136" s="453">
        <f>IF(LN_ID1=0,0,LN_ID14/LN_ID1)</f>
        <v>0.68860804510950957</v>
      </c>
      <c r="E136" s="454">
        <f t="shared" si="14"/>
        <v>-2.7859013194798221E-2</v>
      </c>
      <c r="F136" s="449">
        <f t="shared" si="15"/>
        <v>-3.8883871731288384E-2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3356.648168155682</v>
      </c>
      <c r="D137" s="463">
        <f>LN_ID17*LN_ID4</f>
        <v>3131.7893891580497</v>
      </c>
      <c r="E137" s="463">
        <f t="shared" si="14"/>
        <v>-224.85877899763227</v>
      </c>
      <c r="F137" s="449">
        <f t="shared" si="15"/>
        <v>-6.6989081885570817E-2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6688.8460974259206</v>
      </c>
      <c r="D138" s="465">
        <f>IF(LN_ID18=0,0,LN_ID15/LN_ID18)</f>
        <v>7711.3847705105745</v>
      </c>
      <c r="E138" s="465">
        <f t="shared" si="14"/>
        <v>1022.538673084654</v>
      </c>
      <c r="F138" s="449">
        <f t="shared" si="15"/>
        <v>0.15287220817924921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7836.5034362486995</v>
      </c>
      <c r="D139" s="465">
        <f>LN_IB18-LN_ID19</f>
        <v>8961.5296553190219</v>
      </c>
      <c r="E139" s="465">
        <f t="shared" si="14"/>
        <v>1125.0262190703224</v>
      </c>
      <c r="F139" s="449">
        <f t="shared" si="15"/>
        <v>0.14356226960437188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4618.3638854855426</v>
      </c>
      <c r="D140" s="465">
        <f>LN_IA16-LN_ID19</f>
        <v>3766.9077823204898</v>
      </c>
      <c r="E140" s="465">
        <f t="shared" si="14"/>
        <v>-851.45610316505281</v>
      </c>
      <c r="F140" s="449">
        <f t="shared" si="15"/>
        <v>-0.18436314770280096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15502222.676091405</v>
      </c>
      <c r="D141" s="441">
        <f>LN_ID21*LN_ID18</f>
        <v>11797161.82260819</v>
      </c>
      <c r="E141" s="441">
        <f t="shared" si="14"/>
        <v>-3705060.853483215</v>
      </c>
      <c r="F141" s="449">
        <f t="shared" si="15"/>
        <v>-0.23900191159022732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241466815</v>
      </c>
      <c r="D144" s="448">
        <f>LN_ID1+LN_ID14</f>
        <v>244623607</v>
      </c>
      <c r="E144" s="448">
        <f>D144-C144</f>
        <v>3156792</v>
      </c>
      <c r="F144" s="449">
        <f>IF(C144=0,0,E144/C144)</f>
        <v>1.3073398926473603E-2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56472732</v>
      </c>
      <c r="D145" s="448">
        <f>LN_1D2+LN_ID15</f>
        <v>60356548</v>
      </c>
      <c r="E145" s="448">
        <f>D145-C145</f>
        <v>3883816</v>
      </c>
      <c r="F145" s="449">
        <f>IF(C145=0,0,E145/C145)</f>
        <v>6.8773297527025962E-2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184994083</v>
      </c>
      <c r="D146" s="448">
        <f>LN_ID23-LN_ID24</f>
        <v>184267059</v>
      </c>
      <c r="E146" s="448">
        <f>D146-C146</f>
        <v>-727024</v>
      </c>
      <c r="F146" s="449">
        <f>IF(C146=0,0,E146/C146)</f>
        <v>-3.9299851552549387E-3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23705754.822168358</v>
      </c>
      <c r="D148" s="448">
        <f>LN_ID10+LN_ID22</f>
        <v>19256201.662294455</v>
      </c>
      <c r="E148" s="448">
        <f>D148-C148</f>
        <v>-4449553.1598739028</v>
      </c>
      <c r="F148" s="503">
        <f>IF(C148=0,0,E148/C148)</f>
        <v>-0.18769928202045344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1208411</v>
      </c>
      <c r="D153" s="448">
        <v>932663</v>
      </c>
      <c r="E153" s="448">
        <f t="shared" ref="E153:E165" si="16">D153-C153</f>
        <v>-275748</v>
      </c>
      <c r="F153" s="449">
        <f t="shared" ref="F153:F165" si="17">IF(C153=0,0,E153/C153)</f>
        <v>-0.22819057423343547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492200</v>
      </c>
      <c r="D154" s="448">
        <v>107170</v>
      </c>
      <c r="E154" s="448">
        <f t="shared" si="16"/>
        <v>-385030</v>
      </c>
      <c r="F154" s="449">
        <f t="shared" si="17"/>
        <v>-0.78226330759853713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0.40731175072057435</v>
      </c>
      <c r="D155" s="453">
        <f>IF(LN_IE1=0,0,LN_IE2/LN_IE1)</f>
        <v>0.11490752822830969</v>
      </c>
      <c r="E155" s="454">
        <f t="shared" si="16"/>
        <v>-0.29240422249226466</v>
      </c>
      <c r="F155" s="449">
        <f t="shared" si="17"/>
        <v>-0.7178880107803739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36</v>
      </c>
      <c r="D156" s="506">
        <v>41</v>
      </c>
      <c r="E156" s="506">
        <f t="shared" si="16"/>
        <v>5</v>
      </c>
      <c r="F156" s="449">
        <f t="shared" si="17"/>
        <v>0.1388888888888889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0.93920000000000003</v>
      </c>
      <c r="D157" s="459">
        <v>1.3109</v>
      </c>
      <c r="E157" s="460">
        <f t="shared" si="16"/>
        <v>0.37169999999999992</v>
      </c>
      <c r="F157" s="449">
        <f t="shared" si="17"/>
        <v>0.39576235093696754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33.811199999999999</v>
      </c>
      <c r="D158" s="463">
        <f>LN_IE4*LN_IE5</f>
        <v>53.746899999999997</v>
      </c>
      <c r="E158" s="463">
        <f t="shared" si="16"/>
        <v>19.935699999999997</v>
      </c>
      <c r="F158" s="449">
        <f t="shared" si="17"/>
        <v>0.58961823301154637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14557.30645466591</v>
      </c>
      <c r="D159" s="465">
        <f>IF(LN_IE6=0,0,LN_IE2/LN_IE6)</f>
        <v>1993.975466492021</v>
      </c>
      <c r="E159" s="465">
        <f t="shared" si="16"/>
        <v>-12563.33098817389</v>
      </c>
      <c r="F159" s="449">
        <f t="shared" si="17"/>
        <v>-0.86302579582963224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-2187.2015596201309</v>
      </c>
      <c r="D160" s="465">
        <f>LN_IB7-LN_IE7</f>
        <v>10953.663003268681</v>
      </c>
      <c r="E160" s="465">
        <f t="shared" si="16"/>
        <v>13140.864562888812</v>
      </c>
      <c r="F160" s="449">
        <f t="shared" si="17"/>
        <v>-6.0080720522031328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-5891.3182053274013</v>
      </c>
      <c r="D161" s="465">
        <f>LN_IA7-LN_IE7</f>
        <v>6943.79918302856</v>
      </c>
      <c r="E161" s="465">
        <f t="shared" si="16"/>
        <v>12835.11738835596</v>
      </c>
      <c r="F161" s="449">
        <f t="shared" si="17"/>
        <v>-2.1786494874354978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-199192.53810396584</v>
      </c>
      <c r="D162" s="479">
        <f>LN_IE9*LN_IE6</f>
        <v>373207.68031031766</v>
      </c>
      <c r="E162" s="479">
        <f t="shared" si="16"/>
        <v>572400.21841428347</v>
      </c>
      <c r="F162" s="449">
        <f t="shared" si="17"/>
        <v>-2.8736027155571811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260</v>
      </c>
      <c r="D163" s="456">
        <v>238</v>
      </c>
      <c r="E163" s="506">
        <f t="shared" si="16"/>
        <v>-22</v>
      </c>
      <c r="F163" s="449">
        <f t="shared" si="17"/>
        <v>-8.461538461538462E-2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1893.0769230769231</v>
      </c>
      <c r="D164" s="465">
        <f>IF(LN_IE11=0,0,LN_IE2/LN_IE11)</f>
        <v>450.29411764705884</v>
      </c>
      <c r="E164" s="465">
        <f t="shared" si="16"/>
        <v>-1442.7828054298643</v>
      </c>
      <c r="F164" s="449">
        <f t="shared" si="17"/>
        <v>-0.76213638645218351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7.2222222222222223</v>
      </c>
      <c r="D165" s="466">
        <f>IF(LN_IE4=0,0,LN_IE11/LN_IE4)</f>
        <v>5.8048780487804876</v>
      </c>
      <c r="E165" s="466">
        <f t="shared" si="16"/>
        <v>-1.4173441734417347</v>
      </c>
      <c r="F165" s="449">
        <f t="shared" si="17"/>
        <v>-0.19624765478424019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831278</v>
      </c>
      <c r="D168" s="511">
        <v>167823</v>
      </c>
      <c r="E168" s="511">
        <f t="shared" ref="E168:E176" si="18">D168-C168</f>
        <v>-663455</v>
      </c>
      <c r="F168" s="449">
        <f t="shared" ref="F168:F176" si="19">IF(C168=0,0,E168/C168)</f>
        <v>-0.79811446952764298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208992</v>
      </c>
      <c r="D169" s="511">
        <v>60587</v>
      </c>
      <c r="E169" s="511">
        <f t="shared" si="18"/>
        <v>-148405</v>
      </c>
      <c r="F169" s="449">
        <f t="shared" si="19"/>
        <v>-0.71009895115602506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0.25141047880492445</v>
      </c>
      <c r="D170" s="453">
        <f>IF(LN_IE14=0,0,LN_IE15/LN_IE14)</f>
        <v>0.36101726223461622</v>
      </c>
      <c r="E170" s="454">
        <f t="shared" si="18"/>
        <v>0.10960678342969177</v>
      </c>
      <c r="F170" s="449">
        <f t="shared" si="19"/>
        <v>0.435967442370365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0.68790999088886151</v>
      </c>
      <c r="D171" s="453">
        <f>IF(LN_IE1=0,0,LN_IE14/LN_IE1)</f>
        <v>0.17993959232863319</v>
      </c>
      <c r="E171" s="454">
        <f t="shared" si="18"/>
        <v>-0.5079703985602283</v>
      </c>
      <c r="F171" s="449">
        <f t="shared" si="19"/>
        <v>-0.73842567383542446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24.764759671999016</v>
      </c>
      <c r="D172" s="463">
        <f>LN_IE17*LN_IE4</f>
        <v>7.377523285473961</v>
      </c>
      <c r="E172" s="463">
        <f t="shared" si="18"/>
        <v>-17.387236386525053</v>
      </c>
      <c r="F172" s="449">
        <f t="shared" si="19"/>
        <v>-0.7020959063125668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8439.088558420488</v>
      </c>
      <c r="D173" s="465">
        <f>IF(LN_IE18=0,0,LN_IE15/LN_IE18)</f>
        <v>8212.3766548176554</v>
      </c>
      <c r="E173" s="465">
        <f t="shared" si="18"/>
        <v>-226.71190360283254</v>
      </c>
      <c r="F173" s="449">
        <f t="shared" si="19"/>
        <v>-2.6864501069445507E-2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6086.2609752541321</v>
      </c>
      <c r="D174" s="465">
        <f>LN_IB18-LN_IE19</f>
        <v>8460.537771011941</v>
      </c>
      <c r="E174" s="465">
        <f t="shared" si="18"/>
        <v>2374.2767957578089</v>
      </c>
      <c r="F174" s="449">
        <f t="shared" si="19"/>
        <v>0.39010433588228954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2868.1214244909752</v>
      </c>
      <c r="D175" s="465">
        <f>LN_IA16-LN_IE19</f>
        <v>3265.9158980134089</v>
      </c>
      <c r="E175" s="465">
        <f t="shared" si="18"/>
        <v>397.79447352243369</v>
      </c>
      <c r="F175" s="449">
        <f t="shared" si="19"/>
        <v>0.13869512989431154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71028.337787630473</v>
      </c>
      <c r="D176" s="441">
        <f>LN_IE21*LN_IE18</f>
        <v>24094.370585993525</v>
      </c>
      <c r="E176" s="441">
        <f t="shared" si="18"/>
        <v>-46933.967201636944</v>
      </c>
      <c r="F176" s="449">
        <f t="shared" si="19"/>
        <v>-0.66077805934254108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2039689</v>
      </c>
      <c r="D179" s="448">
        <f>LN_IE1+LN_IE14</f>
        <v>1100486</v>
      </c>
      <c r="E179" s="448">
        <f>D179-C179</f>
        <v>-939203</v>
      </c>
      <c r="F179" s="449">
        <f>IF(C179=0,0,E179/C179)</f>
        <v>-0.46046382561263016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701192</v>
      </c>
      <c r="D180" s="448">
        <f>LN_IE15+LN_IE2</f>
        <v>167757</v>
      </c>
      <c r="E180" s="448">
        <f>D180-C180</f>
        <v>-533435</v>
      </c>
      <c r="F180" s="449">
        <f>IF(C180=0,0,E180/C180)</f>
        <v>-0.76075454369131423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1338497</v>
      </c>
      <c r="D181" s="448">
        <f>LN_IE23-LN_IE24</f>
        <v>932729</v>
      </c>
      <c r="E181" s="448">
        <f>D181-C181</f>
        <v>-405768</v>
      </c>
      <c r="F181" s="449">
        <f>IF(C181=0,0,E181/C181)</f>
        <v>-0.30315196821509499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-128164.20031633537</v>
      </c>
      <c r="D183" s="448">
        <f>LN_IE10+LN_IE22</f>
        <v>397302.05089631118</v>
      </c>
      <c r="E183" s="441">
        <f>D183-C183</f>
        <v>525466.25121264649</v>
      </c>
      <c r="F183" s="449">
        <f>IF(C183=0,0,E183/C183)</f>
        <v>-4.0999456159808174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141885049</v>
      </c>
      <c r="D188" s="448">
        <f>LN_ID1+LN_IE1</f>
        <v>145799678</v>
      </c>
      <c r="E188" s="448">
        <f t="shared" ref="E188:E200" si="20">D188-C188</f>
        <v>3914629</v>
      </c>
      <c r="F188" s="449">
        <f t="shared" ref="F188:F200" si="21">IF(C188=0,0,E188/C188)</f>
        <v>2.7590144469696733E-2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34512829</v>
      </c>
      <c r="D189" s="448">
        <f>LN_1D2+LN_IE2</f>
        <v>36313285</v>
      </c>
      <c r="E189" s="448">
        <f t="shared" si="20"/>
        <v>1800456</v>
      </c>
      <c r="F189" s="449">
        <f t="shared" si="21"/>
        <v>5.2167731599168529E-2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0.24324500180424224</v>
      </c>
      <c r="D190" s="453">
        <f>IF(LN_IF1=0,0,LN_IF2/LN_IF1)</f>
        <v>0.24906286144198481</v>
      </c>
      <c r="E190" s="454">
        <f t="shared" si="20"/>
        <v>5.8178596377425618E-3</v>
      </c>
      <c r="F190" s="449">
        <f t="shared" si="21"/>
        <v>2.3917694483295636E-2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4721</v>
      </c>
      <c r="D191" s="456">
        <f>LN_ID4+LN_IE4</f>
        <v>4589</v>
      </c>
      <c r="E191" s="456">
        <f t="shared" si="20"/>
        <v>-132</v>
      </c>
      <c r="F191" s="449">
        <f t="shared" si="21"/>
        <v>-2.7960177928404998E-2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1.0392313492904046</v>
      </c>
      <c r="D192" s="459">
        <f>IF((LN_ID4+LN_IE4)=0,0,(LN_ID6+LN_IE6)/(LN_ID4+LN_IE4))</f>
        <v>1.0763147744606669</v>
      </c>
      <c r="E192" s="460">
        <f t="shared" si="20"/>
        <v>3.7083425170262307E-2</v>
      </c>
      <c r="F192" s="449">
        <f t="shared" si="21"/>
        <v>3.5683512815104318E-2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4906.2112000000006</v>
      </c>
      <c r="D193" s="463">
        <f>LN_IF4*LN_IF5</f>
        <v>4939.2085000000006</v>
      </c>
      <c r="E193" s="463">
        <f t="shared" si="20"/>
        <v>32.997299999999996</v>
      </c>
      <c r="F193" s="449">
        <f t="shared" si="21"/>
        <v>6.7256175192784186E-3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7034.5175927200189</v>
      </c>
      <c r="D194" s="465">
        <f>IF(LN_IF6=0,0,LN_IF2/LN_IF6)</f>
        <v>7352.045373261727</v>
      </c>
      <c r="E194" s="465">
        <f t="shared" si="20"/>
        <v>317.52778054170813</v>
      </c>
      <c r="F194" s="449">
        <f t="shared" si="21"/>
        <v>4.5138529594455169E-2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5335.58730232576</v>
      </c>
      <c r="D195" s="465">
        <f>LN_IB7-LN_IF7</f>
        <v>5595.5930964989757</v>
      </c>
      <c r="E195" s="465">
        <f t="shared" si="20"/>
        <v>260.00579417321569</v>
      </c>
      <c r="F195" s="449">
        <f t="shared" si="21"/>
        <v>4.8730491966625732E-2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1631.4706566184896</v>
      </c>
      <c r="D196" s="465">
        <f>LN_IA7-LN_IF7</f>
        <v>1585.729276258854</v>
      </c>
      <c r="E196" s="465">
        <f t="shared" si="20"/>
        <v>-45.741380359635514</v>
      </c>
      <c r="F196" s="449">
        <f t="shared" si="21"/>
        <v>-2.8036900433405641E-2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8004339.6079729879</v>
      </c>
      <c r="D197" s="479">
        <f>LN_IF9*LN_IF6</f>
        <v>7832247.5199965807</v>
      </c>
      <c r="E197" s="479">
        <f t="shared" si="20"/>
        <v>-172092.08797640726</v>
      </c>
      <c r="F197" s="449">
        <f t="shared" si="21"/>
        <v>-2.1499848382868367E-2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28809</v>
      </c>
      <c r="D198" s="456">
        <f>LN_ID11+LN_IE11</f>
        <v>28498</v>
      </c>
      <c r="E198" s="456">
        <f t="shared" si="20"/>
        <v>-311</v>
      </c>
      <c r="F198" s="449">
        <f t="shared" si="21"/>
        <v>-1.0795237599361312E-2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1197.9877468846541</v>
      </c>
      <c r="D199" s="519">
        <f>IF(LN_IF11=0,0,LN_IF2/LN_IF11)</f>
        <v>1274.2397712120148</v>
      </c>
      <c r="E199" s="519">
        <f t="shared" si="20"/>
        <v>76.252024327360687</v>
      </c>
      <c r="F199" s="449">
        <f t="shared" si="21"/>
        <v>6.365008701103389E-2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6.1023088328743906</v>
      </c>
      <c r="D200" s="466">
        <f>IF(LN_IF4=0,0,LN_IF11/LN_IF4)</f>
        <v>6.210067552843757</v>
      </c>
      <c r="E200" s="466">
        <f t="shared" si="20"/>
        <v>0.10775871996936637</v>
      </c>
      <c r="F200" s="449">
        <f t="shared" si="21"/>
        <v>1.7658680168536868E-2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101621455</v>
      </c>
      <c r="D203" s="448">
        <f>LN_ID14+LN_IE14</f>
        <v>99924415</v>
      </c>
      <c r="E203" s="448">
        <f t="shared" ref="E203:E211" si="22">D203-C203</f>
        <v>-1697040</v>
      </c>
      <c r="F203" s="449">
        <f t="shared" ref="F203:F211" si="23">IF(C203=0,0,E203/C203)</f>
        <v>-1.6699623125844831E-2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22661095</v>
      </c>
      <c r="D204" s="448">
        <f>LN_ID15+LN_IE15</f>
        <v>24211020</v>
      </c>
      <c r="E204" s="448">
        <f t="shared" si="22"/>
        <v>1549925</v>
      </c>
      <c r="F204" s="449">
        <f t="shared" si="23"/>
        <v>6.8395856422648602E-2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0.22299518344821967</v>
      </c>
      <c r="D205" s="453">
        <f>IF(LN_IF14=0,0,LN_IF15/LN_IF14)</f>
        <v>0.24229333741908821</v>
      </c>
      <c r="E205" s="454">
        <f t="shared" si="22"/>
        <v>1.9298153970868537E-2</v>
      </c>
      <c r="F205" s="449">
        <f t="shared" si="23"/>
        <v>8.6540676226532234E-2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0.71622384258400618</v>
      </c>
      <c r="D206" s="453">
        <f>IF(LN_IF1=0,0,LN_IF14/LN_IF1)</f>
        <v>0.68535415421150658</v>
      </c>
      <c r="E206" s="454">
        <f t="shared" si="22"/>
        <v>-3.0869688372499593E-2</v>
      </c>
      <c r="F206" s="449">
        <f t="shared" si="23"/>
        <v>-4.3100615390193289E-2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3381.412927827681</v>
      </c>
      <c r="D207" s="463">
        <f>LN_ID18+LN_IE18</f>
        <v>3139.1669124435239</v>
      </c>
      <c r="E207" s="463">
        <f t="shared" si="22"/>
        <v>-242.24601538415709</v>
      </c>
      <c r="F207" s="449">
        <f t="shared" si="23"/>
        <v>-7.1640471174215042E-2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6701.664506428132</v>
      </c>
      <c r="D208" s="465">
        <f>IF(LN_IF18=0,0,LN_IF15/LN_IF18)</f>
        <v>7712.5621782099415</v>
      </c>
      <c r="E208" s="465">
        <f t="shared" si="22"/>
        <v>1010.8976717818095</v>
      </c>
      <c r="F208" s="449">
        <f t="shared" si="23"/>
        <v>0.15084277507657573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7823.6850272464881</v>
      </c>
      <c r="D209" s="465">
        <f>LN_IB18-LN_IF19</f>
        <v>8960.3522476196558</v>
      </c>
      <c r="E209" s="465">
        <f t="shared" si="22"/>
        <v>1136.6672203731678</v>
      </c>
      <c r="F209" s="449">
        <f t="shared" si="23"/>
        <v>0.14528540149745942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4605.5454764833312</v>
      </c>
      <c r="D210" s="465">
        <f>LN_IA16-LN_IF19</f>
        <v>3765.7303746211228</v>
      </c>
      <c r="E210" s="465">
        <f t="shared" si="22"/>
        <v>-839.81510186220839</v>
      </c>
      <c r="F210" s="449">
        <f t="shared" si="23"/>
        <v>-0.18234867208465136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15573251.013879035</v>
      </c>
      <c r="D211" s="441">
        <f>LN_IF21*LN_IF18</f>
        <v>11821256.193194184</v>
      </c>
      <c r="E211" s="441">
        <f t="shared" si="22"/>
        <v>-3751994.8206848502</v>
      </c>
      <c r="F211" s="449">
        <f t="shared" si="23"/>
        <v>-0.24092559847272965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243506504</v>
      </c>
      <c r="D214" s="448">
        <f>LN_IF1+LN_IF14</f>
        <v>245724093</v>
      </c>
      <c r="E214" s="448">
        <f>D214-C214</f>
        <v>2217589</v>
      </c>
      <c r="F214" s="449">
        <f>IF(C214=0,0,E214/C214)</f>
        <v>9.1068984342200562E-3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57173924</v>
      </c>
      <c r="D215" s="448">
        <f>LN_IF2+LN_IF15</f>
        <v>60524305</v>
      </c>
      <c r="E215" s="448">
        <f>D215-C215</f>
        <v>3350381</v>
      </c>
      <c r="F215" s="449">
        <f>IF(C215=0,0,E215/C215)</f>
        <v>5.8599808542089925E-2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186332580</v>
      </c>
      <c r="D216" s="448">
        <f>LN_IF23-LN_IF24</f>
        <v>185199788</v>
      </c>
      <c r="E216" s="448">
        <f>D216-C216</f>
        <v>-1132792</v>
      </c>
      <c r="F216" s="449">
        <f>IF(C216=0,0,E216/C216)</f>
        <v>-6.079409194033593E-3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593771</v>
      </c>
      <c r="D221" s="448">
        <v>542043</v>
      </c>
      <c r="E221" s="448">
        <f t="shared" ref="E221:E230" si="24">D221-C221</f>
        <v>-51728</v>
      </c>
      <c r="F221" s="449">
        <f t="shared" ref="F221:F230" si="25">IF(C221=0,0,E221/C221)</f>
        <v>-8.7117760887614928E-2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109681</v>
      </c>
      <c r="D222" s="448">
        <v>154612</v>
      </c>
      <c r="E222" s="448">
        <f t="shared" si="24"/>
        <v>44931</v>
      </c>
      <c r="F222" s="449">
        <f t="shared" si="25"/>
        <v>0.40965162607926625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0.18471936150468785</v>
      </c>
      <c r="D223" s="453">
        <f>IF(LN_IG1=0,0,LN_IG2/LN_IG1)</f>
        <v>0.28523936292877133</v>
      </c>
      <c r="E223" s="454">
        <f t="shared" si="24"/>
        <v>0.10052000142408349</v>
      </c>
      <c r="F223" s="449">
        <f t="shared" si="25"/>
        <v>0.54417685620644851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30</v>
      </c>
      <c r="D224" s="456">
        <v>28</v>
      </c>
      <c r="E224" s="456">
        <f t="shared" si="24"/>
        <v>-2</v>
      </c>
      <c r="F224" s="449">
        <f t="shared" si="25"/>
        <v>-6.6666666666666666E-2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0.99129999999999996</v>
      </c>
      <c r="D225" s="459">
        <v>0.84150000000000003</v>
      </c>
      <c r="E225" s="460">
        <f t="shared" si="24"/>
        <v>-0.14979999999999993</v>
      </c>
      <c r="F225" s="449">
        <f t="shared" si="25"/>
        <v>-0.15111469787148182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29.738999999999997</v>
      </c>
      <c r="D226" s="463">
        <f>LN_IG3*LN_IG4</f>
        <v>23.562000000000001</v>
      </c>
      <c r="E226" s="463">
        <f t="shared" si="24"/>
        <v>-6.176999999999996</v>
      </c>
      <c r="F226" s="449">
        <f t="shared" si="25"/>
        <v>-0.20770705134671633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3688.1199771344031</v>
      </c>
      <c r="D227" s="465">
        <f>IF(LN_IG5=0,0,LN_IG2/LN_IG5)</f>
        <v>6561.921738392326</v>
      </c>
      <c r="E227" s="465">
        <f t="shared" si="24"/>
        <v>2873.8017612579229</v>
      </c>
      <c r="F227" s="449">
        <f t="shared" si="25"/>
        <v>0.77920506357572739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110</v>
      </c>
      <c r="D228" s="456">
        <v>117</v>
      </c>
      <c r="E228" s="456">
        <f t="shared" si="24"/>
        <v>7</v>
      </c>
      <c r="F228" s="449">
        <f t="shared" si="25"/>
        <v>6.363636363636363E-2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997.1</v>
      </c>
      <c r="D229" s="465">
        <f>IF(LN_IG6=0,0,LN_IG2/LN_IG6)</f>
        <v>1321.4700854700855</v>
      </c>
      <c r="E229" s="465">
        <f t="shared" si="24"/>
        <v>324.37008547008543</v>
      </c>
      <c r="F229" s="449">
        <f t="shared" si="25"/>
        <v>0.32531349460443831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3.6666666666666665</v>
      </c>
      <c r="D230" s="466">
        <f>IF(LN_IG3=0,0,LN_IG6/LN_IG3)</f>
        <v>4.1785714285714288</v>
      </c>
      <c r="E230" s="466">
        <f t="shared" si="24"/>
        <v>0.51190476190476231</v>
      </c>
      <c r="F230" s="449">
        <f t="shared" si="25"/>
        <v>0.13961038961038971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438381</v>
      </c>
      <c r="D233" s="448">
        <v>258853</v>
      </c>
      <c r="E233" s="448">
        <f>D233-C233</f>
        <v>-179528</v>
      </c>
      <c r="F233" s="449">
        <f>IF(C233=0,0,E233/C233)</f>
        <v>-0.40952504784650795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42995</v>
      </c>
      <c r="D234" s="448">
        <v>92891</v>
      </c>
      <c r="E234" s="448">
        <f>D234-C234</f>
        <v>49896</v>
      </c>
      <c r="F234" s="449">
        <f>IF(C234=0,0,E234/C234)</f>
        <v>1.1605070357018259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1032152</v>
      </c>
      <c r="D237" s="448">
        <f>LN_IG1+LN_IG9</f>
        <v>800896</v>
      </c>
      <c r="E237" s="448">
        <f>D237-C237</f>
        <v>-231256</v>
      </c>
      <c r="F237" s="449">
        <f>IF(C237=0,0,E237/C237)</f>
        <v>-0.22405227137088335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152676</v>
      </c>
      <c r="D238" s="448">
        <f>LN_IG2+LN_IG10</f>
        <v>247503</v>
      </c>
      <c r="E238" s="448">
        <f>D238-C238</f>
        <v>94827</v>
      </c>
      <c r="F238" s="449">
        <f>IF(C238=0,0,E238/C238)</f>
        <v>0.62109958343158056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879476</v>
      </c>
      <c r="D239" s="448">
        <f>LN_IG13-LN_IG14</f>
        <v>553393</v>
      </c>
      <c r="E239" s="448">
        <f>D239-C239</f>
        <v>-326083</v>
      </c>
      <c r="F239" s="449">
        <f>IF(C239=0,0,E239/C239)</f>
        <v>-0.37076964010388003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15967000</v>
      </c>
      <c r="D243" s="448">
        <v>20648000</v>
      </c>
      <c r="E243" s="441">
        <f>D243-C243</f>
        <v>4681000</v>
      </c>
      <c r="F243" s="503">
        <f>IF(C243=0,0,E243/C243)</f>
        <v>0.29316715726185255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394491000</v>
      </c>
      <c r="D244" s="448">
        <v>398392000</v>
      </c>
      <c r="E244" s="441">
        <f>D244-C244</f>
        <v>3901000</v>
      </c>
      <c r="F244" s="503">
        <f>IF(C244=0,0,E244/C244)</f>
        <v>9.8886920107176084E-3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14991000</v>
      </c>
      <c r="D248" s="441">
        <v>17249000</v>
      </c>
      <c r="E248" s="441">
        <f>D248-C248</f>
        <v>2258000</v>
      </c>
      <c r="F248" s="449">
        <f>IF(C248=0,0,E248/C248)</f>
        <v>0.15062370755786805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25817000</v>
      </c>
      <c r="D249" s="441">
        <v>30938000</v>
      </c>
      <c r="E249" s="441">
        <f>D249-C249</f>
        <v>5121000</v>
      </c>
      <c r="F249" s="449">
        <f>IF(C249=0,0,E249/C249)</f>
        <v>0.19835767130185536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40808000</v>
      </c>
      <c r="D250" s="441">
        <f>LN_IH4+LN_IH5</f>
        <v>48187000</v>
      </c>
      <c r="E250" s="441">
        <f>D250-C250</f>
        <v>7379000</v>
      </c>
      <c r="F250" s="449">
        <f>IF(C250=0,0,E250/C250)</f>
        <v>0.18082238776710449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13352021.900405467</v>
      </c>
      <c r="D251" s="441">
        <f>LN_IH6*LN_III10</f>
        <v>15999137.99218552</v>
      </c>
      <c r="E251" s="441">
        <f>D251-C251</f>
        <v>2647116.0917800535</v>
      </c>
      <c r="F251" s="449">
        <f>IF(C251=0,0,E251/C251)</f>
        <v>0.19825582308995968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243506504</v>
      </c>
      <c r="D254" s="441">
        <f>LN_IF23</f>
        <v>245724093</v>
      </c>
      <c r="E254" s="441">
        <f>D254-C254</f>
        <v>2217589</v>
      </c>
      <c r="F254" s="449">
        <f>IF(C254=0,0,E254/C254)</f>
        <v>9.1068984342200562E-3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57173924</v>
      </c>
      <c r="D255" s="441">
        <f>LN_IF24</f>
        <v>60524305</v>
      </c>
      <c r="E255" s="441">
        <f>D255-C255</f>
        <v>3350381</v>
      </c>
      <c r="F255" s="449">
        <f>IF(C255=0,0,E255/C255)</f>
        <v>5.8599808542089925E-2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79673205.604272977</v>
      </c>
      <c r="D256" s="441">
        <f>LN_IH8*LN_III10</f>
        <v>81585773.588553503</v>
      </c>
      <c r="E256" s="441">
        <f>D256-C256</f>
        <v>1912567.9842805266</v>
      </c>
      <c r="F256" s="449">
        <f>IF(C256=0,0,E256/C256)</f>
        <v>2.4005159197183767E-2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22499281.604272977</v>
      </c>
      <c r="D257" s="441">
        <f>LN_IH10-LN_IH9</f>
        <v>21061468.588553503</v>
      </c>
      <c r="E257" s="441">
        <f>D257-C257</f>
        <v>-1437813.0157194734</v>
      </c>
      <c r="F257" s="449">
        <f>IF(C257=0,0,E257/C257)</f>
        <v>-6.3904841097077933E-2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762459747</v>
      </c>
      <c r="D261" s="448">
        <f>LN_IA1+LN_IB1+LN_IF1+LN_IG1</f>
        <v>756035776</v>
      </c>
      <c r="E261" s="448">
        <f t="shared" ref="E261:E274" si="26">D261-C261</f>
        <v>-6423971</v>
      </c>
      <c r="F261" s="503">
        <f t="shared" ref="F261:F274" si="27">IF(C261=0,0,E261/C261)</f>
        <v>-8.4253247798011296E-3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256665074</v>
      </c>
      <c r="D262" s="448">
        <f>+LN_IA2+LN_IB2+LN_IF2+LN_IG2</f>
        <v>251395249</v>
      </c>
      <c r="E262" s="448">
        <f t="shared" si="26"/>
        <v>-5269825</v>
      </c>
      <c r="F262" s="503">
        <f t="shared" si="27"/>
        <v>-2.0531913118806339E-2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0.3366277039671709</v>
      </c>
      <c r="D263" s="453">
        <f>IF(LN_IIA1=0,0,LN_IIA2/LN_IIA1)</f>
        <v>0.33251766249749537</v>
      </c>
      <c r="E263" s="454">
        <f t="shared" si="26"/>
        <v>-4.1100414696755294E-3</v>
      </c>
      <c r="F263" s="458">
        <f t="shared" si="27"/>
        <v>-1.2209456979442057E-2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20324</v>
      </c>
      <c r="D264" s="456">
        <f>LN_IA4+LN_IB4+LN_IF4+LN_IG3</f>
        <v>18711</v>
      </c>
      <c r="E264" s="456">
        <f t="shared" si="26"/>
        <v>-1613</v>
      </c>
      <c r="F264" s="503">
        <f t="shared" si="27"/>
        <v>-7.936429836646329E-2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1.3418493898838812</v>
      </c>
      <c r="D265" s="525">
        <f>IF(LN_IIA4=0,0,LN_IIA6/LN_IIA4)</f>
        <v>1.3758053497942389</v>
      </c>
      <c r="E265" s="525">
        <f t="shared" si="26"/>
        <v>3.3955959910357603E-2</v>
      </c>
      <c r="F265" s="503">
        <f t="shared" si="27"/>
        <v>2.530534362973182E-2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27271.747000000003</v>
      </c>
      <c r="D266" s="463">
        <f>LN_IA6+LN_IB6+LN_IF6+LN_IG5</f>
        <v>25742.693900000002</v>
      </c>
      <c r="E266" s="463">
        <f t="shared" si="26"/>
        <v>-1529.053100000001</v>
      </c>
      <c r="F266" s="503">
        <f t="shared" si="27"/>
        <v>-5.6067295578827454E-2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430225751</v>
      </c>
      <c r="D267" s="448">
        <f>LN_IA11+LN_IB13+LN_IF14+LN_IG9</f>
        <v>443052936</v>
      </c>
      <c r="E267" s="448">
        <f t="shared" si="26"/>
        <v>12827185</v>
      </c>
      <c r="F267" s="503">
        <f t="shared" si="27"/>
        <v>2.9815009841193816E-2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0.56426028087749003</v>
      </c>
      <c r="D268" s="453">
        <f>IF(LN_IIA1=0,0,LN_IIA7/LN_IIA1)</f>
        <v>0.58602112501088832</v>
      </c>
      <c r="E268" s="454">
        <f t="shared" si="26"/>
        <v>2.1760844133398294E-2</v>
      </c>
      <c r="F268" s="458">
        <f t="shared" si="27"/>
        <v>3.8565259457138582E-2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148434203</v>
      </c>
      <c r="D269" s="448">
        <f>LN_IA12+LN_IB14+LN_IF15+LN_IG10</f>
        <v>151606519</v>
      </c>
      <c r="E269" s="448">
        <f t="shared" si="26"/>
        <v>3172316</v>
      </c>
      <c r="F269" s="503">
        <f t="shared" si="27"/>
        <v>2.1371866698405084E-2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0.34501468741697888</v>
      </c>
      <c r="D270" s="453">
        <f>IF(LN_IIA7=0,0,LN_IIA9/LN_IIA7)</f>
        <v>0.34218601589404657</v>
      </c>
      <c r="E270" s="454">
        <f t="shared" si="26"/>
        <v>-2.8286715229323134E-3</v>
      </c>
      <c r="F270" s="458">
        <f t="shared" si="27"/>
        <v>-8.1986988557203912E-3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1192685498</v>
      </c>
      <c r="D271" s="441">
        <f>LN_IIA1+LN_IIA7</f>
        <v>1199088712</v>
      </c>
      <c r="E271" s="441">
        <f t="shared" si="26"/>
        <v>6403214</v>
      </c>
      <c r="F271" s="503">
        <f t="shared" si="27"/>
        <v>5.3687363607065504E-3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405099277</v>
      </c>
      <c r="D272" s="441">
        <f>LN_IIA2+LN_IIA9</f>
        <v>403001768</v>
      </c>
      <c r="E272" s="441">
        <f t="shared" si="26"/>
        <v>-2097509</v>
      </c>
      <c r="F272" s="503">
        <f t="shared" si="27"/>
        <v>-5.1777653505908376E-3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0.33965305831194065</v>
      </c>
      <c r="D273" s="453">
        <f>IF(LN_IIA11=0,0,LN_IIA12/LN_IIA11)</f>
        <v>0.33609003568036255</v>
      </c>
      <c r="E273" s="454">
        <f t="shared" si="26"/>
        <v>-3.5630226315780944E-3</v>
      </c>
      <c r="F273" s="458">
        <f t="shared" si="27"/>
        <v>-1.0490182686080159E-2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120574</v>
      </c>
      <c r="D274" s="508">
        <f>LN_IA8+LN_IB10+LN_IF11+LN_IG6</f>
        <v>110756</v>
      </c>
      <c r="E274" s="528">
        <f t="shared" si="26"/>
        <v>-9818</v>
      </c>
      <c r="F274" s="458">
        <f t="shared" si="27"/>
        <v>-8.1427173354122778E-2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580565091</v>
      </c>
      <c r="D277" s="448">
        <f>LN_IA1+LN_IF1+LN_IG1</f>
        <v>567403428</v>
      </c>
      <c r="E277" s="448">
        <f t="shared" ref="E277:E291" si="28">D277-C277</f>
        <v>-13161663</v>
      </c>
      <c r="F277" s="503">
        <f t="shared" ref="F277:F291" si="29">IF(C277=0,0,E277/C277)</f>
        <v>-2.2670434726499943E-2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161551810</v>
      </c>
      <c r="D278" s="448">
        <f>LN_IA2+LN_IF2+LN_IG2</f>
        <v>157106506</v>
      </c>
      <c r="E278" s="448">
        <f t="shared" si="28"/>
        <v>-4445304</v>
      </c>
      <c r="F278" s="503">
        <f t="shared" si="29"/>
        <v>-2.751627480992011E-2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0.2782664898465278</v>
      </c>
      <c r="D279" s="453">
        <f>IF(D277=0,0,LN_IIB2/D277)</f>
        <v>0.27688677622864133</v>
      </c>
      <c r="E279" s="454">
        <f t="shared" si="28"/>
        <v>-1.3797136178864688E-3</v>
      </c>
      <c r="F279" s="458">
        <f t="shared" si="29"/>
        <v>-4.9582456681989328E-3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14301</v>
      </c>
      <c r="D280" s="456">
        <f>LN_IA4+LN_IF4+LN_IG3</f>
        <v>13291</v>
      </c>
      <c r="E280" s="456">
        <f t="shared" si="28"/>
        <v>-1010</v>
      </c>
      <c r="F280" s="503">
        <f t="shared" si="29"/>
        <v>-7.0624431857912034E-2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1.3693297811341865</v>
      </c>
      <c r="D281" s="525">
        <f>IF(LN_IIB4=0,0,LN_IIB6/LN_IIB4)</f>
        <v>1.3889385223083293</v>
      </c>
      <c r="E281" s="525">
        <f t="shared" si="28"/>
        <v>1.9608741174142796E-2</v>
      </c>
      <c r="F281" s="503">
        <f t="shared" si="29"/>
        <v>1.43199552396365E-2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19582.785200000002</v>
      </c>
      <c r="D282" s="463">
        <f>LN_IA6+LN_IF6+LN_IG5</f>
        <v>18460.381900000004</v>
      </c>
      <c r="E282" s="463">
        <f t="shared" si="28"/>
        <v>-1122.4032999999981</v>
      </c>
      <c r="F282" s="503">
        <f t="shared" si="29"/>
        <v>-5.7315815321305676E-2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238993311</v>
      </c>
      <c r="D283" s="448">
        <f>LN_IA11+LN_IF14+LN_IG9</f>
        <v>252503841</v>
      </c>
      <c r="E283" s="448">
        <f t="shared" si="28"/>
        <v>13510530</v>
      </c>
      <c r="F283" s="503">
        <f t="shared" si="29"/>
        <v>5.6530996384246086E-2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0.41165635809818263</v>
      </c>
      <c r="D284" s="453">
        <f>IF(D277=0,0,LN_IIB7/D277)</f>
        <v>0.44501641784229756</v>
      </c>
      <c r="E284" s="454">
        <f t="shared" si="28"/>
        <v>3.3360059744114934E-2</v>
      </c>
      <c r="F284" s="458">
        <f t="shared" si="29"/>
        <v>8.1038611666865962E-2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56456813</v>
      </c>
      <c r="D285" s="448">
        <f>LN_IA12+LN_IF15+LN_IG10</f>
        <v>60321076</v>
      </c>
      <c r="E285" s="448">
        <f t="shared" si="28"/>
        <v>3864263</v>
      </c>
      <c r="F285" s="503">
        <f t="shared" si="29"/>
        <v>6.8446353852811351E-2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0.23622758630261415</v>
      </c>
      <c r="D286" s="453">
        <f>IF(LN_IIB7=0,0,LN_IIB9/LN_IIB7)</f>
        <v>0.23889171650264124</v>
      </c>
      <c r="E286" s="454">
        <f t="shared" si="28"/>
        <v>2.6641302000270928E-3</v>
      </c>
      <c r="F286" s="458">
        <f t="shared" si="29"/>
        <v>1.1277811544898349E-2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819558402</v>
      </c>
      <c r="D287" s="441">
        <f>D277+LN_IIB7</f>
        <v>819907269</v>
      </c>
      <c r="E287" s="441">
        <f t="shared" si="28"/>
        <v>348867</v>
      </c>
      <c r="F287" s="503">
        <f t="shared" si="29"/>
        <v>4.2567680246904477E-4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218008623</v>
      </c>
      <c r="D288" s="441">
        <f>LN_IIB2+LN_IIB9</f>
        <v>217427582</v>
      </c>
      <c r="E288" s="441">
        <f t="shared" si="28"/>
        <v>-581041</v>
      </c>
      <c r="F288" s="503">
        <f t="shared" si="29"/>
        <v>-2.6652202651635481E-3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0.26600742847365744</v>
      </c>
      <c r="D289" s="453">
        <f>IF(LN_IIB11=0,0,LN_IIB12/LN_IIB11)</f>
        <v>0.26518557673623944</v>
      </c>
      <c r="E289" s="454">
        <f t="shared" si="28"/>
        <v>-8.2185173741800011E-4</v>
      </c>
      <c r="F289" s="458">
        <f t="shared" si="29"/>
        <v>-3.0895819042865099E-3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93140</v>
      </c>
      <c r="D290" s="508">
        <f>LN_IA8+LN_IF11+LN_IG6</f>
        <v>85761</v>
      </c>
      <c r="E290" s="528">
        <f t="shared" si="28"/>
        <v>-7379</v>
      </c>
      <c r="F290" s="458">
        <f t="shared" si="29"/>
        <v>-7.9224822847326612E-2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601549779</v>
      </c>
      <c r="D291" s="516">
        <f>LN_IIB11-LN_IIB12</f>
        <v>602479687</v>
      </c>
      <c r="E291" s="441">
        <f t="shared" si="28"/>
        <v>929908</v>
      </c>
      <c r="F291" s="503">
        <f t="shared" si="29"/>
        <v>1.5458537804566295E-3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6.7247120418848167</v>
      </c>
      <c r="D294" s="466">
        <f>IF(LN_IA4=0,0,LN_IA8/LN_IA4)</f>
        <v>6.5881946045653681</v>
      </c>
      <c r="E294" s="466">
        <f t="shared" ref="E294:E300" si="30">D294-C294</f>
        <v>-0.13651743731944865</v>
      </c>
      <c r="F294" s="503">
        <f t="shared" ref="F294:F300" si="31">IF(C294=0,0,E294/C294)</f>
        <v>-2.0300859943020735E-2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4.5548729868836126</v>
      </c>
      <c r="D295" s="466">
        <f>IF(LN_IB4=0,0,(LN_IB10)/(LN_IB4))</f>
        <v>4.6116236162361623</v>
      </c>
      <c r="E295" s="466">
        <f t="shared" si="30"/>
        <v>5.6750629352549709E-2</v>
      </c>
      <c r="F295" s="503">
        <f t="shared" si="31"/>
        <v>1.2459322030706675E-2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5.3757881462799499</v>
      </c>
      <c r="D296" s="466">
        <f>IF(LN_IC4=0,0,LN_IC11/LN_IC4)</f>
        <v>5.7003424657534243</v>
      </c>
      <c r="E296" s="466">
        <f t="shared" si="30"/>
        <v>0.32455431947347435</v>
      </c>
      <c r="F296" s="503">
        <f t="shared" si="31"/>
        <v>6.037334631538005E-2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6.0937033084311629</v>
      </c>
      <c r="D297" s="466">
        <f>IF(LN_ID4=0,0,LN_ID11/LN_ID4)</f>
        <v>6.2137203166226911</v>
      </c>
      <c r="E297" s="466">
        <f t="shared" si="30"/>
        <v>0.12001700819152816</v>
      </c>
      <c r="F297" s="503">
        <f t="shared" si="31"/>
        <v>1.9695249689211863E-2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7.2222222222222223</v>
      </c>
      <c r="D298" s="466">
        <f>IF(LN_IE4=0,0,LN_IE11/LN_IE4)</f>
        <v>5.8048780487804876</v>
      </c>
      <c r="E298" s="466">
        <f t="shared" si="30"/>
        <v>-1.4173441734417347</v>
      </c>
      <c r="F298" s="503">
        <f t="shared" si="31"/>
        <v>-0.19624765478424019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3.6666666666666665</v>
      </c>
      <c r="D299" s="466">
        <f>IF(LN_IG3=0,0,LN_IG6/LN_IG3)</f>
        <v>4.1785714285714288</v>
      </c>
      <c r="E299" s="466">
        <f t="shared" si="30"/>
        <v>0.51190476190476231</v>
      </c>
      <c r="F299" s="503">
        <f t="shared" si="31"/>
        <v>0.13961038961038971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5.9325920094469593</v>
      </c>
      <c r="D300" s="466">
        <f>IF(LN_IIA4=0,0,LN_IIA14/LN_IIA4)</f>
        <v>5.9192988081876967</v>
      </c>
      <c r="E300" s="466">
        <f t="shared" si="30"/>
        <v>-1.3293201259262588E-2</v>
      </c>
      <c r="F300" s="503">
        <f t="shared" si="31"/>
        <v>-2.2407071374695442E-3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1192685498</v>
      </c>
      <c r="D304" s="441">
        <f>LN_IIA11</f>
        <v>1199088712</v>
      </c>
      <c r="E304" s="441">
        <f t="shared" ref="E304:E316" si="32">D304-C304</f>
        <v>6403214</v>
      </c>
      <c r="F304" s="449">
        <f>IF(C304=0,0,E304/C304)</f>
        <v>5.3687363607065504E-3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601549779</v>
      </c>
      <c r="D305" s="441">
        <f>LN_IIB14</f>
        <v>602479687</v>
      </c>
      <c r="E305" s="441">
        <f t="shared" si="32"/>
        <v>929908</v>
      </c>
      <c r="F305" s="449">
        <f>IF(C305=0,0,E305/C305)</f>
        <v>1.5458537804566295E-3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40808000</v>
      </c>
      <c r="D306" s="441">
        <f>LN_IH6</f>
        <v>48187000</v>
      </c>
      <c r="E306" s="441">
        <f t="shared" si="32"/>
        <v>7379000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144331512</v>
      </c>
      <c r="D307" s="441">
        <f>LN_IB32-LN_IB33</f>
        <v>147243964</v>
      </c>
      <c r="E307" s="441">
        <f t="shared" si="32"/>
        <v>2912452</v>
      </c>
      <c r="F307" s="449">
        <f t="shared" ref="F307:F316" si="33">IF(C307=0,0,E307/C307)</f>
        <v>2.0178905906563217E-2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15759908</v>
      </c>
      <c r="D308" s="441">
        <v>3054381</v>
      </c>
      <c r="E308" s="441">
        <f t="shared" si="32"/>
        <v>-12705527</v>
      </c>
      <c r="F308" s="449">
        <f t="shared" si="33"/>
        <v>-0.80619296762392267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802449199</v>
      </c>
      <c r="D309" s="441">
        <f>LN_III2+LN_III3+LN_III4+LN_III5</f>
        <v>800965032</v>
      </c>
      <c r="E309" s="441">
        <f t="shared" si="32"/>
        <v>-1484167</v>
      </c>
      <c r="F309" s="449">
        <f t="shared" si="33"/>
        <v>-1.8495463661120808E-3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390236299</v>
      </c>
      <c r="D310" s="441">
        <f>LN_III1-LN_III6</f>
        <v>398123680</v>
      </c>
      <c r="E310" s="441">
        <f t="shared" si="32"/>
        <v>7887381</v>
      </c>
      <c r="F310" s="449">
        <f t="shared" si="33"/>
        <v>2.0211807615569868E-2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390236299</v>
      </c>
      <c r="D312" s="441">
        <f>LN_III7+LN_III8</f>
        <v>398123680</v>
      </c>
      <c r="E312" s="441">
        <f t="shared" si="32"/>
        <v>7887381</v>
      </c>
      <c r="F312" s="449">
        <f t="shared" si="33"/>
        <v>2.0211807615569868E-2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0.32719128358178462</v>
      </c>
      <c r="D313" s="532">
        <f>IF(LN_III1=0,0,LN_III9/LN_III1)</f>
        <v>0.33202187295713614</v>
      </c>
      <c r="E313" s="532">
        <f t="shared" si="32"/>
        <v>4.8305893753515239E-3</v>
      </c>
      <c r="F313" s="449">
        <f t="shared" si="33"/>
        <v>1.4763808260631953E-2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13352021.900405467</v>
      </c>
      <c r="D314" s="441">
        <f>D313*LN_III5</f>
        <v>15999137.99218552</v>
      </c>
      <c r="E314" s="441">
        <f t="shared" si="32"/>
        <v>2647116.0917800535</v>
      </c>
      <c r="F314" s="449">
        <f t="shared" si="33"/>
        <v>0.19825582308995968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22499281.604272977</v>
      </c>
      <c r="D315" s="441">
        <f>D313*LN_IH8-LN_IH9</f>
        <v>21061468.588553503</v>
      </c>
      <c r="E315" s="441">
        <f t="shared" si="32"/>
        <v>-1437813.0157194734</v>
      </c>
      <c r="F315" s="449">
        <f t="shared" si="33"/>
        <v>-6.3904841097077933E-2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35851303.504678443</v>
      </c>
      <c r="D318" s="441">
        <f>D314+D315+D316</f>
        <v>37060606.580739021</v>
      </c>
      <c r="E318" s="441">
        <f>D318-C318</f>
        <v>1209303.0760605782</v>
      </c>
      <c r="F318" s="449">
        <f>IF(C318=0,0,E318/C318)</f>
        <v>3.3731076916150883E-2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15502222.676091405</v>
      </c>
      <c r="D322" s="441">
        <f>LN_ID22</f>
        <v>11797161.82260819</v>
      </c>
      <c r="E322" s="441">
        <f>LN_IV2-C322</f>
        <v>-3705060.853483215</v>
      </c>
      <c r="F322" s="449">
        <f>IF(C322=0,0,E322/C322)</f>
        <v>-0.23900191159022732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-128164.20031633537</v>
      </c>
      <c r="D323" s="441">
        <f>LN_IE10+LN_IE22</f>
        <v>397302.05089631118</v>
      </c>
      <c r="E323" s="441">
        <f>LN_IV3-C323</f>
        <v>525466.25121264649</v>
      </c>
      <c r="F323" s="449">
        <f>IF(C323=0,0,E323/C323)</f>
        <v>-4.0999456159808174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18314706.098150939</v>
      </c>
      <c r="D324" s="441">
        <f>LN_IC10+LN_IC22</f>
        <v>12024439.196949385</v>
      </c>
      <c r="E324" s="441">
        <f>LN_IV1-C324</f>
        <v>-6290266.9012015536</v>
      </c>
      <c r="F324" s="449">
        <f>IF(C324=0,0,E324/C324)</f>
        <v>-0.34345442768730106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33688764.573926009</v>
      </c>
      <c r="D325" s="516">
        <f>LN_IV1+LN_IV2+LN_IV3</f>
        <v>24218903.070453882</v>
      </c>
      <c r="E325" s="441">
        <f>LN_IV4-C325</f>
        <v>-9469861.503472127</v>
      </c>
      <c r="F325" s="449">
        <f>IF(C325=0,0,E325/C325)</f>
        <v>-0.28109850934698527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23556144</v>
      </c>
      <c r="D329" s="518">
        <v>19559565</v>
      </c>
      <c r="E329" s="518">
        <f t="shared" ref="E329:E335" si="34">D329-C329</f>
        <v>-3996579</v>
      </c>
      <c r="F329" s="542">
        <f t="shared" ref="F329:F335" si="35">IF(C329=0,0,E329/C329)</f>
        <v>-0.16966185127752659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3085057</v>
      </c>
      <c r="D330" s="516">
        <v>-1936980</v>
      </c>
      <c r="E330" s="518">
        <f t="shared" si="34"/>
        <v>-5022037</v>
      </c>
      <c r="F330" s="543">
        <f t="shared" si="35"/>
        <v>-1.6278587397250683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408184000</v>
      </c>
      <c r="D331" s="516">
        <v>401065000</v>
      </c>
      <c r="E331" s="518">
        <f t="shared" si="34"/>
        <v>-7119000</v>
      </c>
      <c r="F331" s="542">
        <f t="shared" si="35"/>
        <v>-1.7440664014268074E-2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1192685000</v>
      </c>
      <c r="D333" s="516">
        <v>1199089000</v>
      </c>
      <c r="E333" s="518">
        <f t="shared" si="34"/>
        <v>6404000</v>
      </c>
      <c r="F333" s="542">
        <f t="shared" si="35"/>
        <v>5.369397619656489E-3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40808000</v>
      </c>
      <c r="D335" s="516">
        <v>48187000</v>
      </c>
      <c r="E335" s="516">
        <f t="shared" si="34"/>
        <v>7379000</v>
      </c>
      <c r="F335" s="542">
        <f t="shared" si="35"/>
        <v>0.18082238776710449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FILING&amp;RSAINT VINCENT`S MEDICAL CENTER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181894656</v>
      </c>
      <c r="D14" s="589">
        <v>188632348</v>
      </c>
      <c r="E14" s="590">
        <f t="shared" ref="E14:E22" si="0">D14-C14</f>
        <v>6737692</v>
      </c>
    </row>
    <row r="15" spans="1:5" s="421" customFormat="1" x14ac:dyDescent="0.2">
      <c r="A15" s="588">
        <v>2</v>
      </c>
      <c r="B15" s="587" t="s">
        <v>635</v>
      </c>
      <c r="C15" s="589">
        <v>438086271</v>
      </c>
      <c r="D15" s="591">
        <v>421061707</v>
      </c>
      <c r="E15" s="590">
        <f t="shared" si="0"/>
        <v>-17024564</v>
      </c>
    </row>
    <row r="16" spans="1:5" s="421" customFormat="1" x14ac:dyDescent="0.2">
      <c r="A16" s="588">
        <v>3</v>
      </c>
      <c r="B16" s="587" t="s">
        <v>777</v>
      </c>
      <c r="C16" s="589">
        <v>141885049</v>
      </c>
      <c r="D16" s="591">
        <v>145799678</v>
      </c>
      <c r="E16" s="590">
        <f t="shared" si="0"/>
        <v>3914629</v>
      </c>
    </row>
    <row r="17" spans="1:5" s="421" customFormat="1" x14ac:dyDescent="0.2">
      <c r="A17" s="588">
        <v>4</v>
      </c>
      <c r="B17" s="587" t="s">
        <v>115</v>
      </c>
      <c r="C17" s="589">
        <v>140676638</v>
      </c>
      <c r="D17" s="591">
        <v>144867015</v>
      </c>
      <c r="E17" s="590">
        <f t="shared" si="0"/>
        <v>4190377</v>
      </c>
    </row>
    <row r="18" spans="1:5" s="421" customFormat="1" x14ac:dyDescent="0.2">
      <c r="A18" s="588">
        <v>5</v>
      </c>
      <c r="B18" s="587" t="s">
        <v>743</v>
      </c>
      <c r="C18" s="589">
        <v>1208411</v>
      </c>
      <c r="D18" s="591">
        <v>932663</v>
      </c>
      <c r="E18" s="590">
        <f t="shared" si="0"/>
        <v>-275748</v>
      </c>
    </row>
    <row r="19" spans="1:5" s="421" customFormat="1" x14ac:dyDescent="0.2">
      <c r="A19" s="588">
        <v>6</v>
      </c>
      <c r="B19" s="587" t="s">
        <v>424</v>
      </c>
      <c r="C19" s="589">
        <v>593771</v>
      </c>
      <c r="D19" s="591">
        <v>542043</v>
      </c>
      <c r="E19" s="590">
        <f t="shared" si="0"/>
        <v>-51728</v>
      </c>
    </row>
    <row r="20" spans="1:5" s="421" customFormat="1" x14ac:dyDescent="0.2">
      <c r="A20" s="588">
        <v>7</v>
      </c>
      <c r="B20" s="587" t="s">
        <v>758</v>
      </c>
      <c r="C20" s="589">
        <v>21755534</v>
      </c>
      <c r="D20" s="591">
        <v>20452129</v>
      </c>
      <c r="E20" s="590">
        <f t="shared" si="0"/>
        <v>-1303405</v>
      </c>
    </row>
    <row r="21" spans="1:5" s="421" customFormat="1" x14ac:dyDescent="0.2">
      <c r="A21" s="588"/>
      <c r="B21" s="592" t="s">
        <v>778</v>
      </c>
      <c r="C21" s="593">
        <f>SUM(C15+C16+C19)</f>
        <v>580565091</v>
      </c>
      <c r="D21" s="593">
        <f>SUM(D15+D16+D19)</f>
        <v>567403428</v>
      </c>
      <c r="E21" s="593">
        <f t="shared" si="0"/>
        <v>-13161663</v>
      </c>
    </row>
    <row r="22" spans="1:5" s="421" customFormat="1" x14ac:dyDescent="0.2">
      <c r="A22" s="588"/>
      <c r="B22" s="592" t="s">
        <v>465</v>
      </c>
      <c r="C22" s="593">
        <f>SUM(C14+C21)</f>
        <v>762459747</v>
      </c>
      <c r="D22" s="593">
        <f>SUM(D14+D21)</f>
        <v>756035776</v>
      </c>
      <c r="E22" s="593">
        <f t="shared" si="0"/>
        <v>-6423971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191232440</v>
      </c>
      <c r="D25" s="589">
        <v>190549095</v>
      </c>
      <c r="E25" s="590">
        <f t="shared" ref="E25:E33" si="1">D25-C25</f>
        <v>-683345</v>
      </c>
    </row>
    <row r="26" spans="1:5" s="421" customFormat="1" x14ac:dyDescent="0.2">
      <c r="A26" s="588">
        <v>2</v>
      </c>
      <c r="B26" s="587" t="s">
        <v>635</v>
      </c>
      <c r="C26" s="589">
        <v>136933475</v>
      </c>
      <c r="D26" s="591">
        <v>152320573</v>
      </c>
      <c r="E26" s="590">
        <f t="shared" si="1"/>
        <v>15387098</v>
      </c>
    </row>
    <row r="27" spans="1:5" s="421" customFormat="1" x14ac:dyDescent="0.2">
      <c r="A27" s="588">
        <v>3</v>
      </c>
      <c r="B27" s="587" t="s">
        <v>777</v>
      </c>
      <c r="C27" s="589">
        <v>101621455</v>
      </c>
      <c r="D27" s="591">
        <v>99924415</v>
      </c>
      <c r="E27" s="590">
        <f t="shared" si="1"/>
        <v>-1697040</v>
      </c>
    </row>
    <row r="28" spans="1:5" s="421" customFormat="1" x14ac:dyDescent="0.2">
      <c r="A28" s="588">
        <v>4</v>
      </c>
      <c r="B28" s="587" t="s">
        <v>115</v>
      </c>
      <c r="C28" s="589">
        <v>100790177</v>
      </c>
      <c r="D28" s="591">
        <v>99756592</v>
      </c>
      <c r="E28" s="590">
        <f t="shared" si="1"/>
        <v>-1033585</v>
      </c>
    </row>
    <row r="29" spans="1:5" s="421" customFormat="1" x14ac:dyDescent="0.2">
      <c r="A29" s="588">
        <v>5</v>
      </c>
      <c r="B29" s="587" t="s">
        <v>743</v>
      </c>
      <c r="C29" s="589">
        <v>831278</v>
      </c>
      <c r="D29" s="591">
        <v>167823</v>
      </c>
      <c r="E29" s="590">
        <f t="shared" si="1"/>
        <v>-663455</v>
      </c>
    </row>
    <row r="30" spans="1:5" s="421" customFormat="1" x14ac:dyDescent="0.2">
      <c r="A30" s="588">
        <v>6</v>
      </c>
      <c r="B30" s="587" t="s">
        <v>424</v>
      </c>
      <c r="C30" s="589">
        <v>438381</v>
      </c>
      <c r="D30" s="591">
        <v>258853</v>
      </c>
      <c r="E30" s="590">
        <f t="shared" si="1"/>
        <v>-179528</v>
      </c>
    </row>
    <row r="31" spans="1:5" s="421" customFormat="1" x14ac:dyDescent="0.2">
      <c r="A31" s="588">
        <v>7</v>
      </c>
      <c r="B31" s="587" t="s">
        <v>758</v>
      </c>
      <c r="C31" s="590">
        <v>34649030</v>
      </c>
      <c r="D31" s="594">
        <v>29956877</v>
      </c>
      <c r="E31" s="590">
        <f t="shared" si="1"/>
        <v>-4692153</v>
      </c>
    </row>
    <row r="32" spans="1:5" s="421" customFormat="1" x14ac:dyDescent="0.2">
      <c r="A32" s="588"/>
      <c r="B32" s="592" t="s">
        <v>780</v>
      </c>
      <c r="C32" s="593">
        <f>SUM(C26+C27+C30)</f>
        <v>238993311</v>
      </c>
      <c r="D32" s="593">
        <f>SUM(D26+D27+D30)</f>
        <v>252503841</v>
      </c>
      <c r="E32" s="593">
        <f t="shared" si="1"/>
        <v>13510530</v>
      </c>
    </row>
    <row r="33" spans="1:5" s="421" customFormat="1" x14ac:dyDescent="0.2">
      <c r="A33" s="588"/>
      <c r="B33" s="592" t="s">
        <v>467</v>
      </c>
      <c r="C33" s="593">
        <f>SUM(C25+C32)</f>
        <v>430225751</v>
      </c>
      <c r="D33" s="593">
        <f>SUM(D25+D32)</f>
        <v>443052936</v>
      </c>
      <c r="E33" s="593">
        <f t="shared" si="1"/>
        <v>12827185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373127096</v>
      </c>
      <c r="D36" s="590">
        <f t="shared" si="2"/>
        <v>379181443</v>
      </c>
      <c r="E36" s="590">
        <f t="shared" ref="E36:E44" si="3">D36-C36</f>
        <v>6054347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575019746</v>
      </c>
      <c r="D37" s="590">
        <f t="shared" si="2"/>
        <v>573382280</v>
      </c>
      <c r="E37" s="590">
        <f t="shared" si="3"/>
        <v>-1637466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243506504</v>
      </c>
      <c r="D38" s="590">
        <f t="shared" si="2"/>
        <v>245724093</v>
      </c>
      <c r="E38" s="590">
        <f t="shared" si="3"/>
        <v>2217589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241466815</v>
      </c>
      <c r="D39" s="590">
        <f t="shared" si="2"/>
        <v>244623607</v>
      </c>
      <c r="E39" s="590">
        <f t="shared" si="3"/>
        <v>3156792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2039689</v>
      </c>
      <c r="D40" s="590">
        <f t="shared" si="2"/>
        <v>1100486</v>
      </c>
      <c r="E40" s="590">
        <f t="shared" si="3"/>
        <v>-939203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1032152</v>
      </c>
      <c r="D41" s="590">
        <f t="shared" si="2"/>
        <v>800896</v>
      </c>
      <c r="E41" s="590">
        <f t="shared" si="3"/>
        <v>-231256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56404564</v>
      </c>
      <c r="D42" s="590">
        <f t="shared" si="2"/>
        <v>50409006</v>
      </c>
      <c r="E42" s="590">
        <f t="shared" si="3"/>
        <v>-5995558</v>
      </c>
    </row>
    <row r="43" spans="1:5" s="421" customFormat="1" x14ac:dyDescent="0.2">
      <c r="A43" s="588"/>
      <c r="B43" s="592" t="s">
        <v>788</v>
      </c>
      <c r="C43" s="593">
        <f>SUM(C37+C38+C41)</f>
        <v>819558402</v>
      </c>
      <c r="D43" s="593">
        <f>SUM(D37+D38+D41)</f>
        <v>819907269</v>
      </c>
      <c r="E43" s="593">
        <f t="shared" si="3"/>
        <v>348867</v>
      </c>
    </row>
    <row r="44" spans="1:5" s="421" customFormat="1" x14ac:dyDescent="0.2">
      <c r="A44" s="588"/>
      <c r="B44" s="592" t="s">
        <v>725</v>
      </c>
      <c r="C44" s="593">
        <f>SUM(C36+C43)</f>
        <v>1192685498</v>
      </c>
      <c r="D44" s="593">
        <f>SUM(D36+D43)</f>
        <v>1199088712</v>
      </c>
      <c r="E44" s="593">
        <f t="shared" si="3"/>
        <v>6403214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95113264</v>
      </c>
      <c r="D47" s="589">
        <v>94288743</v>
      </c>
      <c r="E47" s="590">
        <f t="shared" ref="E47:E55" si="4">D47-C47</f>
        <v>-824521</v>
      </c>
    </row>
    <row r="48" spans="1:5" s="421" customFormat="1" x14ac:dyDescent="0.2">
      <c r="A48" s="588">
        <v>2</v>
      </c>
      <c r="B48" s="587" t="s">
        <v>635</v>
      </c>
      <c r="C48" s="589">
        <v>126929300</v>
      </c>
      <c r="D48" s="591">
        <v>120638609</v>
      </c>
      <c r="E48" s="590">
        <f t="shared" si="4"/>
        <v>-6290691</v>
      </c>
    </row>
    <row r="49" spans="1:5" s="421" customFormat="1" x14ac:dyDescent="0.2">
      <c r="A49" s="588">
        <v>3</v>
      </c>
      <c r="B49" s="587" t="s">
        <v>777</v>
      </c>
      <c r="C49" s="589">
        <v>34512829</v>
      </c>
      <c r="D49" s="591">
        <v>36313285</v>
      </c>
      <c r="E49" s="590">
        <f t="shared" si="4"/>
        <v>1800456</v>
      </c>
    </row>
    <row r="50" spans="1:5" s="421" customFormat="1" x14ac:dyDescent="0.2">
      <c r="A50" s="588">
        <v>4</v>
      </c>
      <c r="B50" s="587" t="s">
        <v>115</v>
      </c>
      <c r="C50" s="589">
        <v>34020629</v>
      </c>
      <c r="D50" s="591">
        <v>36206115</v>
      </c>
      <c r="E50" s="590">
        <f t="shared" si="4"/>
        <v>2185486</v>
      </c>
    </row>
    <row r="51" spans="1:5" s="421" customFormat="1" x14ac:dyDescent="0.2">
      <c r="A51" s="588">
        <v>5</v>
      </c>
      <c r="B51" s="587" t="s">
        <v>743</v>
      </c>
      <c r="C51" s="589">
        <v>492200</v>
      </c>
      <c r="D51" s="591">
        <v>107170</v>
      </c>
      <c r="E51" s="590">
        <f t="shared" si="4"/>
        <v>-385030</v>
      </c>
    </row>
    <row r="52" spans="1:5" s="421" customFormat="1" x14ac:dyDescent="0.2">
      <c r="A52" s="588">
        <v>6</v>
      </c>
      <c r="B52" s="587" t="s">
        <v>424</v>
      </c>
      <c r="C52" s="589">
        <v>109681</v>
      </c>
      <c r="D52" s="591">
        <v>154612</v>
      </c>
      <c r="E52" s="590">
        <f t="shared" si="4"/>
        <v>44931</v>
      </c>
    </row>
    <row r="53" spans="1:5" s="421" customFormat="1" x14ac:dyDescent="0.2">
      <c r="A53" s="588">
        <v>7</v>
      </c>
      <c r="B53" s="587" t="s">
        <v>758</v>
      </c>
      <c r="C53" s="589">
        <v>167941</v>
      </c>
      <c r="D53" s="591">
        <v>1347825</v>
      </c>
      <c r="E53" s="590">
        <f t="shared" si="4"/>
        <v>1179884</v>
      </c>
    </row>
    <row r="54" spans="1:5" s="421" customFormat="1" x14ac:dyDescent="0.2">
      <c r="A54" s="588"/>
      <c r="B54" s="592" t="s">
        <v>790</v>
      </c>
      <c r="C54" s="593">
        <f>SUM(C48+C49+C52)</f>
        <v>161551810</v>
      </c>
      <c r="D54" s="593">
        <f>SUM(D48+D49+D52)</f>
        <v>157106506</v>
      </c>
      <c r="E54" s="593">
        <f t="shared" si="4"/>
        <v>-4445304</v>
      </c>
    </row>
    <row r="55" spans="1:5" s="421" customFormat="1" x14ac:dyDescent="0.2">
      <c r="A55" s="588"/>
      <c r="B55" s="592" t="s">
        <v>466</v>
      </c>
      <c r="C55" s="593">
        <f>SUM(C47+C54)</f>
        <v>256665074</v>
      </c>
      <c r="D55" s="593">
        <f>SUM(D47+D54)</f>
        <v>251395249</v>
      </c>
      <c r="E55" s="593">
        <f t="shared" si="4"/>
        <v>-5269825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91977390</v>
      </c>
      <c r="D58" s="589">
        <v>91285443</v>
      </c>
      <c r="E58" s="590">
        <f t="shared" ref="E58:E66" si="5">D58-C58</f>
        <v>-691947</v>
      </c>
    </row>
    <row r="59" spans="1:5" s="421" customFormat="1" x14ac:dyDescent="0.2">
      <c r="A59" s="588">
        <v>2</v>
      </c>
      <c r="B59" s="587" t="s">
        <v>635</v>
      </c>
      <c r="C59" s="589">
        <v>33752723</v>
      </c>
      <c r="D59" s="591">
        <v>36017165</v>
      </c>
      <c r="E59" s="590">
        <f t="shared" si="5"/>
        <v>2264442</v>
      </c>
    </row>
    <row r="60" spans="1:5" s="421" customFormat="1" x14ac:dyDescent="0.2">
      <c r="A60" s="588">
        <v>3</v>
      </c>
      <c r="B60" s="587" t="s">
        <v>777</v>
      </c>
      <c r="C60" s="589">
        <f>C61+C62</f>
        <v>22661095</v>
      </c>
      <c r="D60" s="591">
        <f>D61+D62</f>
        <v>24211020</v>
      </c>
      <c r="E60" s="590">
        <f t="shared" si="5"/>
        <v>1549925</v>
      </c>
    </row>
    <row r="61" spans="1:5" s="421" customFormat="1" x14ac:dyDescent="0.2">
      <c r="A61" s="588">
        <v>4</v>
      </c>
      <c r="B61" s="587" t="s">
        <v>115</v>
      </c>
      <c r="C61" s="589">
        <v>22452103</v>
      </c>
      <c r="D61" s="591">
        <v>24150433</v>
      </c>
      <c r="E61" s="590">
        <f t="shared" si="5"/>
        <v>1698330</v>
      </c>
    </row>
    <row r="62" spans="1:5" s="421" customFormat="1" x14ac:dyDescent="0.2">
      <c r="A62" s="588">
        <v>5</v>
      </c>
      <c r="B62" s="587" t="s">
        <v>743</v>
      </c>
      <c r="C62" s="589">
        <v>208992</v>
      </c>
      <c r="D62" s="591">
        <v>60587</v>
      </c>
      <c r="E62" s="590">
        <f t="shared" si="5"/>
        <v>-148405</v>
      </c>
    </row>
    <row r="63" spans="1:5" s="421" customFormat="1" x14ac:dyDescent="0.2">
      <c r="A63" s="588">
        <v>6</v>
      </c>
      <c r="B63" s="587" t="s">
        <v>424</v>
      </c>
      <c r="C63" s="589">
        <v>42995</v>
      </c>
      <c r="D63" s="591">
        <v>92891</v>
      </c>
      <c r="E63" s="590">
        <f t="shared" si="5"/>
        <v>49896</v>
      </c>
    </row>
    <row r="64" spans="1:5" s="421" customFormat="1" x14ac:dyDescent="0.2">
      <c r="A64" s="588">
        <v>7</v>
      </c>
      <c r="B64" s="587" t="s">
        <v>758</v>
      </c>
      <c r="C64" s="589">
        <v>3298310</v>
      </c>
      <c r="D64" s="591">
        <v>2697891</v>
      </c>
      <c r="E64" s="590">
        <f t="shared" si="5"/>
        <v>-600419</v>
      </c>
    </row>
    <row r="65" spans="1:5" s="421" customFormat="1" x14ac:dyDescent="0.2">
      <c r="A65" s="588"/>
      <c r="B65" s="592" t="s">
        <v>792</v>
      </c>
      <c r="C65" s="593">
        <f>SUM(C59+C60+C63)</f>
        <v>56456813</v>
      </c>
      <c r="D65" s="593">
        <f>SUM(D59+D60+D63)</f>
        <v>60321076</v>
      </c>
      <c r="E65" s="593">
        <f t="shared" si="5"/>
        <v>3864263</v>
      </c>
    </row>
    <row r="66" spans="1:5" s="421" customFormat="1" x14ac:dyDescent="0.2">
      <c r="A66" s="588"/>
      <c r="B66" s="592" t="s">
        <v>468</v>
      </c>
      <c r="C66" s="593">
        <f>SUM(C58+C65)</f>
        <v>148434203</v>
      </c>
      <c r="D66" s="593">
        <f>SUM(D58+D65)</f>
        <v>151606519</v>
      </c>
      <c r="E66" s="593">
        <f t="shared" si="5"/>
        <v>3172316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187090654</v>
      </c>
      <c r="D69" s="590">
        <f t="shared" si="6"/>
        <v>185574186</v>
      </c>
      <c r="E69" s="590">
        <f t="shared" ref="E69:E77" si="7">D69-C69</f>
        <v>-1516468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160682023</v>
      </c>
      <c r="D70" s="590">
        <f t="shared" si="6"/>
        <v>156655774</v>
      </c>
      <c r="E70" s="590">
        <f t="shared" si="7"/>
        <v>-4026249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57173924</v>
      </c>
      <c r="D71" s="590">
        <f t="shared" si="6"/>
        <v>60524305</v>
      </c>
      <c r="E71" s="590">
        <f t="shared" si="7"/>
        <v>3350381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56472732</v>
      </c>
      <c r="D72" s="590">
        <f t="shared" si="6"/>
        <v>60356548</v>
      </c>
      <c r="E72" s="590">
        <f t="shared" si="7"/>
        <v>3883816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701192</v>
      </c>
      <c r="D73" s="590">
        <f t="shared" si="6"/>
        <v>167757</v>
      </c>
      <c r="E73" s="590">
        <f t="shared" si="7"/>
        <v>-533435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152676</v>
      </c>
      <c r="D74" s="590">
        <f t="shared" si="6"/>
        <v>247503</v>
      </c>
      <c r="E74" s="590">
        <f t="shared" si="7"/>
        <v>94827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3466251</v>
      </c>
      <c r="D75" s="590">
        <f t="shared" si="6"/>
        <v>4045716</v>
      </c>
      <c r="E75" s="590">
        <f t="shared" si="7"/>
        <v>579465</v>
      </c>
    </row>
    <row r="76" spans="1:5" s="421" customFormat="1" x14ac:dyDescent="0.2">
      <c r="A76" s="588"/>
      <c r="B76" s="592" t="s">
        <v>793</v>
      </c>
      <c r="C76" s="593">
        <f>SUM(C70+C71+C74)</f>
        <v>218008623</v>
      </c>
      <c r="D76" s="593">
        <f>SUM(D70+D71+D74)</f>
        <v>217427582</v>
      </c>
      <c r="E76" s="593">
        <f t="shared" si="7"/>
        <v>-581041</v>
      </c>
    </row>
    <row r="77" spans="1:5" s="421" customFormat="1" x14ac:dyDescent="0.2">
      <c r="A77" s="588"/>
      <c r="B77" s="592" t="s">
        <v>726</v>
      </c>
      <c r="C77" s="593">
        <f>SUM(C69+C76)</f>
        <v>405099277</v>
      </c>
      <c r="D77" s="593">
        <f>SUM(D69+D76)</f>
        <v>403001768</v>
      </c>
      <c r="E77" s="593">
        <f t="shared" si="7"/>
        <v>-2097509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0.15250848300328709</v>
      </c>
      <c r="D83" s="599">
        <f t="shared" si="8"/>
        <v>0.15731308794106971</v>
      </c>
      <c r="E83" s="599">
        <f t="shared" ref="E83:E91" si="9">D83-C83</f>
        <v>4.8046049377826194E-3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0.36731080551798578</v>
      </c>
      <c r="D84" s="599">
        <f t="shared" si="8"/>
        <v>0.35115142256463838</v>
      </c>
      <c r="E84" s="599">
        <f t="shared" si="9"/>
        <v>-1.6159382953347401E-2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0.11896266806121591</v>
      </c>
      <c r="D85" s="599">
        <f t="shared" si="8"/>
        <v>0.12159206949485486</v>
      </c>
      <c r="E85" s="599">
        <f t="shared" si="9"/>
        <v>2.6294014336389476E-3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0.11794948310841288</v>
      </c>
      <c r="D86" s="599">
        <f t="shared" si="8"/>
        <v>0.1208142596542098</v>
      </c>
      <c r="E86" s="599">
        <f t="shared" si="9"/>
        <v>2.864776545796921E-3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1.0131849528030397E-3</v>
      </c>
      <c r="D87" s="599">
        <f t="shared" si="8"/>
        <v>7.7780984064505147E-4</v>
      </c>
      <c r="E87" s="599">
        <f t="shared" si="9"/>
        <v>-2.3537511215798821E-4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4.9784373248076504E-4</v>
      </c>
      <c r="D88" s="599">
        <f t="shared" si="8"/>
        <v>4.5204578658397047E-4</v>
      </c>
      <c r="E88" s="599">
        <f t="shared" si="9"/>
        <v>-4.5797945896794575E-5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1.8240796954839808E-2</v>
      </c>
      <c r="D89" s="599">
        <f t="shared" si="8"/>
        <v>1.7056393572321443E-2</v>
      </c>
      <c r="E89" s="599">
        <f t="shared" si="9"/>
        <v>-1.1844033825183647E-3</v>
      </c>
    </row>
    <row r="90" spans="1:5" s="421" customFormat="1" x14ac:dyDescent="0.2">
      <c r="A90" s="588"/>
      <c r="B90" s="592" t="s">
        <v>796</v>
      </c>
      <c r="C90" s="600">
        <f>SUM(C84+C85+C88)</f>
        <v>0.48677131731168244</v>
      </c>
      <c r="D90" s="600">
        <f>SUM(D84+D85+D88)</f>
        <v>0.47319553784607721</v>
      </c>
      <c r="E90" s="601">
        <f t="shared" si="9"/>
        <v>-1.3575779465605231E-2</v>
      </c>
    </row>
    <row r="91" spans="1:5" s="421" customFormat="1" x14ac:dyDescent="0.2">
      <c r="A91" s="588"/>
      <c r="B91" s="592" t="s">
        <v>797</v>
      </c>
      <c r="C91" s="600">
        <f>SUM(C83+C90)</f>
        <v>0.63927980031496956</v>
      </c>
      <c r="D91" s="600">
        <f>SUM(D83+D90)</f>
        <v>0.63050862578714695</v>
      </c>
      <c r="E91" s="601">
        <f t="shared" si="9"/>
        <v>-8.7711745278226116E-3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0.16033769197384842</v>
      </c>
      <c r="D95" s="599">
        <f t="shared" si="10"/>
        <v>0.15891159102163244</v>
      </c>
      <c r="E95" s="599">
        <f t="shared" ref="E95:E103" si="11">D95-C95</f>
        <v>-1.4261009522159862E-3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0.11481105054905262</v>
      </c>
      <c r="D96" s="599">
        <f t="shared" si="10"/>
        <v>0.12703027847367476</v>
      </c>
      <c r="E96" s="599">
        <f t="shared" si="11"/>
        <v>1.2219227924622142E-2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8.5203899242849684E-2</v>
      </c>
      <c r="D97" s="599">
        <f t="shared" si="10"/>
        <v>8.3333629947472981E-2</v>
      </c>
      <c r="E97" s="599">
        <f t="shared" si="11"/>
        <v>-1.8702692953767031E-3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8.450691919119821E-2</v>
      </c>
      <c r="D98" s="599">
        <f t="shared" si="10"/>
        <v>8.3193671161838109E-2</v>
      </c>
      <c r="E98" s="599">
        <f t="shared" si="11"/>
        <v>-1.3132480293601007E-3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6.9698005165147068E-4</v>
      </c>
      <c r="D99" s="599">
        <f t="shared" si="10"/>
        <v>1.3995878563486969E-4</v>
      </c>
      <c r="E99" s="599">
        <f t="shared" si="11"/>
        <v>-5.5702126601660099E-4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3.6755791927973959E-4</v>
      </c>
      <c r="D100" s="599">
        <f t="shared" si="10"/>
        <v>2.1587477007289183E-4</v>
      </c>
      <c r="E100" s="599">
        <f t="shared" si="11"/>
        <v>-1.5168314920684776E-4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2.9051271318467898E-2</v>
      </c>
      <c r="D101" s="599">
        <f t="shared" si="10"/>
        <v>2.4983036451101209E-2</v>
      </c>
      <c r="E101" s="599">
        <f t="shared" si="11"/>
        <v>-4.0682348673666893E-3</v>
      </c>
    </row>
    <row r="102" spans="1:5" s="421" customFormat="1" x14ac:dyDescent="0.2">
      <c r="A102" s="588"/>
      <c r="B102" s="592" t="s">
        <v>799</v>
      </c>
      <c r="C102" s="600">
        <f>SUM(C96+C97+C100)</f>
        <v>0.20038250771118205</v>
      </c>
      <c r="D102" s="600">
        <f>SUM(D96+D97+D100)</f>
        <v>0.21057978319122064</v>
      </c>
      <c r="E102" s="601">
        <f t="shared" si="11"/>
        <v>1.0197275480038598E-2</v>
      </c>
    </row>
    <row r="103" spans="1:5" s="421" customFormat="1" x14ac:dyDescent="0.2">
      <c r="A103" s="588"/>
      <c r="B103" s="592" t="s">
        <v>800</v>
      </c>
      <c r="C103" s="600">
        <f>SUM(C95+C102)</f>
        <v>0.36072019968503044</v>
      </c>
      <c r="D103" s="600">
        <f>SUM(D95+D102)</f>
        <v>0.36949137421285305</v>
      </c>
      <c r="E103" s="601">
        <f t="shared" si="11"/>
        <v>8.7711745278226116E-3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0.23479001173334604</v>
      </c>
      <c r="D109" s="599">
        <f t="shared" si="12"/>
        <v>0.23396607778653716</v>
      </c>
      <c r="E109" s="599">
        <f t="shared" ref="E109:E117" si="13">D109-C109</f>
        <v>-8.2393394680888021E-4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0.31332887320852959</v>
      </c>
      <c r="D110" s="599">
        <f t="shared" si="12"/>
        <v>0.299350073819031</v>
      </c>
      <c r="E110" s="599">
        <f t="shared" si="13"/>
        <v>-1.3978799389498586E-2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8.519597777509734E-2</v>
      </c>
      <c r="D111" s="599">
        <f t="shared" si="12"/>
        <v>9.0107011639710716E-2</v>
      </c>
      <c r="E111" s="599">
        <f t="shared" si="13"/>
        <v>4.9110338646133761E-3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8.3980966966771459E-2</v>
      </c>
      <c r="D112" s="599">
        <f t="shared" si="12"/>
        <v>8.9841082285276722E-2</v>
      </c>
      <c r="E112" s="599">
        <f t="shared" si="13"/>
        <v>5.8601153185052629E-3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1.2150108083258811E-3</v>
      </c>
      <c r="D113" s="599">
        <f t="shared" si="12"/>
        <v>2.6592935443399841E-4</v>
      </c>
      <c r="E113" s="599">
        <f t="shared" si="13"/>
        <v>-9.4908145389188269E-4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2.7075091521330954E-4</v>
      </c>
      <c r="D114" s="599">
        <f t="shared" si="12"/>
        <v>3.8365092234533322E-4</v>
      </c>
      <c r="E114" s="599">
        <f t="shared" si="13"/>
        <v>1.1290000713202368E-4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4.1456751353323201E-4</v>
      </c>
      <c r="D115" s="599">
        <f t="shared" si="12"/>
        <v>3.3444642357003257E-3</v>
      </c>
      <c r="E115" s="599">
        <f t="shared" si="13"/>
        <v>2.9298967221670939E-3</v>
      </c>
    </row>
    <row r="116" spans="1:5" s="421" customFormat="1" x14ac:dyDescent="0.2">
      <c r="A116" s="588"/>
      <c r="B116" s="592" t="s">
        <v>796</v>
      </c>
      <c r="C116" s="600">
        <f>SUM(C110+C111+C114)</f>
        <v>0.39879560189884028</v>
      </c>
      <c r="D116" s="600">
        <f>SUM(D110+D111+D114)</f>
        <v>0.38984073638108702</v>
      </c>
      <c r="E116" s="601">
        <f t="shared" si="13"/>
        <v>-8.9548655177532632E-3</v>
      </c>
    </row>
    <row r="117" spans="1:5" s="421" customFormat="1" x14ac:dyDescent="0.2">
      <c r="A117" s="588"/>
      <c r="B117" s="592" t="s">
        <v>797</v>
      </c>
      <c r="C117" s="600">
        <f>SUM(C109+C116)</f>
        <v>0.63358561363218635</v>
      </c>
      <c r="D117" s="600">
        <f>SUM(D109+D116)</f>
        <v>0.62380681416762418</v>
      </c>
      <c r="E117" s="601">
        <f t="shared" si="13"/>
        <v>-9.7787994645621712E-3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0.2270490105071207</v>
      </c>
      <c r="D121" s="599">
        <f t="shared" si="14"/>
        <v>0.22651375316050723</v>
      </c>
      <c r="E121" s="599">
        <f t="shared" ref="E121:E129" si="15">D121-C121</f>
        <v>-5.3525734661347135E-4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8.3319632782262412E-2</v>
      </c>
      <c r="D122" s="599">
        <f t="shared" si="14"/>
        <v>8.937222578140154E-2</v>
      </c>
      <c r="E122" s="599">
        <f t="shared" si="15"/>
        <v>6.0525929991391281E-3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5.5939608601177533E-2</v>
      </c>
      <c r="D123" s="599">
        <f t="shared" si="14"/>
        <v>6.0076709142377754E-2</v>
      </c>
      <c r="E123" s="599">
        <f t="shared" si="15"/>
        <v>4.1371005412002212E-3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5.5423705434063268E-2</v>
      </c>
      <c r="D124" s="599">
        <f t="shared" si="14"/>
        <v>5.9926369851558567E-2</v>
      </c>
      <c r="E124" s="599">
        <f t="shared" si="15"/>
        <v>4.5026644174952987E-3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5.1590316711426769E-4</v>
      </c>
      <c r="D125" s="599">
        <f t="shared" si="14"/>
        <v>1.5033929081919065E-4</v>
      </c>
      <c r="E125" s="599">
        <f t="shared" si="15"/>
        <v>-3.6556387629507704E-4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1.0613447725309072E-4</v>
      </c>
      <c r="D126" s="599">
        <f t="shared" si="14"/>
        <v>2.3049774808928382E-4</v>
      </c>
      <c r="E126" s="599">
        <f t="shared" si="15"/>
        <v>1.243632708361931E-4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8.1419794782798382E-3</v>
      </c>
      <c r="D127" s="599">
        <f t="shared" si="14"/>
        <v>6.6944892410496816E-3</v>
      </c>
      <c r="E127" s="599">
        <f t="shared" si="15"/>
        <v>-1.4474902372301566E-3</v>
      </c>
    </row>
    <row r="128" spans="1:5" s="421" customFormat="1" x14ac:dyDescent="0.2">
      <c r="A128" s="588"/>
      <c r="B128" s="592" t="s">
        <v>799</v>
      </c>
      <c r="C128" s="600">
        <f>SUM(C122+C123+C126)</f>
        <v>0.13936537586069303</v>
      </c>
      <c r="D128" s="600">
        <f>SUM(D122+D123+D126)</f>
        <v>0.14967943267186859</v>
      </c>
      <c r="E128" s="601">
        <f t="shared" si="15"/>
        <v>1.0314056811175559E-2</v>
      </c>
    </row>
    <row r="129" spans="1:5" s="421" customFormat="1" x14ac:dyDescent="0.2">
      <c r="A129" s="588"/>
      <c r="B129" s="592" t="s">
        <v>800</v>
      </c>
      <c r="C129" s="600">
        <f>SUM(C121+C128)</f>
        <v>0.36641438636781376</v>
      </c>
      <c r="D129" s="600">
        <f>SUM(D121+D128)</f>
        <v>0.37619318583237582</v>
      </c>
      <c r="E129" s="601">
        <f t="shared" si="15"/>
        <v>9.7787994645620602E-3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6023</v>
      </c>
      <c r="D137" s="606">
        <v>5420</v>
      </c>
      <c r="E137" s="607">
        <f t="shared" ref="E137:E145" si="16">D137-C137</f>
        <v>-603</v>
      </c>
    </row>
    <row r="138" spans="1:5" s="421" customFormat="1" x14ac:dyDescent="0.2">
      <c r="A138" s="588">
        <v>2</v>
      </c>
      <c r="B138" s="587" t="s">
        <v>635</v>
      </c>
      <c r="C138" s="606">
        <v>9550</v>
      </c>
      <c r="D138" s="606">
        <v>8674</v>
      </c>
      <c r="E138" s="607">
        <f t="shared" si="16"/>
        <v>-876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4721</v>
      </c>
      <c r="D139" s="606">
        <f>D140+D141</f>
        <v>4589</v>
      </c>
      <c r="E139" s="607">
        <f t="shared" si="16"/>
        <v>-132</v>
      </c>
    </row>
    <row r="140" spans="1:5" s="421" customFormat="1" x14ac:dyDescent="0.2">
      <c r="A140" s="588">
        <v>4</v>
      </c>
      <c r="B140" s="587" t="s">
        <v>115</v>
      </c>
      <c r="C140" s="606">
        <v>4685</v>
      </c>
      <c r="D140" s="606">
        <v>4548</v>
      </c>
      <c r="E140" s="607">
        <f t="shared" si="16"/>
        <v>-137</v>
      </c>
    </row>
    <row r="141" spans="1:5" s="421" customFormat="1" x14ac:dyDescent="0.2">
      <c r="A141" s="588">
        <v>5</v>
      </c>
      <c r="B141" s="587" t="s">
        <v>743</v>
      </c>
      <c r="C141" s="606">
        <v>36</v>
      </c>
      <c r="D141" s="606">
        <v>41</v>
      </c>
      <c r="E141" s="607">
        <f t="shared" si="16"/>
        <v>5</v>
      </c>
    </row>
    <row r="142" spans="1:5" s="421" customFormat="1" x14ac:dyDescent="0.2">
      <c r="A142" s="588">
        <v>6</v>
      </c>
      <c r="B142" s="587" t="s">
        <v>424</v>
      </c>
      <c r="C142" s="606">
        <v>30</v>
      </c>
      <c r="D142" s="606">
        <v>28</v>
      </c>
      <c r="E142" s="607">
        <f t="shared" si="16"/>
        <v>-2</v>
      </c>
    </row>
    <row r="143" spans="1:5" s="421" customFormat="1" x14ac:dyDescent="0.2">
      <c r="A143" s="588">
        <v>7</v>
      </c>
      <c r="B143" s="587" t="s">
        <v>758</v>
      </c>
      <c r="C143" s="606">
        <v>793</v>
      </c>
      <c r="D143" s="606">
        <v>584</v>
      </c>
      <c r="E143" s="607">
        <f t="shared" si="16"/>
        <v>-209</v>
      </c>
    </row>
    <row r="144" spans="1:5" s="421" customFormat="1" x14ac:dyDescent="0.2">
      <c r="A144" s="588"/>
      <c r="B144" s="592" t="s">
        <v>807</v>
      </c>
      <c r="C144" s="608">
        <f>SUM(C138+C139+C142)</f>
        <v>14301</v>
      </c>
      <c r="D144" s="608">
        <f>SUM(D138+D139+D142)</f>
        <v>13291</v>
      </c>
      <c r="E144" s="609">
        <f t="shared" si="16"/>
        <v>-1010</v>
      </c>
    </row>
    <row r="145" spans="1:5" s="421" customFormat="1" x14ac:dyDescent="0.2">
      <c r="A145" s="588"/>
      <c r="B145" s="592" t="s">
        <v>138</v>
      </c>
      <c r="C145" s="608">
        <f>SUM(C137+C144)</f>
        <v>20324</v>
      </c>
      <c r="D145" s="608">
        <f>SUM(D137+D144)</f>
        <v>18711</v>
      </c>
      <c r="E145" s="609">
        <f t="shared" si="16"/>
        <v>-1613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27434</v>
      </c>
      <c r="D149" s="610">
        <v>24995</v>
      </c>
      <c r="E149" s="607">
        <f t="shared" ref="E149:E157" si="17">D149-C149</f>
        <v>-2439</v>
      </c>
    </row>
    <row r="150" spans="1:5" s="421" customFormat="1" x14ac:dyDescent="0.2">
      <c r="A150" s="588">
        <v>2</v>
      </c>
      <c r="B150" s="587" t="s">
        <v>635</v>
      </c>
      <c r="C150" s="610">
        <v>64221</v>
      </c>
      <c r="D150" s="610">
        <v>57146</v>
      </c>
      <c r="E150" s="607">
        <f t="shared" si="17"/>
        <v>-7075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28809</v>
      </c>
      <c r="D151" s="610">
        <f>D152+D153</f>
        <v>28498</v>
      </c>
      <c r="E151" s="607">
        <f t="shared" si="17"/>
        <v>-311</v>
      </c>
    </row>
    <row r="152" spans="1:5" s="421" customFormat="1" x14ac:dyDescent="0.2">
      <c r="A152" s="588">
        <v>4</v>
      </c>
      <c r="B152" s="587" t="s">
        <v>115</v>
      </c>
      <c r="C152" s="610">
        <v>28549</v>
      </c>
      <c r="D152" s="610">
        <v>28260</v>
      </c>
      <c r="E152" s="607">
        <f t="shared" si="17"/>
        <v>-289</v>
      </c>
    </row>
    <row r="153" spans="1:5" s="421" customFormat="1" x14ac:dyDescent="0.2">
      <c r="A153" s="588">
        <v>5</v>
      </c>
      <c r="B153" s="587" t="s">
        <v>743</v>
      </c>
      <c r="C153" s="611">
        <v>260</v>
      </c>
      <c r="D153" s="610">
        <v>238</v>
      </c>
      <c r="E153" s="607">
        <f t="shared" si="17"/>
        <v>-22</v>
      </c>
    </row>
    <row r="154" spans="1:5" s="421" customFormat="1" x14ac:dyDescent="0.2">
      <c r="A154" s="588">
        <v>6</v>
      </c>
      <c r="B154" s="587" t="s">
        <v>424</v>
      </c>
      <c r="C154" s="610">
        <v>110</v>
      </c>
      <c r="D154" s="610">
        <v>117</v>
      </c>
      <c r="E154" s="607">
        <f t="shared" si="17"/>
        <v>7</v>
      </c>
    </row>
    <row r="155" spans="1:5" s="421" customFormat="1" x14ac:dyDescent="0.2">
      <c r="A155" s="588">
        <v>7</v>
      </c>
      <c r="B155" s="587" t="s">
        <v>758</v>
      </c>
      <c r="C155" s="610">
        <v>4263</v>
      </c>
      <c r="D155" s="610">
        <v>3329</v>
      </c>
      <c r="E155" s="607">
        <f t="shared" si="17"/>
        <v>-934</v>
      </c>
    </row>
    <row r="156" spans="1:5" s="421" customFormat="1" x14ac:dyDescent="0.2">
      <c r="A156" s="588"/>
      <c r="B156" s="592" t="s">
        <v>808</v>
      </c>
      <c r="C156" s="608">
        <f>SUM(C150+C151+C154)</f>
        <v>93140</v>
      </c>
      <c r="D156" s="608">
        <f>SUM(D150+D151+D154)</f>
        <v>85761</v>
      </c>
      <c r="E156" s="609">
        <f t="shared" si="17"/>
        <v>-7379</v>
      </c>
    </row>
    <row r="157" spans="1:5" s="421" customFormat="1" x14ac:dyDescent="0.2">
      <c r="A157" s="588"/>
      <c r="B157" s="592" t="s">
        <v>140</v>
      </c>
      <c r="C157" s="608">
        <f>SUM(C149+C156)</f>
        <v>120574</v>
      </c>
      <c r="D157" s="608">
        <f>SUM(D149+D156)</f>
        <v>110756</v>
      </c>
      <c r="E157" s="609">
        <f t="shared" si="17"/>
        <v>-9818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4.5548729868836126</v>
      </c>
      <c r="D161" s="612">
        <f t="shared" si="18"/>
        <v>4.6116236162361623</v>
      </c>
      <c r="E161" s="613">
        <f t="shared" ref="E161:E169" si="19">D161-C161</f>
        <v>5.6750629352549709E-2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6.7247120418848167</v>
      </c>
      <c r="D162" s="612">
        <f t="shared" si="18"/>
        <v>6.5881946045653681</v>
      </c>
      <c r="E162" s="613">
        <f t="shared" si="19"/>
        <v>-0.13651743731944865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6.1023088328743906</v>
      </c>
      <c r="D163" s="612">
        <f t="shared" si="18"/>
        <v>6.210067552843757</v>
      </c>
      <c r="E163" s="613">
        <f t="shared" si="19"/>
        <v>0.10775871996936637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6.0937033084311629</v>
      </c>
      <c r="D164" s="612">
        <f t="shared" si="18"/>
        <v>6.2137203166226911</v>
      </c>
      <c r="E164" s="613">
        <f t="shared" si="19"/>
        <v>0.12001700819152816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7.2222222222222223</v>
      </c>
      <c r="D165" s="612">
        <f t="shared" si="18"/>
        <v>5.8048780487804876</v>
      </c>
      <c r="E165" s="613">
        <f t="shared" si="19"/>
        <v>-1.4173441734417347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3.6666666666666665</v>
      </c>
      <c r="D166" s="612">
        <f t="shared" si="18"/>
        <v>4.1785714285714288</v>
      </c>
      <c r="E166" s="613">
        <f t="shared" si="19"/>
        <v>0.51190476190476231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5.3757881462799499</v>
      </c>
      <c r="D167" s="612">
        <f t="shared" si="18"/>
        <v>5.7003424657534243</v>
      </c>
      <c r="E167" s="613">
        <f t="shared" si="19"/>
        <v>0.32455431947347435</v>
      </c>
    </row>
    <row r="168" spans="1:5" s="421" customFormat="1" x14ac:dyDescent="0.2">
      <c r="A168" s="588"/>
      <c r="B168" s="592" t="s">
        <v>810</v>
      </c>
      <c r="C168" s="614">
        <f t="shared" si="18"/>
        <v>6.5128312705405218</v>
      </c>
      <c r="D168" s="614">
        <f t="shared" si="18"/>
        <v>6.4525618839816419</v>
      </c>
      <c r="E168" s="615">
        <f t="shared" si="19"/>
        <v>-6.0269386558879923E-2</v>
      </c>
    </row>
    <row r="169" spans="1:5" s="421" customFormat="1" x14ac:dyDescent="0.2">
      <c r="A169" s="588"/>
      <c r="B169" s="592" t="s">
        <v>744</v>
      </c>
      <c r="C169" s="614">
        <f t="shared" si="18"/>
        <v>5.9325920094469593</v>
      </c>
      <c r="D169" s="614">
        <f t="shared" si="18"/>
        <v>5.9192988081876967</v>
      </c>
      <c r="E169" s="615">
        <f t="shared" si="19"/>
        <v>-1.3293201259262588E-2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1.2766</v>
      </c>
      <c r="D173" s="617">
        <f t="shared" si="20"/>
        <v>1.3435999999999999</v>
      </c>
      <c r="E173" s="618">
        <f t="shared" ref="E173:E181" si="21">D173-C173</f>
        <v>6.6999999999999948E-2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1.5337000000000001</v>
      </c>
      <c r="D174" s="617">
        <f t="shared" si="20"/>
        <v>1.5561</v>
      </c>
      <c r="E174" s="618">
        <f t="shared" si="21"/>
        <v>2.2399999999999975E-2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1.0392313492904046</v>
      </c>
      <c r="D175" s="617">
        <f t="shared" si="20"/>
        <v>1.0763147744606669</v>
      </c>
      <c r="E175" s="618">
        <f t="shared" si="21"/>
        <v>3.7083425170262307E-2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1.04</v>
      </c>
      <c r="D176" s="617">
        <f t="shared" si="20"/>
        <v>1.0742</v>
      </c>
      <c r="E176" s="618">
        <f t="shared" si="21"/>
        <v>3.4200000000000008E-2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0.93920000000000003</v>
      </c>
      <c r="D177" s="617">
        <f t="shared" si="20"/>
        <v>1.3109</v>
      </c>
      <c r="E177" s="618">
        <f t="shared" si="21"/>
        <v>0.37169999999999992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0.99129999999999996</v>
      </c>
      <c r="D178" s="617">
        <f t="shared" si="20"/>
        <v>0.84150000000000003</v>
      </c>
      <c r="E178" s="618">
        <f t="shared" si="21"/>
        <v>-0.14979999999999993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1.0913999999999999</v>
      </c>
      <c r="D179" s="617">
        <f t="shared" si="20"/>
        <v>1.1977</v>
      </c>
      <c r="E179" s="618">
        <f t="shared" si="21"/>
        <v>0.10630000000000006</v>
      </c>
    </row>
    <row r="180" spans="1:5" s="421" customFormat="1" x14ac:dyDescent="0.2">
      <c r="A180" s="588"/>
      <c r="B180" s="592" t="s">
        <v>812</v>
      </c>
      <c r="C180" s="619">
        <f t="shared" si="20"/>
        <v>1.3693297811341865</v>
      </c>
      <c r="D180" s="619">
        <f t="shared" si="20"/>
        <v>1.3889385223083293</v>
      </c>
      <c r="E180" s="620">
        <f t="shared" si="21"/>
        <v>1.9608741174142796E-2</v>
      </c>
    </row>
    <row r="181" spans="1:5" s="421" customFormat="1" x14ac:dyDescent="0.2">
      <c r="A181" s="588"/>
      <c r="B181" s="592" t="s">
        <v>723</v>
      </c>
      <c r="C181" s="619">
        <f t="shared" si="20"/>
        <v>1.3418493898838812</v>
      </c>
      <c r="D181" s="619">
        <f t="shared" si="20"/>
        <v>1.3758053497942391</v>
      </c>
      <c r="E181" s="620">
        <f t="shared" si="21"/>
        <v>3.3955959910357825E-2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814</v>
      </c>
      <c r="C185" s="589">
        <v>349570952</v>
      </c>
      <c r="D185" s="589">
        <v>328772437</v>
      </c>
      <c r="E185" s="590">
        <f>D185-C185</f>
        <v>-20798515</v>
      </c>
    </row>
    <row r="186" spans="1:5" s="421" customFormat="1" ht="25.5" x14ac:dyDescent="0.2">
      <c r="A186" s="588">
        <v>2</v>
      </c>
      <c r="B186" s="587" t="s">
        <v>815</v>
      </c>
      <c r="C186" s="589">
        <v>205239440</v>
      </c>
      <c r="D186" s="589">
        <v>181528473</v>
      </c>
      <c r="E186" s="590">
        <f>D186-C186</f>
        <v>-23710967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144331512</v>
      </c>
      <c r="D188" s="622">
        <f>+D185-D186</f>
        <v>147243964</v>
      </c>
      <c r="E188" s="590">
        <f t="shared" ref="E188:E197" si="22">D188-C188</f>
        <v>2912452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0.4128818804143658</v>
      </c>
      <c r="D189" s="623">
        <f>IF(D185=0,0,+D188/D185)</f>
        <v>0.44785981861368751</v>
      </c>
      <c r="E189" s="599">
        <f t="shared" si="22"/>
        <v>3.4977938199321712E-2</v>
      </c>
    </row>
    <row r="190" spans="1:5" s="421" customFormat="1" x14ac:dyDescent="0.2">
      <c r="A190" s="588">
        <v>5</v>
      </c>
      <c r="B190" s="587" t="s">
        <v>762</v>
      </c>
      <c r="C190" s="589">
        <v>23556144</v>
      </c>
      <c r="D190" s="589">
        <v>19559565</v>
      </c>
      <c r="E190" s="622">
        <f t="shared" si="22"/>
        <v>-3996579</v>
      </c>
    </row>
    <row r="191" spans="1:5" s="421" customFormat="1" x14ac:dyDescent="0.2">
      <c r="A191" s="588">
        <v>6</v>
      </c>
      <c r="B191" s="587" t="s">
        <v>748</v>
      </c>
      <c r="C191" s="589">
        <v>15759908</v>
      </c>
      <c r="D191" s="589">
        <v>3054381</v>
      </c>
      <c r="E191" s="622">
        <f t="shared" si="22"/>
        <v>-12705527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14991000</v>
      </c>
      <c r="D193" s="589">
        <v>17249000</v>
      </c>
      <c r="E193" s="622">
        <f t="shared" si="22"/>
        <v>2258000</v>
      </c>
    </row>
    <row r="194" spans="1:5" s="421" customFormat="1" x14ac:dyDescent="0.2">
      <c r="A194" s="588">
        <v>9</v>
      </c>
      <c r="B194" s="587" t="s">
        <v>818</v>
      </c>
      <c r="C194" s="589">
        <v>25817000</v>
      </c>
      <c r="D194" s="589">
        <v>30938000</v>
      </c>
      <c r="E194" s="622">
        <f t="shared" si="22"/>
        <v>5121000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40808000</v>
      </c>
      <c r="D195" s="589">
        <f>+D193+D194</f>
        <v>48187000</v>
      </c>
      <c r="E195" s="625">
        <f t="shared" si="22"/>
        <v>7379000</v>
      </c>
    </row>
    <row r="196" spans="1:5" s="421" customFormat="1" x14ac:dyDescent="0.2">
      <c r="A196" s="588">
        <v>11</v>
      </c>
      <c r="B196" s="587" t="s">
        <v>820</v>
      </c>
      <c r="C196" s="589">
        <v>15967000</v>
      </c>
      <c r="D196" s="589">
        <v>20648000</v>
      </c>
      <c r="E196" s="622">
        <f t="shared" si="22"/>
        <v>4681000</v>
      </c>
    </row>
    <row r="197" spans="1:5" s="421" customFormat="1" x14ac:dyDescent="0.2">
      <c r="A197" s="588">
        <v>12</v>
      </c>
      <c r="B197" s="587" t="s">
        <v>710</v>
      </c>
      <c r="C197" s="589">
        <v>394491000</v>
      </c>
      <c r="D197" s="589">
        <v>398392000</v>
      </c>
      <c r="E197" s="622">
        <f t="shared" si="22"/>
        <v>3901000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7688.9618</v>
      </c>
      <c r="D203" s="629">
        <v>7282.3119999999999</v>
      </c>
      <c r="E203" s="630">
        <f t="shared" ref="E203:E211" si="23">D203-C203</f>
        <v>-406.64980000000014</v>
      </c>
    </row>
    <row r="204" spans="1:5" s="421" customFormat="1" x14ac:dyDescent="0.2">
      <c r="A204" s="588">
        <v>2</v>
      </c>
      <c r="B204" s="587" t="s">
        <v>635</v>
      </c>
      <c r="C204" s="629">
        <v>14646.835000000001</v>
      </c>
      <c r="D204" s="629">
        <v>13497.6114</v>
      </c>
      <c r="E204" s="630">
        <f t="shared" si="23"/>
        <v>-1149.2236000000012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4906.2112000000006</v>
      </c>
      <c r="D205" s="629">
        <f>D206+D207</f>
        <v>4939.2085000000006</v>
      </c>
      <c r="E205" s="630">
        <f t="shared" si="23"/>
        <v>32.997299999999996</v>
      </c>
    </row>
    <row r="206" spans="1:5" s="421" customFormat="1" x14ac:dyDescent="0.2">
      <c r="A206" s="588">
        <v>4</v>
      </c>
      <c r="B206" s="587" t="s">
        <v>115</v>
      </c>
      <c r="C206" s="629">
        <v>4872.4000000000005</v>
      </c>
      <c r="D206" s="629">
        <v>4885.4616000000005</v>
      </c>
      <c r="E206" s="630">
        <f t="shared" si="23"/>
        <v>13.061599999999999</v>
      </c>
    </row>
    <row r="207" spans="1:5" s="421" customFormat="1" x14ac:dyDescent="0.2">
      <c r="A207" s="588">
        <v>5</v>
      </c>
      <c r="B207" s="587" t="s">
        <v>743</v>
      </c>
      <c r="C207" s="629">
        <v>33.811199999999999</v>
      </c>
      <c r="D207" s="629">
        <v>53.746899999999997</v>
      </c>
      <c r="E207" s="630">
        <f t="shared" si="23"/>
        <v>19.935699999999997</v>
      </c>
    </row>
    <row r="208" spans="1:5" s="421" customFormat="1" x14ac:dyDescent="0.2">
      <c r="A208" s="588">
        <v>6</v>
      </c>
      <c r="B208" s="587" t="s">
        <v>424</v>
      </c>
      <c r="C208" s="629">
        <v>29.738999999999997</v>
      </c>
      <c r="D208" s="629">
        <v>23.562000000000001</v>
      </c>
      <c r="E208" s="630">
        <f t="shared" si="23"/>
        <v>-6.176999999999996</v>
      </c>
    </row>
    <row r="209" spans="1:5" s="421" customFormat="1" x14ac:dyDescent="0.2">
      <c r="A209" s="588">
        <v>7</v>
      </c>
      <c r="B209" s="587" t="s">
        <v>758</v>
      </c>
      <c r="C209" s="629">
        <v>865.48019999999997</v>
      </c>
      <c r="D209" s="629">
        <v>699.45680000000004</v>
      </c>
      <c r="E209" s="630">
        <f t="shared" si="23"/>
        <v>-166.02339999999992</v>
      </c>
    </row>
    <row r="210" spans="1:5" s="421" customFormat="1" x14ac:dyDescent="0.2">
      <c r="A210" s="588"/>
      <c r="B210" s="592" t="s">
        <v>823</v>
      </c>
      <c r="C210" s="631">
        <f>C204+C205+C208</f>
        <v>19582.785200000002</v>
      </c>
      <c r="D210" s="631">
        <f>D204+D205+D208</f>
        <v>18460.381900000004</v>
      </c>
      <c r="E210" s="632">
        <f t="shared" si="23"/>
        <v>-1122.4032999999981</v>
      </c>
    </row>
    <row r="211" spans="1:5" s="421" customFormat="1" x14ac:dyDescent="0.2">
      <c r="A211" s="588"/>
      <c r="B211" s="592" t="s">
        <v>724</v>
      </c>
      <c r="C211" s="631">
        <f>C210+C203</f>
        <v>27271.747000000003</v>
      </c>
      <c r="D211" s="631">
        <f>D210+D203</f>
        <v>25742.693900000006</v>
      </c>
      <c r="E211" s="632">
        <f t="shared" si="23"/>
        <v>-1529.0530999999974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6332.1980505023739</v>
      </c>
      <c r="D215" s="633">
        <f>IF(D14*D137=0,0,D25/D14*D137)</f>
        <v>5475.0741633137068</v>
      </c>
      <c r="E215" s="633">
        <f t="shared" ref="E215:E223" si="24">D215-C215</f>
        <v>-857.12388718866714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2985.0620136187745</v>
      </c>
      <c r="D216" s="633">
        <f>IF(D15*D138=0,0,D26/D15*D138)</f>
        <v>3137.8504106097685</v>
      </c>
      <c r="E216" s="633">
        <f t="shared" si="24"/>
        <v>152.78839699099399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3381.412927827681</v>
      </c>
      <c r="D217" s="633">
        <f>D218+D219</f>
        <v>3139.1669124435239</v>
      </c>
      <c r="E217" s="633">
        <f t="shared" si="24"/>
        <v>-242.24601538415709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3356.648168155682</v>
      </c>
      <c r="D218" s="633">
        <f t="shared" si="25"/>
        <v>3131.7893891580497</v>
      </c>
      <c r="E218" s="633">
        <f t="shared" si="24"/>
        <v>-224.85877899763227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24.764759671999016</v>
      </c>
      <c r="D219" s="633">
        <f t="shared" si="25"/>
        <v>7.377523285473961</v>
      </c>
      <c r="E219" s="633">
        <f t="shared" si="24"/>
        <v>-17.387236386525053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22.148993467178425</v>
      </c>
      <c r="D220" s="633">
        <f t="shared" si="25"/>
        <v>13.371418872672463</v>
      </c>
      <c r="E220" s="633">
        <f t="shared" si="24"/>
        <v>-8.7775745945059622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1262.9743213841591</v>
      </c>
      <c r="D221" s="633">
        <f t="shared" si="25"/>
        <v>855.40317919958363</v>
      </c>
      <c r="E221" s="633">
        <f t="shared" si="24"/>
        <v>-407.57114218457548</v>
      </c>
    </row>
    <row r="222" spans="1:5" s="421" customFormat="1" x14ac:dyDescent="0.2">
      <c r="A222" s="588"/>
      <c r="B222" s="592" t="s">
        <v>825</v>
      </c>
      <c r="C222" s="634">
        <f>C216+C218+C219+C220</f>
        <v>6388.623934913634</v>
      </c>
      <c r="D222" s="634">
        <f>D216+D218+D219+D220</f>
        <v>6290.3887419259645</v>
      </c>
      <c r="E222" s="634">
        <f t="shared" si="24"/>
        <v>-98.235192987669507</v>
      </c>
    </row>
    <row r="223" spans="1:5" s="421" customFormat="1" x14ac:dyDescent="0.2">
      <c r="A223" s="588"/>
      <c r="B223" s="592" t="s">
        <v>826</v>
      </c>
      <c r="C223" s="634">
        <f>C215+C222</f>
        <v>12720.821985416009</v>
      </c>
      <c r="D223" s="634">
        <f>D215+D222</f>
        <v>11765.46290523967</v>
      </c>
      <c r="E223" s="634">
        <f t="shared" si="24"/>
        <v>-955.35908017633847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12370.104895045779</v>
      </c>
      <c r="D227" s="636">
        <f t="shared" si="26"/>
        <v>12947.638469760703</v>
      </c>
      <c r="E227" s="636">
        <f t="shared" ref="E227:E235" si="27">D227-C227</f>
        <v>577.53357471492382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8665.9882493385085</v>
      </c>
      <c r="D228" s="636">
        <f t="shared" si="26"/>
        <v>8937.7746495205811</v>
      </c>
      <c r="E228" s="636">
        <f t="shared" si="27"/>
        <v>271.78640018207261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7034.5175927200189</v>
      </c>
      <c r="D229" s="636">
        <f t="shared" si="26"/>
        <v>7352.045373261727</v>
      </c>
      <c r="E229" s="636">
        <f t="shared" si="27"/>
        <v>317.52778054170813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6982.3144651506436</v>
      </c>
      <c r="D230" s="636">
        <f t="shared" si="26"/>
        <v>7410.9916246194616</v>
      </c>
      <c r="E230" s="636">
        <f t="shared" si="27"/>
        <v>428.67715946881799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14557.30645466591</v>
      </c>
      <c r="D231" s="636">
        <f t="shared" si="26"/>
        <v>1993.975466492021</v>
      </c>
      <c r="E231" s="636">
        <f t="shared" si="27"/>
        <v>-12563.33098817389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3688.1199771344031</v>
      </c>
      <c r="D232" s="636">
        <f t="shared" si="26"/>
        <v>6561.921738392326</v>
      </c>
      <c r="E232" s="636">
        <f t="shared" si="27"/>
        <v>2873.8017612579229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194.04372277956216</v>
      </c>
      <c r="D233" s="636">
        <f t="shared" si="26"/>
        <v>1926.9596063688277</v>
      </c>
      <c r="E233" s="636">
        <f t="shared" si="27"/>
        <v>1732.9158835892656</v>
      </c>
    </row>
    <row r="234" spans="1:5" x14ac:dyDescent="0.2">
      <c r="A234" s="588"/>
      <c r="B234" s="592" t="s">
        <v>828</v>
      </c>
      <c r="C234" s="637">
        <f t="shared" si="26"/>
        <v>8249.6850345884395</v>
      </c>
      <c r="D234" s="637">
        <f t="shared" si="26"/>
        <v>8510.4688977209062</v>
      </c>
      <c r="E234" s="637">
        <f t="shared" si="27"/>
        <v>260.78386313246665</v>
      </c>
    </row>
    <row r="235" spans="1:5" s="421" customFormat="1" x14ac:dyDescent="0.2">
      <c r="A235" s="588"/>
      <c r="B235" s="592" t="s">
        <v>829</v>
      </c>
      <c r="C235" s="637">
        <f t="shared" si="26"/>
        <v>9411.3909900968192</v>
      </c>
      <c r="D235" s="637">
        <f t="shared" si="26"/>
        <v>9765.6931312849101</v>
      </c>
      <c r="E235" s="637">
        <f t="shared" si="27"/>
        <v>354.3021411880909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14525.34953367462</v>
      </c>
      <c r="D239" s="636">
        <f t="shared" si="28"/>
        <v>16672.914425829596</v>
      </c>
      <c r="E239" s="638">
        <f t="shared" ref="E239:E247" si="29">D239-C239</f>
        <v>2147.5648921549764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11307.209982911463</v>
      </c>
      <c r="D240" s="636">
        <f t="shared" si="28"/>
        <v>11478.292552831064</v>
      </c>
      <c r="E240" s="638">
        <f t="shared" si="29"/>
        <v>171.08256991960116</v>
      </c>
    </row>
    <row r="241" spans="1:5" x14ac:dyDescent="0.2">
      <c r="A241" s="588">
        <v>3</v>
      </c>
      <c r="B241" s="587" t="s">
        <v>777</v>
      </c>
      <c r="C241" s="636">
        <f t="shared" si="28"/>
        <v>6701.664506428132</v>
      </c>
      <c r="D241" s="636">
        <f t="shared" si="28"/>
        <v>7712.5621782099415</v>
      </c>
      <c r="E241" s="638">
        <f t="shared" si="29"/>
        <v>1010.8976717818095</v>
      </c>
    </row>
    <row r="242" spans="1:5" x14ac:dyDescent="0.2">
      <c r="A242" s="588">
        <v>4</v>
      </c>
      <c r="B242" s="587" t="s">
        <v>115</v>
      </c>
      <c r="C242" s="636">
        <f t="shared" si="28"/>
        <v>6688.8460974259206</v>
      </c>
      <c r="D242" s="636">
        <f t="shared" si="28"/>
        <v>7711.3847705105745</v>
      </c>
      <c r="E242" s="638">
        <f t="shared" si="29"/>
        <v>1022.538673084654</v>
      </c>
    </row>
    <row r="243" spans="1:5" x14ac:dyDescent="0.2">
      <c r="A243" s="588">
        <v>5</v>
      </c>
      <c r="B243" s="587" t="s">
        <v>743</v>
      </c>
      <c r="C243" s="636">
        <f t="shared" si="28"/>
        <v>8439.088558420488</v>
      </c>
      <c r="D243" s="636">
        <f t="shared" si="28"/>
        <v>8212.3766548176554</v>
      </c>
      <c r="E243" s="638">
        <f t="shared" si="29"/>
        <v>-226.71190360283254</v>
      </c>
    </row>
    <row r="244" spans="1:5" x14ac:dyDescent="0.2">
      <c r="A244" s="588">
        <v>6</v>
      </c>
      <c r="B244" s="587" t="s">
        <v>424</v>
      </c>
      <c r="C244" s="636">
        <f t="shared" si="28"/>
        <v>1941.1717315151279</v>
      </c>
      <c r="D244" s="636">
        <f t="shared" si="28"/>
        <v>6946.9815346106534</v>
      </c>
      <c r="E244" s="638">
        <f t="shared" si="29"/>
        <v>5005.8098030955252</v>
      </c>
    </row>
    <row r="245" spans="1:5" x14ac:dyDescent="0.2">
      <c r="A245" s="588">
        <v>7</v>
      </c>
      <c r="B245" s="587" t="s">
        <v>758</v>
      </c>
      <c r="C245" s="636">
        <f t="shared" si="28"/>
        <v>2611.5416158146518</v>
      </c>
      <c r="D245" s="636">
        <f t="shared" si="28"/>
        <v>3153.9408148149109</v>
      </c>
      <c r="E245" s="638">
        <f t="shared" si="29"/>
        <v>542.39919900025916</v>
      </c>
    </row>
    <row r="246" spans="1:5" ht="25.5" x14ac:dyDescent="0.2">
      <c r="A246" s="588"/>
      <c r="B246" s="592" t="s">
        <v>831</v>
      </c>
      <c r="C246" s="637">
        <f t="shared" si="28"/>
        <v>8837.0850397791055</v>
      </c>
      <c r="D246" s="637">
        <f t="shared" si="28"/>
        <v>9589.4035289035492</v>
      </c>
      <c r="E246" s="639">
        <f t="shared" si="29"/>
        <v>752.31848912444366</v>
      </c>
    </row>
    <row r="247" spans="1:5" x14ac:dyDescent="0.2">
      <c r="A247" s="588"/>
      <c r="B247" s="592" t="s">
        <v>832</v>
      </c>
      <c r="C247" s="637">
        <f t="shared" si="28"/>
        <v>11668.601539285337</v>
      </c>
      <c r="D247" s="637">
        <f t="shared" si="28"/>
        <v>12885.724957960052</v>
      </c>
      <c r="E247" s="639">
        <f t="shared" si="29"/>
        <v>1217.1234186747151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15502222.676091405</v>
      </c>
      <c r="D251" s="622">
        <f>((IF((IF(D15=0,0,D26/D15)*D138)=0,0,D59/(IF(D15=0,0,D26/D15)*D138)))-(IF((IF(D17=0,0,D28/D17)*D140)=0,0,D61/(IF(D17=0,0,D28/D17)*D140))))*(IF(D17=0,0,D28/D17)*D140)</f>
        <v>11797161.82260819</v>
      </c>
      <c r="E251" s="622">
        <f>D251-C251</f>
        <v>-3705060.853483215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-128164.20031633537</v>
      </c>
      <c r="D252" s="622">
        <f>IF(D231=0,0,(D228-D231)*D207)+IF(D243=0,0,(D240-D243)*D219)</f>
        <v>397302.05089631118</v>
      </c>
      <c r="E252" s="622">
        <f>D252-C252</f>
        <v>525466.25121264649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18314706.098150939</v>
      </c>
      <c r="D253" s="622">
        <f>IF(D233=0,0,(D228-D233)*D209+IF(D221=0,0,(D240-D245)*D221))</f>
        <v>12024439.196949385</v>
      </c>
      <c r="E253" s="622">
        <f>D253-C253</f>
        <v>-6290266.9012015536</v>
      </c>
    </row>
    <row r="254" spans="1:5" ht="15" customHeight="1" x14ac:dyDescent="0.2">
      <c r="A254" s="588"/>
      <c r="B254" s="592" t="s">
        <v>759</v>
      </c>
      <c r="C254" s="640">
        <f>+C251+C252+C253</f>
        <v>33688764.573926009</v>
      </c>
      <c r="D254" s="640">
        <f>+D251+D252+D253</f>
        <v>24218903.070453886</v>
      </c>
      <c r="E254" s="640">
        <f>D254-C254</f>
        <v>-9469861.5034721233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1192685498</v>
      </c>
      <c r="D258" s="625">
        <f>+D44</f>
        <v>1199088712</v>
      </c>
      <c r="E258" s="622">
        <f t="shared" ref="E258:E271" si="30">D258-C258</f>
        <v>6403214</v>
      </c>
    </row>
    <row r="259" spans="1:5" x14ac:dyDescent="0.2">
      <c r="A259" s="588">
        <v>2</v>
      </c>
      <c r="B259" s="587" t="s">
        <v>742</v>
      </c>
      <c r="C259" s="622">
        <f>+(C43-C76)</f>
        <v>601549779</v>
      </c>
      <c r="D259" s="625">
        <f>+(D43-D76)</f>
        <v>602479687</v>
      </c>
      <c r="E259" s="622">
        <f t="shared" si="30"/>
        <v>929908</v>
      </c>
    </row>
    <row r="260" spans="1:5" x14ac:dyDescent="0.2">
      <c r="A260" s="588">
        <v>3</v>
      </c>
      <c r="B260" s="587" t="s">
        <v>746</v>
      </c>
      <c r="C260" s="622">
        <f>C195</f>
        <v>40808000</v>
      </c>
      <c r="D260" s="622">
        <f>D195</f>
        <v>48187000</v>
      </c>
      <c r="E260" s="622">
        <f t="shared" si="30"/>
        <v>7379000</v>
      </c>
    </row>
    <row r="261" spans="1:5" x14ac:dyDescent="0.2">
      <c r="A261" s="588">
        <v>4</v>
      </c>
      <c r="B261" s="587" t="s">
        <v>747</v>
      </c>
      <c r="C261" s="622">
        <f>C188</f>
        <v>144331512</v>
      </c>
      <c r="D261" s="622">
        <f>D188</f>
        <v>147243964</v>
      </c>
      <c r="E261" s="622">
        <f t="shared" si="30"/>
        <v>2912452</v>
      </c>
    </row>
    <row r="262" spans="1:5" x14ac:dyDescent="0.2">
      <c r="A262" s="588">
        <v>5</v>
      </c>
      <c r="B262" s="587" t="s">
        <v>748</v>
      </c>
      <c r="C262" s="622">
        <f>C191</f>
        <v>15759908</v>
      </c>
      <c r="D262" s="622">
        <f>D191</f>
        <v>3054381</v>
      </c>
      <c r="E262" s="622">
        <f t="shared" si="30"/>
        <v>-12705527</v>
      </c>
    </row>
    <row r="263" spans="1:5" x14ac:dyDescent="0.2">
      <c r="A263" s="588">
        <v>6</v>
      </c>
      <c r="B263" s="587" t="s">
        <v>749</v>
      </c>
      <c r="C263" s="622">
        <f>+C259+C260+C261+C262</f>
        <v>802449199</v>
      </c>
      <c r="D263" s="622">
        <f>+D259+D260+D261+D262</f>
        <v>800965032</v>
      </c>
      <c r="E263" s="622">
        <f t="shared" si="30"/>
        <v>-1484167</v>
      </c>
    </row>
    <row r="264" spans="1:5" x14ac:dyDescent="0.2">
      <c r="A264" s="588">
        <v>7</v>
      </c>
      <c r="B264" s="587" t="s">
        <v>654</v>
      </c>
      <c r="C264" s="622">
        <f>+C258-C263</f>
        <v>390236299</v>
      </c>
      <c r="D264" s="622">
        <f>+D258-D263</f>
        <v>398123680</v>
      </c>
      <c r="E264" s="622">
        <f t="shared" si="30"/>
        <v>7887381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390236299</v>
      </c>
      <c r="D266" s="622">
        <f>+D264+D265</f>
        <v>398123680</v>
      </c>
      <c r="E266" s="641">
        <f t="shared" si="30"/>
        <v>7887381</v>
      </c>
    </row>
    <row r="267" spans="1:5" x14ac:dyDescent="0.2">
      <c r="A267" s="588">
        <v>10</v>
      </c>
      <c r="B267" s="587" t="s">
        <v>837</v>
      </c>
      <c r="C267" s="642">
        <f>IF(C258=0,0,C266/C258)</f>
        <v>0.32719128358178462</v>
      </c>
      <c r="D267" s="642">
        <f>IF(D258=0,0,D266/D258)</f>
        <v>0.33202187295713614</v>
      </c>
      <c r="E267" s="643">
        <f t="shared" si="30"/>
        <v>4.8305893753515239E-3</v>
      </c>
    </row>
    <row r="268" spans="1:5" x14ac:dyDescent="0.2">
      <c r="A268" s="588">
        <v>11</v>
      </c>
      <c r="B268" s="587" t="s">
        <v>716</v>
      </c>
      <c r="C268" s="622">
        <f>+C260*C267</f>
        <v>13352021.900405467</v>
      </c>
      <c r="D268" s="644">
        <f>+D260*D267</f>
        <v>15999137.99218552</v>
      </c>
      <c r="E268" s="622">
        <f t="shared" si="30"/>
        <v>2647116.0917800535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22499281.604272977</v>
      </c>
      <c r="D269" s="644">
        <f>((D17+D18+D28+D29)*D267)-(D50+D51+D61+D62)</f>
        <v>21061468.588553503</v>
      </c>
      <c r="E269" s="622">
        <f t="shared" si="30"/>
        <v>-1437813.0157194734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840</v>
      </c>
      <c r="C271" s="622">
        <f>+C268+C269+C270</f>
        <v>35851303.504678443</v>
      </c>
      <c r="D271" s="622">
        <f>+D268+D269+D270</f>
        <v>37060606.580739021</v>
      </c>
      <c r="E271" s="625">
        <f t="shared" si="30"/>
        <v>1209303.0760605782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0.52290301480874735</v>
      </c>
      <c r="D276" s="623">
        <f t="shared" si="31"/>
        <v>0.49985457955493401</v>
      </c>
      <c r="E276" s="650">
        <f t="shared" ref="E276:E284" si="32">D276-C276</f>
        <v>-2.3048435253813337E-2</v>
      </c>
    </row>
    <row r="277" spans="1:5" x14ac:dyDescent="0.2">
      <c r="A277" s="588">
        <v>2</v>
      </c>
      <c r="B277" s="587" t="s">
        <v>635</v>
      </c>
      <c r="C277" s="623">
        <f t="shared" si="31"/>
        <v>0.28973585433358628</v>
      </c>
      <c r="D277" s="623">
        <f t="shared" si="31"/>
        <v>0.28651052089141887</v>
      </c>
      <c r="E277" s="650">
        <f t="shared" si="32"/>
        <v>-3.2253334421674107E-3</v>
      </c>
    </row>
    <row r="278" spans="1:5" x14ac:dyDescent="0.2">
      <c r="A278" s="588">
        <v>3</v>
      </c>
      <c r="B278" s="587" t="s">
        <v>777</v>
      </c>
      <c r="C278" s="623">
        <f t="shared" si="31"/>
        <v>0.24324500180424224</v>
      </c>
      <c r="D278" s="623">
        <f t="shared" si="31"/>
        <v>0.24906286144198481</v>
      </c>
      <c r="E278" s="650">
        <f t="shared" si="32"/>
        <v>5.8178596377425618E-3</v>
      </c>
    </row>
    <row r="279" spans="1:5" x14ac:dyDescent="0.2">
      <c r="A279" s="588">
        <v>4</v>
      </c>
      <c r="B279" s="587" t="s">
        <v>115</v>
      </c>
      <c r="C279" s="623">
        <f t="shared" si="31"/>
        <v>0.24183566997101538</v>
      </c>
      <c r="D279" s="623">
        <f t="shared" si="31"/>
        <v>0.24992656195753049</v>
      </c>
      <c r="E279" s="650">
        <f t="shared" si="32"/>
        <v>8.0908919865151085E-3</v>
      </c>
    </row>
    <row r="280" spans="1:5" x14ac:dyDescent="0.2">
      <c r="A280" s="588">
        <v>5</v>
      </c>
      <c r="B280" s="587" t="s">
        <v>743</v>
      </c>
      <c r="C280" s="623">
        <f t="shared" si="31"/>
        <v>0.40731175072057435</v>
      </c>
      <c r="D280" s="623">
        <f t="shared" si="31"/>
        <v>0.11490752822830969</v>
      </c>
      <c r="E280" s="650">
        <f t="shared" si="32"/>
        <v>-0.29240422249226466</v>
      </c>
    </row>
    <row r="281" spans="1:5" x14ac:dyDescent="0.2">
      <c r="A281" s="588">
        <v>6</v>
      </c>
      <c r="B281" s="587" t="s">
        <v>424</v>
      </c>
      <c r="C281" s="623">
        <f t="shared" si="31"/>
        <v>0.18471936150468785</v>
      </c>
      <c r="D281" s="623">
        <f t="shared" si="31"/>
        <v>0.28523936292877133</v>
      </c>
      <c r="E281" s="650">
        <f t="shared" si="32"/>
        <v>0.10052000142408349</v>
      </c>
    </row>
    <row r="282" spans="1:5" x14ac:dyDescent="0.2">
      <c r="A282" s="588">
        <v>7</v>
      </c>
      <c r="B282" s="587" t="s">
        <v>758</v>
      </c>
      <c r="C282" s="623">
        <f t="shared" si="31"/>
        <v>7.7194611724998342E-3</v>
      </c>
      <c r="D282" s="623">
        <f t="shared" si="31"/>
        <v>6.5901452117772194E-2</v>
      </c>
      <c r="E282" s="650">
        <f t="shared" si="32"/>
        <v>5.8181990945272363E-2</v>
      </c>
    </row>
    <row r="283" spans="1:5" ht="29.25" customHeight="1" x14ac:dyDescent="0.2">
      <c r="A283" s="588"/>
      <c r="B283" s="592" t="s">
        <v>844</v>
      </c>
      <c r="C283" s="651">
        <f t="shared" si="31"/>
        <v>0.2782664898465278</v>
      </c>
      <c r="D283" s="651">
        <f t="shared" si="31"/>
        <v>0.27688677622864133</v>
      </c>
      <c r="E283" s="652">
        <f t="shared" si="32"/>
        <v>-1.3797136178864688E-3</v>
      </c>
    </row>
    <row r="284" spans="1:5" x14ac:dyDescent="0.2">
      <c r="A284" s="588"/>
      <c r="B284" s="592" t="s">
        <v>845</v>
      </c>
      <c r="C284" s="651">
        <f t="shared" si="31"/>
        <v>0.3366277039671709</v>
      </c>
      <c r="D284" s="651">
        <f t="shared" si="31"/>
        <v>0.33251766249749537</v>
      </c>
      <c r="E284" s="652">
        <f t="shared" si="32"/>
        <v>-4.1100414696755294E-3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0.48097169078635404</v>
      </c>
      <c r="D287" s="623">
        <f t="shared" si="33"/>
        <v>0.47906521413812014</v>
      </c>
      <c r="E287" s="650">
        <f t="shared" ref="E287:E295" si="34">D287-C287</f>
        <v>-1.9064766482339013E-3</v>
      </c>
    </row>
    <row r="288" spans="1:5" x14ac:dyDescent="0.2">
      <c r="A288" s="588">
        <v>2</v>
      </c>
      <c r="B288" s="587" t="s">
        <v>635</v>
      </c>
      <c r="C288" s="623">
        <f t="shared" si="33"/>
        <v>0.24648993242886738</v>
      </c>
      <c r="D288" s="623">
        <f t="shared" si="33"/>
        <v>0.23645633869825319</v>
      </c>
      <c r="E288" s="650">
        <f t="shared" si="34"/>
        <v>-1.0033593730614188E-2</v>
      </c>
    </row>
    <row r="289" spans="1:5" x14ac:dyDescent="0.2">
      <c r="A289" s="588">
        <v>3</v>
      </c>
      <c r="B289" s="587" t="s">
        <v>777</v>
      </c>
      <c r="C289" s="623">
        <f t="shared" si="33"/>
        <v>0.22299518344821967</v>
      </c>
      <c r="D289" s="623">
        <f t="shared" si="33"/>
        <v>0.24229333741908821</v>
      </c>
      <c r="E289" s="650">
        <f t="shared" si="34"/>
        <v>1.9298153970868537E-2</v>
      </c>
    </row>
    <row r="290" spans="1:5" x14ac:dyDescent="0.2">
      <c r="A290" s="588">
        <v>4</v>
      </c>
      <c r="B290" s="587" t="s">
        <v>115</v>
      </c>
      <c r="C290" s="623">
        <f t="shared" si="33"/>
        <v>0.2227608251943044</v>
      </c>
      <c r="D290" s="623">
        <f t="shared" si="33"/>
        <v>0.24209360520255144</v>
      </c>
      <c r="E290" s="650">
        <f t="shared" si="34"/>
        <v>1.9332780008247036E-2</v>
      </c>
    </row>
    <row r="291" spans="1:5" x14ac:dyDescent="0.2">
      <c r="A291" s="588">
        <v>5</v>
      </c>
      <c r="B291" s="587" t="s">
        <v>743</v>
      </c>
      <c r="C291" s="623">
        <f t="shared" si="33"/>
        <v>0.25141047880492445</v>
      </c>
      <c r="D291" s="623">
        <f t="shared" si="33"/>
        <v>0.36101726223461622</v>
      </c>
      <c r="E291" s="650">
        <f t="shared" si="34"/>
        <v>0.10960678342969177</v>
      </c>
    </row>
    <row r="292" spans="1:5" x14ac:dyDescent="0.2">
      <c r="A292" s="588">
        <v>6</v>
      </c>
      <c r="B292" s="587" t="s">
        <v>424</v>
      </c>
      <c r="C292" s="623">
        <f t="shared" si="33"/>
        <v>9.8076787087031603E-2</v>
      </c>
      <c r="D292" s="623">
        <f t="shared" si="33"/>
        <v>0.35885618478441433</v>
      </c>
      <c r="E292" s="650">
        <f t="shared" si="34"/>
        <v>0.26077939769738273</v>
      </c>
    </row>
    <row r="293" spans="1:5" x14ac:dyDescent="0.2">
      <c r="A293" s="588">
        <v>7</v>
      </c>
      <c r="B293" s="587" t="s">
        <v>758</v>
      </c>
      <c r="C293" s="623">
        <f t="shared" si="33"/>
        <v>9.5191986615498325E-2</v>
      </c>
      <c r="D293" s="623">
        <f t="shared" si="33"/>
        <v>9.0059154029974484E-2</v>
      </c>
      <c r="E293" s="650">
        <f t="shared" si="34"/>
        <v>-5.1328325855238416E-3</v>
      </c>
    </row>
    <row r="294" spans="1:5" ht="29.25" customHeight="1" x14ac:dyDescent="0.2">
      <c r="A294" s="588"/>
      <c r="B294" s="592" t="s">
        <v>847</v>
      </c>
      <c r="C294" s="651">
        <f t="shared" si="33"/>
        <v>0.23622758630261415</v>
      </c>
      <c r="D294" s="651">
        <f t="shared" si="33"/>
        <v>0.23889171650264124</v>
      </c>
      <c r="E294" s="652">
        <f t="shared" si="34"/>
        <v>2.6641302000270928E-3</v>
      </c>
    </row>
    <row r="295" spans="1:5" x14ac:dyDescent="0.2">
      <c r="A295" s="588"/>
      <c r="B295" s="592" t="s">
        <v>848</v>
      </c>
      <c r="C295" s="651">
        <f t="shared" si="33"/>
        <v>0.34501468741697888</v>
      </c>
      <c r="D295" s="651">
        <f t="shared" si="33"/>
        <v>0.34218601589404657</v>
      </c>
      <c r="E295" s="652">
        <f t="shared" si="34"/>
        <v>-2.8286715229323134E-3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405099277</v>
      </c>
      <c r="D301" s="590">
        <f>+D48+D47+D50+D51+D52+D59+D58+D61+D62+D63</f>
        <v>403001768</v>
      </c>
      <c r="E301" s="590">
        <f>D301-C301</f>
        <v>-2097509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405099277</v>
      </c>
      <c r="D303" s="593">
        <f>+D301+D302</f>
        <v>403001768</v>
      </c>
      <c r="E303" s="593">
        <f>D303-C303</f>
        <v>-2097509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3085057</v>
      </c>
      <c r="D305" s="654">
        <v>-1936980</v>
      </c>
      <c r="E305" s="655">
        <f>D305-C305</f>
        <v>-5022037</v>
      </c>
    </row>
    <row r="306" spans="1:5" x14ac:dyDescent="0.2">
      <c r="A306" s="588">
        <v>4</v>
      </c>
      <c r="B306" s="592" t="s">
        <v>855</v>
      </c>
      <c r="C306" s="593">
        <f>+C303+C305+C194+C190-C191</f>
        <v>441797570</v>
      </c>
      <c r="D306" s="593">
        <f>+D303+D305</f>
        <v>401064788</v>
      </c>
      <c r="E306" s="656">
        <f>D306-C306</f>
        <v>-40732782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408184000</v>
      </c>
      <c r="D308" s="589">
        <v>401065000</v>
      </c>
      <c r="E308" s="590">
        <f>D308-C308</f>
        <v>-7119000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33613570</v>
      </c>
      <c r="D310" s="658">
        <f>D306-D308</f>
        <v>-212</v>
      </c>
      <c r="E310" s="656">
        <f>D310-C310</f>
        <v>-33613782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1192685498</v>
      </c>
      <c r="D314" s="590">
        <f>+D14+D15+D16+D19+D25+D26+D27+D30</f>
        <v>1199088712</v>
      </c>
      <c r="E314" s="590">
        <f>D314-C314</f>
        <v>6403214</v>
      </c>
    </row>
    <row r="315" spans="1:5" x14ac:dyDescent="0.2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1192685498</v>
      </c>
      <c r="D316" s="657">
        <f>D314+D315</f>
        <v>1199088712</v>
      </c>
      <c r="E316" s="593">
        <f>D316-C316</f>
        <v>6403214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1192685000</v>
      </c>
      <c r="D318" s="589">
        <v>1199089000</v>
      </c>
      <c r="E318" s="590">
        <f>D318-C318</f>
        <v>6404000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498</v>
      </c>
      <c r="D320" s="657">
        <f>D316-D318</f>
        <v>-288</v>
      </c>
      <c r="E320" s="593">
        <f>D320-C320</f>
        <v>-786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40808000</v>
      </c>
      <c r="D324" s="589">
        <f>+D193+D194</f>
        <v>48187000</v>
      </c>
      <c r="E324" s="590">
        <f>D324-C324</f>
        <v>7379000</v>
      </c>
    </row>
    <row r="325" spans="1:5" x14ac:dyDescent="0.2">
      <c r="A325" s="588">
        <v>2</v>
      </c>
      <c r="B325" s="587" t="s">
        <v>865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866</v>
      </c>
      <c r="C326" s="657">
        <f>C324+C325</f>
        <v>40808000</v>
      </c>
      <c r="D326" s="657">
        <f>D324+D325</f>
        <v>48187000</v>
      </c>
      <c r="E326" s="593">
        <f>D326-C326</f>
        <v>7379000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40808000</v>
      </c>
      <c r="D328" s="589">
        <v>48187000</v>
      </c>
      <c r="E328" s="590">
        <f>D328-C328</f>
        <v>7379000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FILING&amp;RSAINT VINCENT`S MEDICAL CENTER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188632348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421061707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145799678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144867015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932663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542043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20452129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567403428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756035776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190549095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152320573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99924415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99756592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167823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258853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29956877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252503841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443052936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379181443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819907269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1199088712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94288743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120638609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36313285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36206115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107170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154612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1347825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157106506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251395249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91285443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36017165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24211020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24150433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60587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92891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2697891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60321076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151606519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185574186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217427582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403001768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5420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8674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4589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4548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41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28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584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13291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18711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1.3435999999999999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1.5561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1.0763147744606669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1.0742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1.3109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0.84150000000000003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1.1977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1.388938522308329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1.3758053497942389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328772437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181528473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147243964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0.44785981861368751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19559565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3054381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17249000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30938000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48187000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20648000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398392000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403001768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403001768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-1936980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401064788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401065000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-212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1199088712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1199088712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1199089000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-288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48187000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48187000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48187000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FILING&amp;RSAINT VINCENT`S MEDICAL CENTER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882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3142</v>
      </c>
      <c r="D12" s="185">
        <v>4002</v>
      </c>
      <c r="E12" s="185">
        <f>+D12-C12</f>
        <v>860</v>
      </c>
      <c r="F12" s="77">
        <f>IF(C12=0,0,+E12/C12)</f>
        <v>0.27371101209420751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3047</v>
      </c>
      <c r="D13" s="185">
        <v>3910</v>
      </c>
      <c r="E13" s="185">
        <f>+D13-C13</f>
        <v>863</v>
      </c>
      <c r="F13" s="77">
        <f>IF(C13=0,0,+E13/C13)</f>
        <v>0.28322940597308827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14991000</v>
      </c>
      <c r="D15" s="76">
        <v>17249000</v>
      </c>
      <c r="E15" s="76">
        <f>+D15-C15</f>
        <v>2258000</v>
      </c>
      <c r="F15" s="77">
        <f>IF(C15=0,0,+E15/C15)</f>
        <v>0.15062370755786805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4919.9212340006561</v>
      </c>
      <c r="D16" s="79">
        <f>IF(D13=0,0,+D15/+D13)</f>
        <v>4411.5089514066494</v>
      </c>
      <c r="E16" s="79">
        <f>+D16-C16</f>
        <v>-508.41228259400668</v>
      </c>
      <c r="F16" s="80">
        <f>IF(C16=0,0,+E16/C16)</f>
        <v>-0.10333748416142609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0.33096399999999998</v>
      </c>
      <c r="D18" s="704">
        <v>0.32638899999999998</v>
      </c>
      <c r="E18" s="704">
        <f>+D18-C18</f>
        <v>-4.5749999999999957E-3</v>
      </c>
      <c r="F18" s="77">
        <f>IF(C18=0,0,+E18/C18)</f>
        <v>-1.3823255701526437E-2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4961481.324</v>
      </c>
      <c r="D19" s="79">
        <f>+D15*D18</f>
        <v>5629883.8609999996</v>
      </c>
      <c r="E19" s="79">
        <f>+D19-C19</f>
        <v>668402.53699999955</v>
      </c>
      <c r="F19" s="80">
        <f>IF(C19=0,0,+E19/C19)</f>
        <v>0.13471834183205716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1628.3168112897933</v>
      </c>
      <c r="D20" s="79">
        <f>IF(D13=0,0,+D19/D13)</f>
        <v>1439.8679951406648</v>
      </c>
      <c r="E20" s="79">
        <f>+D20-C20</f>
        <v>-188.44881614912856</v>
      </c>
      <c r="F20" s="80">
        <f>IF(C20=0,0,+E20/C20)</f>
        <v>-0.11573227939583688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3339705</v>
      </c>
      <c r="D22" s="76">
        <v>8536000</v>
      </c>
      <c r="E22" s="76">
        <f>+D22-C22</f>
        <v>5196295</v>
      </c>
      <c r="F22" s="77">
        <f>IF(C22=0,0,+E22/C22)</f>
        <v>1.5559143696823521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8847964</v>
      </c>
      <c r="D23" s="185">
        <v>5613000</v>
      </c>
      <c r="E23" s="185">
        <f>+D23-C23</f>
        <v>-3234964</v>
      </c>
      <c r="F23" s="77">
        <f>IF(C23=0,0,+E23/C23)</f>
        <v>-0.36561676788015862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2803331</v>
      </c>
      <c r="D24" s="185">
        <v>3100000</v>
      </c>
      <c r="E24" s="185">
        <f>+D24-C24</f>
        <v>296669</v>
      </c>
      <c r="F24" s="77">
        <f>IF(C24=0,0,+E24/C24)</f>
        <v>0.10582731757327266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14991000</v>
      </c>
      <c r="D25" s="79">
        <f>+D22+D23+D24</f>
        <v>17249000</v>
      </c>
      <c r="E25" s="79">
        <f>+E22+E23+E24</f>
        <v>2258000</v>
      </c>
      <c r="F25" s="80">
        <f>IF(C25=0,0,+E25/C25)</f>
        <v>0.15062370755786805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587</v>
      </c>
      <c r="D27" s="185">
        <v>503</v>
      </c>
      <c r="E27" s="185">
        <f>+D27-C27</f>
        <v>-84</v>
      </c>
      <c r="F27" s="77">
        <f>IF(C27=0,0,+E27/C27)</f>
        <v>-0.14310051107325383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95</v>
      </c>
      <c r="D28" s="185">
        <v>108</v>
      </c>
      <c r="E28" s="185">
        <f>+D28-C28</f>
        <v>13</v>
      </c>
      <c r="F28" s="77">
        <f>IF(C28=0,0,+E28/C28)</f>
        <v>0.1368421052631579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1299</v>
      </c>
      <c r="D29" s="185">
        <v>760</v>
      </c>
      <c r="E29" s="185">
        <f>+D29-C29</f>
        <v>-539</v>
      </c>
      <c r="F29" s="77">
        <f>IF(C29=0,0,+E29/C29)</f>
        <v>-0.41493456505003851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7283</v>
      </c>
      <c r="D30" s="185">
        <v>4879</v>
      </c>
      <c r="E30" s="185">
        <f>+D30-C30</f>
        <v>-2404</v>
      </c>
      <c r="F30" s="77">
        <f>IF(C30=0,0,+E30/C30)</f>
        <v>-0.33008375669367018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11631000</v>
      </c>
      <c r="D33" s="76">
        <v>13199000</v>
      </c>
      <c r="E33" s="76">
        <f>+D33-C33</f>
        <v>1568000</v>
      </c>
      <c r="F33" s="77">
        <f>IF(C33=0,0,+E33/C33)</f>
        <v>0.13481213997076777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10323000</v>
      </c>
      <c r="D34" s="185">
        <v>14254000</v>
      </c>
      <c r="E34" s="185">
        <f>+D34-C34</f>
        <v>3931000</v>
      </c>
      <c r="F34" s="77">
        <f>IF(C34=0,0,+E34/C34)</f>
        <v>0.3808001549937034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3863000</v>
      </c>
      <c r="D35" s="185">
        <v>3485000</v>
      </c>
      <c r="E35" s="185">
        <f>+D35-C35</f>
        <v>-378000</v>
      </c>
      <c r="F35" s="77">
        <f>IF(C35=0,0,+E35/C35)</f>
        <v>-9.785141082060575E-2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25817000</v>
      </c>
      <c r="D36" s="79">
        <f>+D33+D34+D35</f>
        <v>30938000</v>
      </c>
      <c r="E36" s="79">
        <f>+E33+E34+E35</f>
        <v>5121000</v>
      </c>
      <c r="F36" s="80">
        <f>IF(C36=0,0,+E36/C36)</f>
        <v>0.19835767130185536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14991000</v>
      </c>
      <c r="D39" s="76">
        <f>+D25</f>
        <v>17249000</v>
      </c>
      <c r="E39" s="76">
        <f>+D39-C39</f>
        <v>2258000</v>
      </c>
      <c r="F39" s="77">
        <f>IF(C39=0,0,+E39/C39)</f>
        <v>0.15062370755786805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25817000</v>
      </c>
      <c r="D40" s="185">
        <f>+D36</f>
        <v>30938000</v>
      </c>
      <c r="E40" s="185">
        <f>+D40-C40</f>
        <v>5121000</v>
      </c>
      <c r="F40" s="77">
        <f>IF(C40=0,0,+E40/C40)</f>
        <v>0.19835767130185536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40808000</v>
      </c>
      <c r="D41" s="79">
        <f>+D39+D40</f>
        <v>48187000</v>
      </c>
      <c r="E41" s="79">
        <f>+E39+E40</f>
        <v>7379000</v>
      </c>
      <c r="F41" s="80">
        <f>IF(C41=0,0,+E41/C41)</f>
        <v>0.18082238776710449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14970705</v>
      </c>
      <c r="D43" s="76">
        <f t="shared" si="0"/>
        <v>21735000</v>
      </c>
      <c r="E43" s="76">
        <f>+D43-C43</f>
        <v>6764295</v>
      </c>
      <c r="F43" s="77">
        <f>IF(C43=0,0,+E43/C43)</f>
        <v>0.45183543460378117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19170964</v>
      </c>
      <c r="D44" s="185">
        <f t="shared" si="0"/>
        <v>19867000</v>
      </c>
      <c r="E44" s="185">
        <f>+D44-C44</f>
        <v>696036</v>
      </c>
      <c r="F44" s="77">
        <f>IF(C44=0,0,+E44/C44)</f>
        <v>3.630678144301977E-2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6666331</v>
      </c>
      <c r="D45" s="185">
        <f t="shared" si="0"/>
        <v>6585000</v>
      </c>
      <c r="E45" s="185">
        <f>+D45-C45</f>
        <v>-81331</v>
      </c>
      <c r="F45" s="77">
        <f>IF(C45=0,0,+E45/C45)</f>
        <v>-1.2200264283306665E-2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40808000</v>
      </c>
      <c r="D46" s="79">
        <f>+D43+D44+D45</f>
        <v>48187000</v>
      </c>
      <c r="E46" s="79">
        <f>+E43+E44+E45</f>
        <v>7379000</v>
      </c>
      <c r="F46" s="80">
        <f>IF(C46=0,0,+E46/C46)</f>
        <v>0.18082238776710449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911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FILING&amp;RSAINT VINCENT`S MEDICAL CENTER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912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913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349570952</v>
      </c>
      <c r="D15" s="76">
        <v>328772437</v>
      </c>
      <c r="E15" s="76">
        <f>+D15-C15</f>
        <v>-20798515</v>
      </c>
      <c r="F15" s="77">
        <f>IF(C15=0,0,E15/C15)</f>
        <v>-5.9497263376735034E-2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144331512</v>
      </c>
      <c r="D17" s="76">
        <v>147243964</v>
      </c>
      <c r="E17" s="76">
        <f>+D17-C17</f>
        <v>2912452</v>
      </c>
      <c r="F17" s="77">
        <f>IF(C17=0,0,E17/C17)</f>
        <v>2.0178905906563217E-2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205239440</v>
      </c>
      <c r="D19" s="79">
        <f>+D15-D17</f>
        <v>181528473</v>
      </c>
      <c r="E19" s="79">
        <f>+D19-C19</f>
        <v>-23710967</v>
      </c>
      <c r="F19" s="80">
        <f>IF(C19=0,0,E19/C19)</f>
        <v>-0.11552831658476558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0.4128818804143658</v>
      </c>
      <c r="D21" s="720">
        <f>IF(D15=0,0,D17/D15)</f>
        <v>0.44785981861368751</v>
      </c>
      <c r="E21" s="720">
        <f>+D21-C21</f>
        <v>3.4977938199321712E-2</v>
      </c>
      <c r="F21" s="80">
        <f>IF(C21=0,0,E21/C21)</f>
        <v>8.4716573573580076E-2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FILING&amp;R&amp;12SAINT VINCENT`S MEDICAL CENTER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729135968</v>
      </c>
      <c r="D10" s="744">
        <v>762459747</v>
      </c>
      <c r="E10" s="744">
        <v>756035776</v>
      </c>
    </row>
    <row r="11" spans="1:6" ht="26.1" customHeight="1" x14ac:dyDescent="0.25">
      <c r="A11" s="742">
        <v>2</v>
      </c>
      <c r="B11" s="743" t="s">
        <v>932</v>
      </c>
      <c r="C11" s="744">
        <v>387049978</v>
      </c>
      <c r="D11" s="744">
        <v>430225751</v>
      </c>
      <c r="E11" s="744">
        <v>443052936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1116185946</v>
      </c>
      <c r="D12" s="744">
        <f>+D11+D10</f>
        <v>1192685498</v>
      </c>
      <c r="E12" s="744">
        <f>+E11+E10</f>
        <v>1199088712</v>
      </c>
    </row>
    <row r="13" spans="1:6" ht="26.1" customHeight="1" x14ac:dyDescent="0.25">
      <c r="A13" s="742">
        <v>4</v>
      </c>
      <c r="B13" s="743" t="s">
        <v>507</v>
      </c>
      <c r="C13" s="744">
        <v>424565000</v>
      </c>
      <c r="D13" s="744">
        <v>408184000</v>
      </c>
      <c r="E13" s="744">
        <v>401065000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373601000</v>
      </c>
      <c r="D16" s="744">
        <v>394491000</v>
      </c>
      <c r="E16" s="744">
        <v>398392000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122878</v>
      </c>
      <c r="D19" s="747">
        <v>120574</v>
      </c>
      <c r="E19" s="747">
        <v>110756</v>
      </c>
    </row>
    <row r="20" spans="1:5" ht="26.1" customHeight="1" x14ac:dyDescent="0.25">
      <c r="A20" s="742">
        <v>2</v>
      </c>
      <c r="B20" s="743" t="s">
        <v>381</v>
      </c>
      <c r="C20" s="748">
        <v>21912</v>
      </c>
      <c r="D20" s="748">
        <v>20324</v>
      </c>
      <c r="E20" s="748">
        <v>18711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5.607794815626141</v>
      </c>
      <c r="D21" s="749">
        <f>IF(D20=0,0,+D19/D20)</f>
        <v>5.9325920094469593</v>
      </c>
      <c r="E21" s="749">
        <f>IF(E20=0,0,+E19/E20)</f>
        <v>5.9192988081876967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188105.78916961068</v>
      </c>
      <c r="D22" s="748">
        <f>IF(D10=0,0,D19*(D12/D10))</f>
        <v>188609.1191065225</v>
      </c>
      <c r="E22" s="748">
        <f>IF(E10=0,0,E19*(E12/E10))</f>
        <v>175661.35572170597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33543.629065288405</v>
      </c>
      <c r="D23" s="748">
        <f>IF(D10=0,0,D20*(D12/D10))</f>
        <v>31792.02594855411</v>
      </c>
      <c r="E23" s="748">
        <f>IF(E10=0,0,E20*(E12/E10))</f>
        <v>29676.041270078735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1.2991278751369113</v>
      </c>
      <c r="D26" s="750">
        <v>1.3418493898838812</v>
      </c>
      <c r="E26" s="750">
        <v>1.3758053497942389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159634.23504107338</v>
      </c>
      <c r="D27" s="748">
        <f>D19*D26</f>
        <v>161792.14833585909</v>
      </c>
      <c r="E27" s="748">
        <f>E19*E26</f>
        <v>152378.69732181073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28466.49</v>
      </c>
      <c r="D28" s="748">
        <f>D20*D26</f>
        <v>27271.747000000003</v>
      </c>
      <c r="E28" s="748">
        <f>E20*E26</f>
        <v>25742.693900000002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244373.47418486816</v>
      </c>
      <c r="D29" s="748">
        <f>D22*D26</f>
        <v>253085.03139962352</v>
      </c>
      <c r="E29" s="748">
        <f>E22*E26</f>
        <v>241675.83295403191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43577.463551968867</v>
      </c>
      <c r="D30" s="748">
        <f>D23*D26</f>
        <v>42660.110622239852</v>
      </c>
      <c r="E30" s="748">
        <f>E23*E26</f>
        <v>40828.456340088938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9083.6923289767092</v>
      </c>
      <c r="D33" s="744">
        <f>IF(D19=0,0,D12/D19)</f>
        <v>9891.7303730489166</v>
      </c>
      <c r="E33" s="744">
        <f>IF(E19=0,0,E12/E19)</f>
        <v>10826.39958106107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50939.482749178533</v>
      </c>
      <c r="D34" s="744">
        <f>IF(D20=0,0,D12/D20)</f>
        <v>58683.600570753792</v>
      </c>
      <c r="E34" s="744">
        <f>IF(E20=0,0,E12/E20)</f>
        <v>64084.694137138584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5933.8202770227381</v>
      </c>
      <c r="D35" s="744">
        <f>IF(D22=0,0,D12/D22)</f>
        <v>6323.5834176522294</v>
      </c>
      <c r="E35" s="744">
        <f>IF(E22=0,0,E12/E22)</f>
        <v>6826.1383220773587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33275.646586345385</v>
      </c>
      <c r="D36" s="744">
        <f>IF(D23=0,0,D12/D23)</f>
        <v>37515.240454634913</v>
      </c>
      <c r="E36" s="744">
        <f>IF(E23=0,0,E12/E23)</f>
        <v>40405.952434396873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4567.5413410688225</v>
      </c>
      <c r="D37" s="744">
        <f>IF(D29=0,0,D12/D29)</f>
        <v>4712.5880634036348</v>
      </c>
      <c r="E37" s="744">
        <f>IF(E29=0,0,E12/E29)</f>
        <v>4961.5582052346681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25613.834652603819</v>
      </c>
      <c r="D38" s="744">
        <f>IF(D30=0,0,D12/D30)</f>
        <v>27957.862288763528</v>
      </c>
      <c r="E38" s="744">
        <f>IF(E30=0,0,E12/E30)</f>
        <v>29368.945570999465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3876.201637486844</v>
      </c>
      <c r="D39" s="744">
        <f>IF(D22=0,0,D10/D22)</f>
        <v>4042.5391445117698</v>
      </c>
      <c r="E39" s="744">
        <f>IF(E22=0,0,E10/E22)</f>
        <v>4303.9390928859766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21736.943447020287</v>
      </c>
      <c r="D40" s="744">
        <f>IF(D23=0,0,D10/D23)</f>
        <v>23982.735426607072</v>
      </c>
      <c r="E40" s="744">
        <f>IF(E23=0,0,E10/E23)</f>
        <v>25476.301543032398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3455.1750516772736</v>
      </c>
      <c r="D43" s="744">
        <f>IF(D19=0,0,D13/D19)</f>
        <v>3385.3401230779436</v>
      </c>
      <c r="E43" s="744">
        <f>IF(E19=0,0,E13/E19)</f>
        <v>3621.1582216764782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19375.912741876597</v>
      </c>
      <c r="D44" s="744">
        <f>IF(D20=0,0,D13/D20)</f>
        <v>20083.841763432396</v>
      </c>
      <c r="E44" s="744">
        <f>IF(E20=0,0,E13/E20)</f>
        <v>21434.717545828658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2257.0544047274348</v>
      </c>
      <c r="D45" s="744">
        <f>IF(D22=0,0,D13/D22)</f>
        <v>2164.1795578795222</v>
      </c>
      <c r="E45" s="744">
        <f>IF(E22=0,0,E13/E22)</f>
        <v>2283.1714941070645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12657.097989416656</v>
      </c>
      <c r="D46" s="744">
        <f>IF(D23=0,0,D13/D23)</f>
        <v>12839.194352084507</v>
      </c>
      <c r="E46" s="744">
        <f>IF(E23=0,0,E13/E23)</f>
        <v>13514.774303956072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1737.361231271841</v>
      </c>
      <c r="D47" s="744">
        <f>IF(D29=0,0,D13/D29)</f>
        <v>1612.8334328689468</v>
      </c>
      <c r="E47" s="744">
        <f>IF(E29=0,0,E13/E29)</f>
        <v>1659.516365776982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9742.76530559608</v>
      </c>
      <c r="D48" s="744">
        <f>IF(D30=0,0,D13/D30)</f>
        <v>9568.2827364072236</v>
      </c>
      <c r="E48" s="744">
        <f>IF(E30=0,0,E13/E30)</f>
        <v>9823.173246111668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3040.4222073926985</v>
      </c>
      <c r="D51" s="744">
        <f>IF(D19=0,0,D16/D19)</f>
        <v>3271.7750095377114</v>
      </c>
      <c r="E51" s="744">
        <f>IF(E19=0,0,E16/E19)</f>
        <v>3597.0240889884071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17050.063891931361</v>
      </c>
      <c r="D52" s="744">
        <f>IF(D20=0,0,D16/D20)</f>
        <v>19410.106278291674</v>
      </c>
      <c r="E52" s="744">
        <f>IF(E20=0,0,E16/E20)</f>
        <v>21291.860402971513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1986.1217544088051</v>
      </c>
      <c r="D53" s="744">
        <f>IF(D22=0,0,D16/D22)</f>
        <v>2091.5796747727754</v>
      </c>
      <c r="E53" s="744">
        <f>IF(E22=0,0,E16/E22)</f>
        <v>2267.9547152713444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11137.763277575996</v>
      </c>
      <c r="D54" s="744">
        <f>IF(D23=0,0,D16/D23)</f>
        <v>12408.488865678637</v>
      </c>
      <c r="E54" s="744">
        <f>IF(E23=0,0,E16/E23)</f>
        <v>13424.701643129336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1528.8115915452076</v>
      </c>
      <c r="D55" s="744">
        <f>IF(D29=0,0,D16/D29)</f>
        <v>1558.7290872888298</v>
      </c>
      <c r="E55" s="744">
        <f>IF(E29=0,0,E16/E29)</f>
        <v>1648.4560956319385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8573.2617171363654</v>
      </c>
      <c r="D56" s="744">
        <f>IF(D30=0,0,D16/D30)</f>
        <v>9247.3037281422639</v>
      </c>
      <c r="E56" s="744">
        <f>IF(E30=0,0,E16/E30)</f>
        <v>9757.7042022238784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64980063</v>
      </c>
      <c r="D59" s="752">
        <v>69212911</v>
      </c>
      <c r="E59" s="752">
        <v>68135000</v>
      </c>
    </row>
    <row r="60" spans="1:6" ht="26.1" customHeight="1" x14ac:dyDescent="0.25">
      <c r="A60" s="742">
        <v>2</v>
      </c>
      <c r="B60" s="743" t="s">
        <v>968</v>
      </c>
      <c r="C60" s="752">
        <v>7091846</v>
      </c>
      <c r="D60" s="752">
        <v>19798899</v>
      </c>
      <c r="E60" s="752">
        <v>19216000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72071909</v>
      </c>
      <c r="D61" s="755">
        <f>D59+D60</f>
        <v>89011810</v>
      </c>
      <c r="E61" s="755">
        <f>E59+E60</f>
        <v>87351000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11509155</v>
      </c>
      <c r="D64" s="744">
        <v>10079633</v>
      </c>
      <c r="E64" s="752">
        <v>5941000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1256095</v>
      </c>
      <c r="D65" s="752">
        <v>2883358</v>
      </c>
      <c r="E65" s="752">
        <v>1676000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12765250</v>
      </c>
      <c r="D66" s="757">
        <f>D64+D65</f>
        <v>12962991</v>
      </c>
      <c r="E66" s="757">
        <f>E64+E65</f>
        <v>7617000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76016782</v>
      </c>
      <c r="D69" s="752">
        <v>77039456</v>
      </c>
      <c r="E69" s="752">
        <v>77042000</v>
      </c>
    </row>
    <row r="70" spans="1:6" ht="26.1" customHeight="1" x14ac:dyDescent="0.25">
      <c r="A70" s="742">
        <v>2</v>
      </c>
      <c r="B70" s="743" t="s">
        <v>976</v>
      </c>
      <c r="C70" s="752">
        <v>8296059</v>
      </c>
      <c r="D70" s="752">
        <v>22037743</v>
      </c>
      <c r="E70" s="752">
        <v>21727000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84312841</v>
      </c>
      <c r="D71" s="755">
        <f>D69+D70</f>
        <v>99077199</v>
      </c>
      <c r="E71" s="755">
        <f>E69+E70</f>
        <v>98769000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152506000</v>
      </c>
      <c r="D75" s="744">
        <f t="shared" si="0"/>
        <v>156332000</v>
      </c>
      <c r="E75" s="744">
        <f t="shared" si="0"/>
        <v>151118000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16644000</v>
      </c>
      <c r="D76" s="744">
        <f t="shared" si="0"/>
        <v>44720000</v>
      </c>
      <c r="E76" s="744">
        <f t="shared" si="0"/>
        <v>42619000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169150000</v>
      </c>
      <c r="D77" s="757">
        <f>D75+D76</f>
        <v>201052000</v>
      </c>
      <c r="E77" s="757">
        <f>E75+E76</f>
        <v>193737000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790.3</v>
      </c>
      <c r="D80" s="749">
        <v>853</v>
      </c>
      <c r="E80" s="749">
        <v>936.7</v>
      </c>
    </row>
    <row r="81" spans="1:5" ht="26.1" customHeight="1" x14ac:dyDescent="0.25">
      <c r="A81" s="742">
        <v>2</v>
      </c>
      <c r="B81" s="743" t="s">
        <v>617</v>
      </c>
      <c r="C81" s="749">
        <v>74.5</v>
      </c>
      <c r="D81" s="749">
        <v>69.900000000000006</v>
      </c>
      <c r="E81" s="749">
        <v>65.2</v>
      </c>
    </row>
    <row r="82" spans="1:5" ht="26.1" customHeight="1" x14ac:dyDescent="0.25">
      <c r="A82" s="742">
        <v>3</v>
      </c>
      <c r="B82" s="743" t="s">
        <v>982</v>
      </c>
      <c r="C82" s="749">
        <v>1213.4000000000001</v>
      </c>
      <c r="D82" s="749">
        <v>1340.3</v>
      </c>
      <c r="E82" s="749">
        <v>1279.9000000000001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2078.1999999999998</v>
      </c>
      <c r="D83" s="759">
        <f>D80+D81+D82</f>
        <v>2263.1999999999998</v>
      </c>
      <c r="E83" s="759">
        <f>E80+E81+E82</f>
        <v>2281.8000000000002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82222.020751613323</v>
      </c>
      <c r="D86" s="752">
        <f>IF(D80=0,0,D59/D80)</f>
        <v>81140.575615474794</v>
      </c>
      <c r="E86" s="752">
        <f>IF(E80=0,0,E59/E80)</f>
        <v>72739.404291662213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8973.6125521953691</v>
      </c>
      <c r="D87" s="752">
        <f>IF(D80=0,0,D60/D80)</f>
        <v>23210.901524032826</v>
      </c>
      <c r="E87" s="752">
        <f>IF(E80=0,0,E60/E80)</f>
        <v>20514.572435144655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91195.633303808689</v>
      </c>
      <c r="D88" s="755">
        <f>+D86+D87</f>
        <v>104351.47713950762</v>
      </c>
      <c r="E88" s="755">
        <f>+E86+E87</f>
        <v>93253.976726806868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154485.30201342283</v>
      </c>
      <c r="D91" s="744">
        <f>IF(D81=0,0,D64/D81)</f>
        <v>144200.75822603717</v>
      </c>
      <c r="E91" s="744">
        <f>IF(E81=0,0,E64/E81)</f>
        <v>91119.63190184049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16860.335570469797</v>
      </c>
      <c r="D92" s="744">
        <f>IF(D81=0,0,D65/D81)</f>
        <v>41249.756795422029</v>
      </c>
      <c r="E92" s="744">
        <f>IF(E81=0,0,E65/E81)</f>
        <v>25705.521472392636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171345.63758389262</v>
      </c>
      <c r="D93" s="757">
        <f>+D91+D92</f>
        <v>185450.5150214592</v>
      </c>
      <c r="E93" s="757">
        <f>+E91+E92</f>
        <v>116825.15337423312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62647.751771880663</v>
      </c>
      <c r="D96" s="752">
        <f>IF(D82=0,0,D69/D82)</f>
        <v>57479.26285160039</v>
      </c>
      <c r="E96" s="752">
        <f>IF(E82=0,0,E69/E82)</f>
        <v>60193.765137901391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6837.0356024394259</v>
      </c>
      <c r="D97" s="752">
        <f>IF(D82=0,0,D70/D82)</f>
        <v>16442.395732298741</v>
      </c>
      <c r="E97" s="752">
        <f>IF(E82=0,0,E70/E82)</f>
        <v>16975.544964450346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69484.787374320091</v>
      </c>
      <c r="D98" s="757">
        <f>+D96+D97</f>
        <v>73921.65858389913</v>
      </c>
      <c r="E98" s="757">
        <f>+E96+E97</f>
        <v>77169.310102351737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73383.697430468688</v>
      </c>
      <c r="D101" s="744">
        <f>IF(D83=0,0,D75/D83)</f>
        <v>69075.645104277137</v>
      </c>
      <c r="E101" s="744">
        <f>IF(E83=0,0,E75/E83)</f>
        <v>66227.539661670598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8008.8538158021374</v>
      </c>
      <c r="D102" s="761">
        <f>IF(D83=0,0,D76/D83)</f>
        <v>19759.632378932485</v>
      </c>
      <c r="E102" s="761">
        <f>IF(E83=0,0,E76/E83)</f>
        <v>18677.798229467964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81392.551246270828</v>
      </c>
      <c r="D103" s="757">
        <f>+D101+D102</f>
        <v>88835.277483209618</v>
      </c>
      <c r="E103" s="757">
        <f>+E101+E102</f>
        <v>84905.337891138566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1376.5686290466967</v>
      </c>
      <c r="D108" s="744">
        <f>IF(D19=0,0,D77/D19)</f>
        <v>1667.4573291090949</v>
      </c>
      <c r="E108" s="744">
        <f>IF(E19=0,0,E77/E19)</f>
        <v>1749.2235183646935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7719.5144213216499</v>
      </c>
      <c r="D109" s="744">
        <f>IF(D20=0,0,D77/D20)</f>
        <v>9892.3440267663846</v>
      </c>
      <c r="E109" s="744">
        <f>IF(E20=0,0,E77/E20)</f>
        <v>10354.17668751002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899.22803942775693</v>
      </c>
      <c r="D110" s="744">
        <f>IF(D22=0,0,D77/D22)</f>
        <v>1065.9717883865944</v>
      </c>
      <c r="E110" s="744">
        <f>IF(E22=0,0,E77/E22)</f>
        <v>1102.9005167586811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5042.6863375686353</v>
      </c>
      <c r="D111" s="744">
        <f>IF(D23=0,0,D77/D23)</f>
        <v>6323.9757140781958</v>
      </c>
      <c r="E111" s="744">
        <f>IF(E23=0,0,E77/E23)</f>
        <v>6528.3977143992561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692.17823482772224</v>
      </c>
      <c r="D112" s="744">
        <f>IF(D29=0,0,D77/D29)</f>
        <v>794.40494322454458</v>
      </c>
      <c r="E112" s="744">
        <f>IF(E29=0,0,E77/E29)</f>
        <v>801.63993905360769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3881.5935167561552</v>
      </c>
      <c r="D113" s="744">
        <f>IF(D30=0,0,D77/D30)</f>
        <v>4712.8804184390992</v>
      </c>
      <c r="E113" s="744">
        <f>IF(E30=0,0,E77/E30)</f>
        <v>4745.1463358356787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FILING&amp;R&amp;"Arial,Bold"&amp;12SAINT VINCENT`S MEDICAL CENTER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1192685000</v>
      </c>
      <c r="D12" s="76">
        <v>1199089000</v>
      </c>
      <c r="E12" s="76">
        <f t="shared" ref="E12:E21" si="0">D12-C12</f>
        <v>6404000</v>
      </c>
      <c r="F12" s="77">
        <f t="shared" ref="F12:F21" si="1">IF(C12=0,0,E12/C12)</f>
        <v>5.369397619656489E-3</v>
      </c>
    </row>
    <row r="13" spans="1:8" ht="23.1" customHeight="1" x14ac:dyDescent="0.2">
      <c r="A13" s="74">
        <v>2</v>
      </c>
      <c r="B13" s="75" t="s">
        <v>72</v>
      </c>
      <c r="C13" s="76">
        <v>743693000</v>
      </c>
      <c r="D13" s="76">
        <v>749837000</v>
      </c>
      <c r="E13" s="76">
        <f t="shared" si="0"/>
        <v>6144000</v>
      </c>
      <c r="F13" s="77">
        <f t="shared" si="1"/>
        <v>8.2614734843544316E-3</v>
      </c>
    </row>
    <row r="14" spans="1:8" ht="23.1" customHeight="1" x14ac:dyDescent="0.2">
      <c r="A14" s="74">
        <v>3</v>
      </c>
      <c r="B14" s="75" t="s">
        <v>73</v>
      </c>
      <c r="C14" s="76">
        <v>14991000</v>
      </c>
      <c r="D14" s="76">
        <v>17249000</v>
      </c>
      <c r="E14" s="76">
        <f t="shared" si="0"/>
        <v>2258000</v>
      </c>
      <c r="F14" s="77">
        <f t="shared" si="1"/>
        <v>0.15062370755786805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434001000</v>
      </c>
      <c r="D16" s="79">
        <f>D12-D13-D14-D15</f>
        <v>432003000</v>
      </c>
      <c r="E16" s="79">
        <f t="shared" si="0"/>
        <v>-1998000</v>
      </c>
      <c r="F16" s="80">
        <f t="shared" si="1"/>
        <v>-4.6036760283962481E-3</v>
      </c>
    </row>
    <row r="17" spans="1:7" ht="23.1" customHeight="1" x14ac:dyDescent="0.2">
      <c r="A17" s="74">
        <v>5</v>
      </c>
      <c r="B17" s="75" t="s">
        <v>76</v>
      </c>
      <c r="C17" s="76">
        <v>25817000</v>
      </c>
      <c r="D17" s="76">
        <v>30938000</v>
      </c>
      <c r="E17" s="76">
        <f t="shared" si="0"/>
        <v>5121000</v>
      </c>
      <c r="F17" s="77">
        <f t="shared" si="1"/>
        <v>0.19835767130185536</v>
      </c>
      <c r="G17" s="65"/>
    </row>
    <row r="18" spans="1:7" ht="31.5" customHeight="1" x14ac:dyDescent="0.25">
      <c r="A18" s="71"/>
      <c r="B18" s="81" t="s">
        <v>77</v>
      </c>
      <c r="C18" s="79">
        <f>C16-C17</f>
        <v>408184000</v>
      </c>
      <c r="D18" s="79">
        <f>D16-D17</f>
        <v>401065000</v>
      </c>
      <c r="E18" s="79">
        <f t="shared" si="0"/>
        <v>-7119000</v>
      </c>
      <c r="F18" s="80">
        <f t="shared" si="1"/>
        <v>-1.7440664014268074E-2</v>
      </c>
    </row>
    <row r="19" spans="1:7" ht="23.1" customHeight="1" x14ac:dyDescent="0.2">
      <c r="A19" s="74">
        <v>6</v>
      </c>
      <c r="B19" s="75" t="s">
        <v>78</v>
      </c>
      <c r="C19" s="76">
        <v>15967000</v>
      </c>
      <c r="D19" s="76">
        <v>20396000</v>
      </c>
      <c r="E19" s="76">
        <f t="shared" si="0"/>
        <v>4429000</v>
      </c>
      <c r="F19" s="77">
        <f t="shared" si="1"/>
        <v>0.27738460574935803</v>
      </c>
      <c r="G19" s="65"/>
    </row>
    <row r="20" spans="1:7" ht="33" customHeight="1" x14ac:dyDescent="0.2">
      <c r="A20" s="74">
        <v>7</v>
      </c>
      <c r="B20" s="82" t="s">
        <v>79</v>
      </c>
      <c r="C20" s="76">
        <v>580000</v>
      </c>
      <c r="D20" s="76">
        <v>252000</v>
      </c>
      <c r="E20" s="76">
        <f t="shared" si="0"/>
        <v>-328000</v>
      </c>
      <c r="F20" s="77">
        <f t="shared" si="1"/>
        <v>-0.56551724137931036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424731000</v>
      </c>
      <c r="D21" s="79">
        <f>SUM(D18:D20)</f>
        <v>421713000</v>
      </c>
      <c r="E21" s="79">
        <f t="shared" si="0"/>
        <v>-3018000</v>
      </c>
      <c r="F21" s="80">
        <f t="shared" si="1"/>
        <v>-7.1056739442141026E-3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156332000</v>
      </c>
      <c r="D24" s="76">
        <v>151118000</v>
      </c>
      <c r="E24" s="76">
        <f t="shared" ref="E24:E33" si="2">D24-C24</f>
        <v>-5214000</v>
      </c>
      <c r="F24" s="77">
        <f t="shared" ref="F24:F33" si="3">IF(C24=0,0,E24/C24)</f>
        <v>-3.3352096819589082E-2</v>
      </c>
    </row>
    <row r="25" spans="1:7" ht="23.1" customHeight="1" x14ac:dyDescent="0.2">
      <c r="A25" s="74">
        <v>2</v>
      </c>
      <c r="B25" s="75" t="s">
        <v>83</v>
      </c>
      <c r="C25" s="76">
        <v>44720000</v>
      </c>
      <c r="D25" s="76">
        <v>42619000</v>
      </c>
      <c r="E25" s="76">
        <f t="shared" si="2"/>
        <v>-2101000</v>
      </c>
      <c r="F25" s="77">
        <f t="shared" si="3"/>
        <v>-4.6981216457960641E-2</v>
      </c>
    </row>
    <row r="26" spans="1:7" ht="23.1" customHeight="1" x14ac:dyDescent="0.2">
      <c r="A26" s="74">
        <v>3</v>
      </c>
      <c r="B26" s="75" t="s">
        <v>84</v>
      </c>
      <c r="C26" s="76">
        <v>3988000</v>
      </c>
      <c r="D26" s="76">
        <v>11775000</v>
      </c>
      <c r="E26" s="76">
        <f t="shared" si="2"/>
        <v>7787000</v>
      </c>
      <c r="F26" s="77">
        <f t="shared" si="3"/>
        <v>1.9526078234704112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42973000</v>
      </c>
      <c r="D27" s="76">
        <v>47957000</v>
      </c>
      <c r="E27" s="76">
        <f t="shared" si="2"/>
        <v>4984000</v>
      </c>
      <c r="F27" s="77">
        <f t="shared" si="3"/>
        <v>0.11597980127056524</v>
      </c>
    </row>
    <row r="28" spans="1:7" ht="23.1" customHeight="1" x14ac:dyDescent="0.2">
      <c r="A28" s="74">
        <v>5</v>
      </c>
      <c r="B28" s="75" t="s">
        <v>86</v>
      </c>
      <c r="C28" s="76">
        <v>24642000</v>
      </c>
      <c r="D28" s="76">
        <v>26699000</v>
      </c>
      <c r="E28" s="76">
        <f t="shared" si="2"/>
        <v>2057000</v>
      </c>
      <c r="F28" s="77">
        <f t="shared" si="3"/>
        <v>8.3475367259151043E-2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1954000</v>
      </c>
      <c r="D30" s="76">
        <v>1818000</v>
      </c>
      <c r="E30" s="76">
        <f t="shared" si="2"/>
        <v>-136000</v>
      </c>
      <c r="F30" s="77">
        <f t="shared" si="3"/>
        <v>-6.9600818833162742E-2</v>
      </c>
    </row>
    <row r="31" spans="1:7" ht="23.1" customHeight="1" x14ac:dyDescent="0.2">
      <c r="A31" s="74">
        <v>8</v>
      </c>
      <c r="B31" s="75" t="s">
        <v>89</v>
      </c>
      <c r="C31" s="76">
        <v>3184000</v>
      </c>
      <c r="D31" s="76">
        <v>4187000</v>
      </c>
      <c r="E31" s="76">
        <f t="shared" si="2"/>
        <v>1003000</v>
      </c>
      <c r="F31" s="77">
        <f t="shared" si="3"/>
        <v>0.31501256281407036</v>
      </c>
    </row>
    <row r="32" spans="1:7" ht="23.1" customHeight="1" x14ac:dyDescent="0.2">
      <c r="A32" s="74">
        <v>9</v>
      </c>
      <c r="B32" s="75" t="s">
        <v>90</v>
      </c>
      <c r="C32" s="76">
        <v>116698000</v>
      </c>
      <c r="D32" s="76">
        <v>112219000</v>
      </c>
      <c r="E32" s="76">
        <f t="shared" si="2"/>
        <v>-4479000</v>
      </c>
      <c r="F32" s="77">
        <f t="shared" si="3"/>
        <v>-3.8381120499065967E-2</v>
      </c>
    </row>
    <row r="33" spans="1:6" ht="23.1" customHeight="1" x14ac:dyDescent="0.25">
      <c r="A33" s="71"/>
      <c r="B33" s="78" t="s">
        <v>91</v>
      </c>
      <c r="C33" s="79">
        <f>SUM(C24:C32)</f>
        <v>394491000</v>
      </c>
      <c r="D33" s="79">
        <f>SUM(D24:D32)</f>
        <v>398392000</v>
      </c>
      <c r="E33" s="79">
        <f t="shared" si="2"/>
        <v>3901000</v>
      </c>
      <c r="F33" s="80">
        <f t="shared" si="3"/>
        <v>9.8886920107176084E-3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30240000</v>
      </c>
      <c r="D35" s="79">
        <f>+D21-D33</f>
        <v>23321000</v>
      </c>
      <c r="E35" s="79">
        <f>D35-C35</f>
        <v>-6919000</v>
      </c>
      <c r="F35" s="80">
        <f>IF(C35=0,0,E35/C35)</f>
        <v>-0.22880291005291006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24164000</v>
      </c>
      <c r="D38" s="76">
        <v>21911000</v>
      </c>
      <c r="E38" s="76">
        <f>D38-C38</f>
        <v>-2253000</v>
      </c>
      <c r="F38" s="77">
        <f>IF(C38=0,0,E38/C38)</f>
        <v>-9.3237874524085412E-2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-501000</v>
      </c>
      <c r="D40" s="76">
        <v>-250000</v>
      </c>
      <c r="E40" s="76">
        <f>D40-C40</f>
        <v>251000</v>
      </c>
      <c r="F40" s="77">
        <f>IF(C40=0,0,E40/C40)</f>
        <v>-0.50099800399201599</v>
      </c>
    </row>
    <row r="41" spans="1:6" ht="23.1" customHeight="1" x14ac:dyDescent="0.25">
      <c r="A41" s="83"/>
      <c r="B41" s="78" t="s">
        <v>97</v>
      </c>
      <c r="C41" s="79">
        <f>SUM(C38:C40)</f>
        <v>23663000</v>
      </c>
      <c r="D41" s="79">
        <f>SUM(D38:D40)</f>
        <v>21661000</v>
      </c>
      <c r="E41" s="79">
        <f>D41-C41</f>
        <v>-2002000</v>
      </c>
      <c r="F41" s="80">
        <f>IF(C41=0,0,E41/C41)</f>
        <v>-8.4604657059544439E-2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53903000</v>
      </c>
      <c r="D43" s="79">
        <f>D35+D41</f>
        <v>44982000</v>
      </c>
      <c r="E43" s="79">
        <f>D43-C43</f>
        <v>-8921000</v>
      </c>
      <c r="F43" s="80">
        <f>IF(C43=0,0,E43/C43)</f>
        <v>-0.16550099252360723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53903000</v>
      </c>
      <c r="D50" s="79">
        <f>D43+D48</f>
        <v>44982000</v>
      </c>
      <c r="E50" s="79">
        <f>D50-C50</f>
        <v>-8921000</v>
      </c>
      <c r="F50" s="80">
        <f>IF(C50=0,0,E50/C50)</f>
        <v>-0.16550099252360723</v>
      </c>
    </row>
    <row r="51" spans="1:6" ht="23.1" customHeight="1" x14ac:dyDescent="0.2">
      <c r="A51" s="85"/>
      <c r="B51" s="75" t="s">
        <v>104</v>
      </c>
      <c r="C51" s="76">
        <v>458802</v>
      </c>
      <c r="D51" s="76">
        <v>838147</v>
      </c>
      <c r="E51" s="76">
        <f>D51-C51</f>
        <v>379345</v>
      </c>
      <c r="F51" s="77">
        <f>IF(C51=0,0,E51/C51)</f>
        <v>0.82681636087026644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FILING&amp;RSAINT VINCENT`S MEDICAL CENTER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294090981</v>
      </c>
      <c r="D14" s="113">
        <v>292735408</v>
      </c>
      <c r="E14" s="113">
        <f t="shared" ref="E14:E25" si="0">D14-C14</f>
        <v>-1355573</v>
      </c>
      <c r="F14" s="114">
        <f t="shared" ref="F14:F25" si="1">IF(C14=0,0,E14/C14)</f>
        <v>-4.6093661063342844E-3</v>
      </c>
    </row>
    <row r="15" spans="1:6" x14ac:dyDescent="0.2">
      <c r="A15" s="115">
        <v>2</v>
      </c>
      <c r="B15" s="116" t="s">
        <v>114</v>
      </c>
      <c r="C15" s="113">
        <v>143995290</v>
      </c>
      <c r="D15" s="113">
        <v>128326299</v>
      </c>
      <c r="E15" s="113">
        <f t="shared" si="0"/>
        <v>-15668991</v>
      </c>
      <c r="F15" s="114">
        <f t="shared" si="1"/>
        <v>-0.10881599668989173</v>
      </c>
    </row>
    <row r="16" spans="1:6" x14ac:dyDescent="0.2">
      <c r="A16" s="115">
        <v>3</v>
      </c>
      <c r="B16" s="116" t="s">
        <v>115</v>
      </c>
      <c r="C16" s="113">
        <v>140676638</v>
      </c>
      <c r="D16" s="113">
        <v>144867015</v>
      </c>
      <c r="E16" s="113">
        <f t="shared" si="0"/>
        <v>4190377</v>
      </c>
      <c r="F16" s="114">
        <f t="shared" si="1"/>
        <v>2.9787298442545948E-2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593771</v>
      </c>
      <c r="D18" s="113">
        <v>542043</v>
      </c>
      <c r="E18" s="113">
        <f t="shared" si="0"/>
        <v>-51728</v>
      </c>
      <c r="F18" s="114">
        <f t="shared" si="1"/>
        <v>-8.7117760887614928E-2</v>
      </c>
    </row>
    <row r="19" spans="1:6" x14ac:dyDescent="0.2">
      <c r="A19" s="115">
        <v>6</v>
      </c>
      <c r="B19" s="116" t="s">
        <v>118</v>
      </c>
      <c r="C19" s="113">
        <v>42586139</v>
      </c>
      <c r="D19" s="113">
        <v>39511208</v>
      </c>
      <c r="E19" s="113">
        <f t="shared" si="0"/>
        <v>-3074931</v>
      </c>
      <c r="F19" s="114">
        <f t="shared" si="1"/>
        <v>-7.2204972608575765E-2</v>
      </c>
    </row>
    <row r="20" spans="1:6" x14ac:dyDescent="0.2">
      <c r="A20" s="115">
        <v>7</v>
      </c>
      <c r="B20" s="116" t="s">
        <v>119</v>
      </c>
      <c r="C20" s="113">
        <v>113045941</v>
      </c>
      <c r="D20" s="113">
        <v>123696867</v>
      </c>
      <c r="E20" s="113">
        <f t="shared" si="0"/>
        <v>10650926</v>
      </c>
      <c r="F20" s="114">
        <f t="shared" si="1"/>
        <v>9.4217677395422805E-2</v>
      </c>
    </row>
    <row r="21" spans="1:6" x14ac:dyDescent="0.2">
      <c r="A21" s="115">
        <v>8</v>
      </c>
      <c r="B21" s="116" t="s">
        <v>120</v>
      </c>
      <c r="C21" s="113">
        <v>4507042</v>
      </c>
      <c r="D21" s="113">
        <v>4972144</v>
      </c>
      <c r="E21" s="113">
        <f t="shared" si="0"/>
        <v>465102</v>
      </c>
      <c r="F21" s="114">
        <f t="shared" si="1"/>
        <v>0.10319451205469131</v>
      </c>
    </row>
    <row r="22" spans="1:6" x14ac:dyDescent="0.2">
      <c r="A22" s="115">
        <v>9</v>
      </c>
      <c r="B22" s="116" t="s">
        <v>121</v>
      </c>
      <c r="C22" s="113">
        <v>21755534</v>
      </c>
      <c r="D22" s="113">
        <v>20452129</v>
      </c>
      <c r="E22" s="113">
        <f t="shared" si="0"/>
        <v>-1303405</v>
      </c>
      <c r="F22" s="114">
        <f t="shared" si="1"/>
        <v>-5.9911422997017676E-2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1208411</v>
      </c>
      <c r="D24" s="113">
        <v>932663</v>
      </c>
      <c r="E24" s="113">
        <f t="shared" si="0"/>
        <v>-275748</v>
      </c>
      <c r="F24" s="114">
        <f t="shared" si="1"/>
        <v>-0.22819057423343547</v>
      </c>
    </row>
    <row r="25" spans="1:6" ht="15.75" x14ac:dyDescent="0.25">
      <c r="A25" s="117"/>
      <c r="B25" s="118" t="s">
        <v>124</v>
      </c>
      <c r="C25" s="119">
        <f>SUM(C14:C24)</f>
        <v>762459747</v>
      </c>
      <c r="D25" s="119">
        <f>SUM(D14:D24)</f>
        <v>756035776</v>
      </c>
      <c r="E25" s="119">
        <f t="shared" si="0"/>
        <v>-6423971</v>
      </c>
      <c r="F25" s="120">
        <f t="shared" si="1"/>
        <v>-8.4253247798011296E-3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90030823</v>
      </c>
      <c r="D27" s="113">
        <v>106454359</v>
      </c>
      <c r="E27" s="113">
        <f t="shared" ref="E27:E38" si="2">D27-C27</f>
        <v>16423536</v>
      </c>
      <c r="F27" s="114">
        <f t="shared" ref="F27:F38" si="3">IF(C27=0,0,E27/C27)</f>
        <v>0.18242125810623769</v>
      </c>
    </row>
    <row r="28" spans="1:6" x14ac:dyDescent="0.2">
      <c r="A28" s="115">
        <v>2</v>
      </c>
      <c r="B28" s="116" t="s">
        <v>114</v>
      </c>
      <c r="C28" s="113">
        <v>46902652</v>
      </c>
      <c r="D28" s="113">
        <v>45866214</v>
      </c>
      <c r="E28" s="113">
        <f t="shared" si="2"/>
        <v>-1036438</v>
      </c>
      <c r="F28" s="114">
        <f t="shared" si="3"/>
        <v>-2.2097641728233194E-2</v>
      </c>
    </row>
    <row r="29" spans="1:6" x14ac:dyDescent="0.2">
      <c r="A29" s="115">
        <v>3</v>
      </c>
      <c r="B29" s="116" t="s">
        <v>115</v>
      </c>
      <c r="C29" s="113">
        <v>100790177</v>
      </c>
      <c r="D29" s="113">
        <v>99756592</v>
      </c>
      <c r="E29" s="113">
        <f t="shared" si="2"/>
        <v>-1033585</v>
      </c>
      <c r="F29" s="114">
        <f t="shared" si="3"/>
        <v>-1.0254818780603987E-2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438381</v>
      </c>
      <c r="D31" s="113">
        <v>258853</v>
      </c>
      <c r="E31" s="113">
        <f t="shared" si="2"/>
        <v>-179528</v>
      </c>
      <c r="F31" s="114">
        <f t="shared" si="3"/>
        <v>-0.40952504784650795</v>
      </c>
    </row>
    <row r="32" spans="1:6" x14ac:dyDescent="0.2">
      <c r="A32" s="115">
        <v>6</v>
      </c>
      <c r="B32" s="116" t="s">
        <v>118</v>
      </c>
      <c r="C32" s="113">
        <v>44855822</v>
      </c>
      <c r="D32" s="113">
        <v>46397607</v>
      </c>
      <c r="E32" s="113">
        <f t="shared" si="2"/>
        <v>1541785</v>
      </c>
      <c r="F32" s="114">
        <f t="shared" si="3"/>
        <v>3.4372015298259388E-2</v>
      </c>
    </row>
    <row r="33" spans="1:6" x14ac:dyDescent="0.2">
      <c r="A33" s="115">
        <v>7</v>
      </c>
      <c r="B33" s="116" t="s">
        <v>119</v>
      </c>
      <c r="C33" s="113">
        <v>106301651</v>
      </c>
      <c r="D33" s="113">
        <v>110616013</v>
      </c>
      <c r="E33" s="113">
        <f t="shared" si="2"/>
        <v>4314362</v>
      </c>
      <c r="F33" s="114">
        <f t="shared" si="3"/>
        <v>4.0586030032590932E-2</v>
      </c>
    </row>
    <row r="34" spans="1:6" x14ac:dyDescent="0.2">
      <c r="A34" s="115">
        <v>8</v>
      </c>
      <c r="B34" s="116" t="s">
        <v>120</v>
      </c>
      <c r="C34" s="113">
        <v>5425937</v>
      </c>
      <c r="D34" s="113">
        <v>3578598</v>
      </c>
      <c r="E34" s="113">
        <f t="shared" si="2"/>
        <v>-1847339</v>
      </c>
      <c r="F34" s="114">
        <f t="shared" si="3"/>
        <v>-0.34046451331816052</v>
      </c>
    </row>
    <row r="35" spans="1:6" x14ac:dyDescent="0.2">
      <c r="A35" s="115">
        <v>9</v>
      </c>
      <c r="B35" s="116" t="s">
        <v>121</v>
      </c>
      <c r="C35" s="113">
        <v>34649030</v>
      </c>
      <c r="D35" s="113">
        <v>29956877</v>
      </c>
      <c r="E35" s="113">
        <f t="shared" si="2"/>
        <v>-4692153</v>
      </c>
      <c r="F35" s="114">
        <f t="shared" si="3"/>
        <v>-0.13541946195896393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831278</v>
      </c>
      <c r="D37" s="113">
        <v>167823</v>
      </c>
      <c r="E37" s="113">
        <f t="shared" si="2"/>
        <v>-663455</v>
      </c>
      <c r="F37" s="114">
        <f t="shared" si="3"/>
        <v>-0.79811446952764298</v>
      </c>
    </row>
    <row r="38" spans="1:6" ht="15.75" x14ac:dyDescent="0.25">
      <c r="A38" s="117"/>
      <c r="B38" s="118" t="s">
        <v>126</v>
      </c>
      <c r="C38" s="119">
        <f>SUM(C27:C37)</f>
        <v>430225751</v>
      </c>
      <c r="D38" s="119">
        <f>SUM(D27:D37)</f>
        <v>443052936</v>
      </c>
      <c r="E38" s="119">
        <f t="shared" si="2"/>
        <v>12827185</v>
      </c>
      <c r="F38" s="120">
        <f t="shared" si="3"/>
        <v>2.9815009841193816E-2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384121804</v>
      </c>
      <c r="D41" s="119">
        <f t="shared" si="4"/>
        <v>399189767</v>
      </c>
      <c r="E41" s="123">
        <f t="shared" ref="E41:E52" si="5">D41-C41</f>
        <v>15067963</v>
      </c>
      <c r="F41" s="124">
        <f t="shared" ref="F41:F52" si="6">IF(C41=0,0,E41/C41)</f>
        <v>3.9227044242455968E-2</v>
      </c>
    </row>
    <row r="42" spans="1:6" ht="15.75" x14ac:dyDescent="0.25">
      <c r="A42" s="121">
        <v>2</v>
      </c>
      <c r="B42" s="122" t="s">
        <v>114</v>
      </c>
      <c r="C42" s="119">
        <f t="shared" si="4"/>
        <v>190897942</v>
      </c>
      <c r="D42" s="119">
        <f t="shared" si="4"/>
        <v>174192513</v>
      </c>
      <c r="E42" s="123">
        <f t="shared" si="5"/>
        <v>-16705429</v>
      </c>
      <c r="F42" s="124">
        <f t="shared" si="6"/>
        <v>-8.750973858062859E-2</v>
      </c>
    </row>
    <row r="43" spans="1:6" ht="15.75" x14ac:dyDescent="0.25">
      <c r="A43" s="121">
        <v>3</v>
      </c>
      <c r="B43" s="122" t="s">
        <v>115</v>
      </c>
      <c r="C43" s="119">
        <f t="shared" si="4"/>
        <v>241466815</v>
      </c>
      <c r="D43" s="119">
        <f t="shared" si="4"/>
        <v>244623607</v>
      </c>
      <c r="E43" s="123">
        <f t="shared" si="5"/>
        <v>3156792</v>
      </c>
      <c r="F43" s="124">
        <f t="shared" si="6"/>
        <v>1.3073398926473603E-2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1032152</v>
      </c>
      <c r="D45" s="119">
        <f t="shared" si="4"/>
        <v>800896</v>
      </c>
      <c r="E45" s="123">
        <f t="shared" si="5"/>
        <v>-231256</v>
      </c>
      <c r="F45" s="124">
        <f t="shared" si="6"/>
        <v>-0.22405227137088335</v>
      </c>
    </row>
    <row r="46" spans="1:6" ht="15.75" x14ac:dyDescent="0.25">
      <c r="A46" s="121">
        <v>6</v>
      </c>
      <c r="B46" s="122" t="s">
        <v>118</v>
      </c>
      <c r="C46" s="119">
        <f t="shared" si="4"/>
        <v>87441961</v>
      </c>
      <c r="D46" s="119">
        <f t="shared" si="4"/>
        <v>85908815</v>
      </c>
      <c r="E46" s="123">
        <f t="shared" si="5"/>
        <v>-1533146</v>
      </c>
      <c r="F46" s="124">
        <f t="shared" si="6"/>
        <v>-1.7533298458391161E-2</v>
      </c>
    </row>
    <row r="47" spans="1:6" ht="15.75" x14ac:dyDescent="0.25">
      <c r="A47" s="121">
        <v>7</v>
      </c>
      <c r="B47" s="122" t="s">
        <v>119</v>
      </c>
      <c r="C47" s="119">
        <f t="shared" si="4"/>
        <v>219347592</v>
      </c>
      <c r="D47" s="119">
        <f t="shared" si="4"/>
        <v>234312880</v>
      </c>
      <c r="E47" s="123">
        <f t="shared" si="5"/>
        <v>14965288</v>
      </c>
      <c r="F47" s="124">
        <f t="shared" si="6"/>
        <v>6.8226361016992615E-2</v>
      </c>
    </row>
    <row r="48" spans="1:6" ht="15.75" x14ac:dyDescent="0.25">
      <c r="A48" s="121">
        <v>8</v>
      </c>
      <c r="B48" s="122" t="s">
        <v>120</v>
      </c>
      <c r="C48" s="119">
        <f t="shared" si="4"/>
        <v>9932979</v>
      </c>
      <c r="D48" s="119">
        <f t="shared" si="4"/>
        <v>8550742</v>
      </c>
      <c r="E48" s="123">
        <f t="shared" si="5"/>
        <v>-1382237</v>
      </c>
      <c r="F48" s="124">
        <f t="shared" si="6"/>
        <v>-0.13915633970433242</v>
      </c>
    </row>
    <row r="49" spans="1:6" ht="15.75" x14ac:dyDescent="0.25">
      <c r="A49" s="121">
        <v>9</v>
      </c>
      <c r="B49" s="122" t="s">
        <v>121</v>
      </c>
      <c r="C49" s="119">
        <f t="shared" si="4"/>
        <v>56404564</v>
      </c>
      <c r="D49" s="119">
        <f t="shared" si="4"/>
        <v>50409006</v>
      </c>
      <c r="E49" s="123">
        <f t="shared" si="5"/>
        <v>-5995558</v>
      </c>
      <c r="F49" s="124">
        <f t="shared" si="6"/>
        <v>-0.10629561820564733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2039689</v>
      </c>
      <c r="D51" s="119">
        <f t="shared" si="4"/>
        <v>1100486</v>
      </c>
      <c r="E51" s="123">
        <f t="shared" si="5"/>
        <v>-939203</v>
      </c>
      <c r="F51" s="124">
        <f t="shared" si="6"/>
        <v>-0.46046382561263016</v>
      </c>
    </row>
    <row r="52" spans="1:6" ht="18.75" customHeight="1" thickBot="1" x14ac:dyDescent="0.3">
      <c r="A52" s="125"/>
      <c r="B52" s="126" t="s">
        <v>128</v>
      </c>
      <c r="C52" s="127">
        <f>SUM(C41:C51)</f>
        <v>1192685498</v>
      </c>
      <c r="D52" s="128">
        <f>SUM(D41:D51)</f>
        <v>1199088712</v>
      </c>
      <c r="E52" s="127">
        <f t="shared" si="5"/>
        <v>6403214</v>
      </c>
      <c r="F52" s="129">
        <f t="shared" si="6"/>
        <v>5.3687363607065504E-3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85731752</v>
      </c>
      <c r="D57" s="113">
        <v>87654885</v>
      </c>
      <c r="E57" s="113">
        <f t="shared" ref="E57:E68" si="7">D57-C57</f>
        <v>1923133</v>
      </c>
      <c r="F57" s="114">
        <f t="shared" ref="F57:F68" si="8">IF(C57=0,0,E57/C57)</f>
        <v>2.2431980627200993E-2</v>
      </c>
    </row>
    <row r="58" spans="1:6" x14ac:dyDescent="0.2">
      <c r="A58" s="115">
        <v>2</v>
      </c>
      <c r="B58" s="116" t="s">
        <v>114</v>
      </c>
      <c r="C58" s="113">
        <v>41197548</v>
      </c>
      <c r="D58" s="113">
        <v>32983724</v>
      </c>
      <c r="E58" s="113">
        <f t="shared" si="7"/>
        <v>-8213824</v>
      </c>
      <c r="F58" s="114">
        <f t="shared" si="8"/>
        <v>-0.19937652600101347</v>
      </c>
    </row>
    <row r="59" spans="1:6" x14ac:dyDescent="0.2">
      <c r="A59" s="115">
        <v>3</v>
      </c>
      <c r="B59" s="116" t="s">
        <v>115</v>
      </c>
      <c r="C59" s="113">
        <v>34020629</v>
      </c>
      <c r="D59" s="113">
        <v>36206115</v>
      </c>
      <c r="E59" s="113">
        <f t="shared" si="7"/>
        <v>2185486</v>
      </c>
      <c r="F59" s="114">
        <f t="shared" si="8"/>
        <v>6.4240023310562541E-2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109681</v>
      </c>
      <c r="D61" s="113">
        <v>154612</v>
      </c>
      <c r="E61" s="113">
        <f t="shared" si="7"/>
        <v>44931</v>
      </c>
      <c r="F61" s="114">
        <f t="shared" si="8"/>
        <v>0.40965162607926625</v>
      </c>
    </row>
    <row r="62" spans="1:6" x14ac:dyDescent="0.2">
      <c r="A62" s="115">
        <v>6</v>
      </c>
      <c r="B62" s="116" t="s">
        <v>118</v>
      </c>
      <c r="C62" s="113">
        <v>25494992</v>
      </c>
      <c r="D62" s="113">
        <v>18659535</v>
      </c>
      <c r="E62" s="113">
        <f t="shared" si="7"/>
        <v>-6835457</v>
      </c>
      <c r="F62" s="114">
        <f t="shared" si="8"/>
        <v>-0.26810979191521223</v>
      </c>
    </row>
    <row r="63" spans="1:6" x14ac:dyDescent="0.2">
      <c r="A63" s="115">
        <v>7</v>
      </c>
      <c r="B63" s="116" t="s">
        <v>119</v>
      </c>
      <c r="C63" s="113">
        <v>65846365</v>
      </c>
      <c r="D63" s="113">
        <v>70245407</v>
      </c>
      <c r="E63" s="113">
        <f t="shared" si="7"/>
        <v>4399042</v>
      </c>
      <c r="F63" s="114">
        <f t="shared" si="8"/>
        <v>6.6807666603919597E-2</v>
      </c>
    </row>
    <row r="64" spans="1:6" x14ac:dyDescent="0.2">
      <c r="A64" s="115">
        <v>8</v>
      </c>
      <c r="B64" s="116" t="s">
        <v>120</v>
      </c>
      <c r="C64" s="113">
        <v>3603966</v>
      </c>
      <c r="D64" s="113">
        <v>4035976</v>
      </c>
      <c r="E64" s="113">
        <f t="shared" si="7"/>
        <v>432010</v>
      </c>
      <c r="F64" s="114">
        <f t="shared" si="8"/>
        <v>0.11987072020102299</v>
      </c>
    </row>
    <row r="65" spans="1:6" x14ac:dyDescent="0.2">
      <c r="A65" s="115">
        <v>9</v>
      </c>
      <c r="B65" s="116" t="s">
        <v>121</v>
      </c>
      <c r="C65" s="113">
        <v>167941</v>
      </c>
      <c r="D65" s="113">
        <v>1347825</v>
      </c>
      <c r="E65" s="113">
        <f t="shared" si="7"/>
        <v>1179884</v>
      </c>
      <c r="F65" s="114">
        <f t="shared" si="8"/>
        <v>7.025586366640665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492200</v>
      </c>
      <c r="D67" s="113">
        <v>107170</v>
      </c>
      <c r="E67" s="113">
        <f t="shared" si="7"/>
        <v>-385030</v>
      </c>
      <c r="F67" s="114">
        <f t="shared" si="8"/>
        <v>-0.78226330759853713</v>
      </c>
    </row>
    <row r="68" spans="1:6" ht="15.75" x14ac:dyDescent="0.25">
      <c r="A68" s="117"/>
      <c r="B68" s="118" t="s">
        <v>131</v>
      </c>
      <c r="C68" s="119">
        <f>SUM(C57:C67)</f>
        <v>256665074</v>
      </c>
      <c r="D68" s="119">
        <f>SUM(D57:D67)</f>
        <v>251395249</v>
      </c>
      <c r="E68" s="119">
        <f t="shared" si="7"/>
        <v>-5269825</v>
      </c>
      <c r="F68" s="120">
        <f t="shared" si="8"/>
        <v>-2.0531913118806339E-2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22176205</v>
      </c>
      <c r="D70" s="113">
        <v>26320581</v>
      </c>
      <c r="E70" s="113">
        <f t="shared" ref="E70:E81" si="9">D70-C70</f>
        <v>4144376</v>
      </c>
      <c r="F70" s="114">
        <f t="shared" ref="F70:F81" si="10">IF(C70=0,0,E70/C70)</f>
        <v>0.18688391453812769</v>
      </c>
    </row>
    <row r="71" spans="1:6" x14ac:dyDescent="0.2">
      <c r="A71" s="115">
        <v>2</v>
      </c>
      <c r="B71" s="116" t="s">
        <v>114</v>
      </c>
      <c r="C71" s="113">
        <v>11576518</v>
      </c>
      <c r="D71" s="113">
        <v>9696584</v>
      </c>
      <c r="E71" s="113">
        <f t="shared" si="9"/>
        <v>-1879934</v>
      </c>
      <c r="F71" s="114">
        <f t="shared" si="10"/>
        <v>-0.16239200768313927</v>
      </c>
    </row>
    <row r="72" spans="1:6" x14ac:dyDescent="0.2">
      <c r="A72" s="115">
        <v>3</v>
      </c>
      <c r="B72" s="116" t="s">
        <v>115</v>
      </c>
      <c r="C72" s="113">
        <v>22452103</v>
      </c>
      <c r="D72" s="113">
        <v>24150433</v>
      </c>
      <c r="E72" s="113">
        <f t="shared" si="9"/>
        <v>1698330</v>
      </c>
      <c r="F72" s="114">
        <f t="shared" si="10"/>
        <v>7.5642357421930581E-2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42995</v>
      </c>
      <c r="D74" s="113">
        <v>92891</v>
      </c>
      <c r="E74" s="113">
        <f t="shared" si="9"/>
        <v>49896</v>
      </c>
      <c r="F74" s="114">
        <f t="shared" si="10"/>
        <v>1.1605070357018259</v>
      </c>
    </row>
    <row r="75" spans="1:6" x14ac:dyDescent="0.2">
      <c r="A75" s="115">
        <v>6</v>
      </c>
      <c r="B75" s="116" t="s">
        <v>118</v>
      </c>
      <c r="C75" s="113">
        <v>27268599</v>
      </c>
      <c r="D75" s="113">
        <v>26902738</v>
      </c>
      <c r="E75" s="113">
        <f t="shared" si="9"/>
        <v>-365861</v>
      </c>
      <c r="F75" s="114">
        <f t="shared" si="10"/>
        <v>-1.3416934254671463E-2</v>
      </c>
    </row>
    <row r="76" spans="1:6" x14ac:dyDescent="0.2">
      <c r="A76" s="115">
        <v>7</v>
      </c>
      <c r="B76" s="116" t="s">
        <v>119</v>
      </c>
      <c r="C76" s="113">
        <v>57421790</v>
      </c>
      <c r="D76" s="113">
        <v>59072491</v>
      </c>
      <c r="E76" s="113">
        <f t="shared" si="9"/>
        <v>1650701</v>
      </c>
      <c r="F76" s="114">
        <f t="shared" si="10"/>
        <v>2.8746944322007379E-2</v>
      </c>
    </row>
    <row r="77" spans="1:6" x14ac:dyDescent="0.2">
      <c r="A77" s="115">
        <v>8</v>
      </c>
      <c r="B77" s="116" t="s">
        <v>120</v>
      </c>
      <c r="C77" s="113">
        <v>3988691</v>
      </c>
      <c r="D77" s="113">
        <v>2612323</v>
      </c>
      <c r="E77" s="113">
        <f t="shared" si="9"/>
        <v>-1376368</v>
      </c>
      <c r="F77" s="114">
        <f t="shared" si="10"/>
        <v>-0.34506759235047285</v>
      </c>
    </row>
    <row r="78" spans="1:6" x14ac:dyDescent="0.2">
      <c r="A78" s="115">
        <v>9</v>
      </c>
      <c r="B78" s="116" t="s">
        <v>121</v>
      </c>
      <c r="C78" s="113">
        <v>3298310</v>
      </c>
      <c r="D78" s="113">
        <v>2697891</v>
      </c>
      <c r="E78" s="113">
        <f t="shared" si="9"/>
        <v>-600419</v>
      </c>
      <c r="F78" s="114">
        <f t="shared" si="10"/>
        <v>-0.18203837722955088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208992</v>
      </c>
      <c r="D80" s="113">
        <v>60587</v>
      </c>
      <c r="E80" s="113">
        <f t="shared" si="9"/>
        <v>-148405</v>
      </c>
      <c r="F80" s="114">
        <f t="shared" si="10"/>
        <v>-0.71009895115602506</v>
      </c>
    </row>
    <row r="81" spans="1:6" ht="15.75" x14ac:dyDescent="0.25">
      <c r="A81" s="117"/>
      <c r="B81" s="118" t="s">
        <v>133</v>
      </c>
      <c r="C81" s="119">
        <f>SUM(C70:C80)</f>
        <v>148434203</v>
      </c>
      <c r="D81" s="119">
        <f>SUM(D70:D80)</f>
        <v>151606519</v>
      </c>
      <c r="E81" s="119">
        <f t="shared" si="9"/>
        <v>3172316</v>
      </c>
      <c r="F81" s="120">
        <f t="shared" si="10"/>
        <v>2.1371866698405084E-2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107907957</v>
      </c>
      <c r="D84" s="119">
        <f t="shared" si="11"/>
        <v>113975466</v>
      </c>
      <c r="E84" s="119">
        <f t="shared" ref="E84:E95" si="12">D84-C84</f>
        <v>6067509</v>
      </c>
      <c r="F84" s="120">
        <f t="shared" ref="F84:F95" si="13">IF(C84=0,0,E84/C84)</f>
        <v>5.622855967887521E-2</v>
      </c>
    </row>
    <row r="85" spans="1:6" ht="15.75" x14ac:dyDescent="0.25">
      <c r="A85" s="130">
        <v>2</v>
      </c>
      <c r="B85" s="122" t="s">
        <v>114</v>
      </c>
      <c r="C85" s="119">
        <f t="shared" si="11"/>
        <v>52774066</v>
      </c>
      <c r="D85" s="119">
        <f t="shared" si="11"/>
        <v>42680308</v>
      </c>
      <c r="E85" s="119">
        <f t="shared" si="12"/>
        <v>-10093758</v>
      </c>
      <c r="F85" s="120">
        <f t="shared" si="13"/>
        <v>-0.19126360284614038</v>
      </c>
    </row>
    <row r="86" spans="1:6" ht="15.75" x14ac:dyDescent="0.25">
      <c r="A86" s="130">
        <v>3</v>
      </c>
      <c r="B86" s="122" t="s">
        <v>115</v>
      </c>
      <c r="C86" s="119">
        <f t="shared" si="11"/>
        <v>56472732</v>
      </c>
      <c r="D86" s="119">
        <f t="shared" si="11"/>
        <v>60356548</v>
      </c>
      <c r="E86" s="119">
        <f t="shared" si="12"/>
        <v>3883816</v>
      </c>
      <c r="F86" s="120">
        <f t="shared" si="13"/>
        <v>6.8773297527025962E-2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152676</v>
      </c>
      <c r="D88" s="119">
        <f t="shared" si="11"/>
        <v>247503</v>
      </c>
      <c r="E88" s="119">
        <f t="shared" si="12"/>
        <v>94827</v>
      </c>
      <c r="F88" s="120">
        <f t="shared" si="13"/>
        <v>0.62109958343158056</v>
      </c>
    </row>
    <row r="89" spans="1:6" ht="15.75" x14ac:dyDescent="0.25">
      <c r="A89" s="130">
        <v>6</v>
      </c>
      <c r="B89" s="122" t="s">
        <v>118</v>
      </c>
      <c r="C89" s="119">
        <f t="shared" si="11"/>
        <v>52763591</v>
      </c>
      <c r="D89" s="119">
        <f t="shared" si="11"/>
        <v>45562273</v>
      </c>
      <c r="E89" s="119">
        <f t="shared" si="12"/>
        <v>-7201318</v>
      </c>
      <c r="F89" s="120">
        <f t="shared" si="13"/>
        <v>-0.13648271210350335</v>
      </c>
    </row>
    <row r="90" spans="1:6" ht="15.75" x14ac:dyDescent="0.25">
      <c r="A90" s="130">
        <v>7</v>
      </c>
      <c r="B90" s="122" t="s">
        <v>119</v>
      </c>
      <c r="C90" s="119">
        <f t="shared" si="11"/>
        <v>123268155</v>
      </c>
      <c r="D90" s="119">
        <f t="shared" si="11"/>
        <v>129317898</v>
      </c>
      <c r="E90" s="119">
        <f t="shared" si="12"/>
        <v>6049743</v>
      </c>
      <c r="F90" s="120">
        <f t="shared" si="13"/>
        <v>4.9077906617487704E-2</v>
      </c>
    </row>
    <row r="91" spans="1:6" ht="15.75" x14ac:dyDescent="0.25">
      <c r="A91" s="130">
        <v>8</v>
      </c>
      <c r="B91" s="122" t="s">
        <v>120</v>
      </c>
      <c r="C91" s="119">
        <f t="shared" si="11"/>
        <v>7592657</v>
      </c>
      <c r="D91" s="119">
        <f t="shared" si="11"/>
        <v>6648299</v>
      </c>
      <c r="E91" s="119">
        <f t="shared" si="12"/>
        <v>-944358</v>
      </c>
      <c r="F91" s="120">
        <f t="shared" si="13"/>
        <v>-0.12437780344877952</v>
      </c>
    </row>
    <row r="92" spans="1:6" ht="15.75" x14ac:dyDescent="0.25">
      <c r="A92" s="130">
        <v>9</v>
      </c>
      <c r="B92" s="122" t="s">
        <v>121</v>
      </c>
      <c r="C92" s="119">
        <f t="shared" si="11"/>
        <v>3466251</v>
      </c>
      <c r="D92" s="119">
        <f t="shared" si="11"/>
        <v>4045716</v>
      </c>
      <c r="E92" s="119">
        <f t="shared" si="12"/>
        <v>579465</v>
      </c>
      <c r="F92" s="120">
        <f t="shared" si="13"/>
        <v>0.16717341011946335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701192</v>
      </c>
      <c r="D94" s="119">
        <f t="shared" si="11"/>
        <v>167757</v>
      </c>
      <c r="E94" s="119">
        <f t="shared" si="12"/>
        <v>-533435</v>
      </c>
      <c r="F94" s="120">
        <f t="shared" si="13"/>
        <v>-0.76075454369131423</v>
      </c>
    </row>
    <row r="95" spans="1:6" ht="18.75" customHeight="1" thickBot="1" x14ac:dyDescent="0.3">
      <c r="A95" s="131"/>
      <c r="B95" s="132" t="s">
        <v>134</v>
      </c>
      <c r="C95" s="128">
        <f>SUM(C84:C94)</f>
        <v>405099277</v>
      </c>
      <c r="D95" s="128">
        <f>SUM(D84:D94)</f>
        <v>403001768</v>
      </c>
      <c r="E95" s="128">
        <f t="shared" si="12"/>
        <v>-2097509</v>
      </c>
      <c r="F95" s="129">
        <f t="shared" si="13"/>
        <v>-5.1777653505908376E-3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6375</v>
      </c>
      <c r="D100" s="133">
        <v>6020</v>
      </c>
      <c r="E100" s="133">
        <f t="shared" ref="E100:E111" si="14">D100-C100</f>
        <v>-355</v>
      </c>
      <c r="F100" s="114">
        <f t="shared" ref="F100:F111" si="15">IF(C100=0,0,E100/C100)</f>
        <v>-5.5686274509803922E-2</v>
      </c>
    </row>
    <row r="101" spans="1:6" x14ac:dyDescent="0.2">
      <c r="A101" s="115">
        <v>2</v>
      </c>
      <c r="B101" s="116" t="s">
        <v>114</v>
      </c>
      <c r="C101" s="133">
        <v>3175</v>
      </c>
      <c r="D101" s="133">
        <v>2654</v>
      </c>
      <c r="E101" s="133">
        <f t="shared" si="14"/>
        <v>-521</v>
      </c>
      <c r="F101" s="114">
        <f t="shared" si="15"/>
        <v>-0.16409448818897637</v>
      </c>
    </row>
    <row r="102" spans="1:6" x14ac:dyDescent="0.2">
      <c r="A102" s="115">
        <v>3</v>
      </c>
      <c r="B102" s="116" t="s">
        <v>115</v>
      </c>
      <c r="C102" s="133">
        <v>4685</v>
      </c>
      <c r="D102" s="133">
        <v>4548</v>
      </c>
      <c r="E102" s="133">
        <f t="shared" si="14"/>
        <v>-137</v>
      </c>
      <c r="F102" s="114">
        <f t="shared" si="15"/>
        <v>-2.9242262540021345E-2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30</v>
      </c>
      <c r="D104" s="133">
        <v>28</v>
      </c>
      <c r="E104" s="133">
        <f t="shared" si="14"/>
        <v>-2</v>
      </c>
      <c r="F104" s="114">
        <f t="shared" si="15"/>
        <v>-6.6666666666666666E-2</v>
      </c>
    </row>
    <row r="105" spans="1:6" x14ac:dyDescent="0.2">
      <c r="A105" s="115">
        <v>6</v>
      </c>
      <c r="B105" s="116" t="s">
        <v>118</v>
      </c>
      <c r="C105" s="133">
        <v>1492</v>
      </c>
      <c r="D105" s="133">
        <v>1121</v>
      </c>
      <c r="E105" s="133">
        <f t="shared" si="14"/>
        <v>-371</v>
      </c>
      <c r="F105" s="114">
        <f t="shared" si="15"/>
        <v>-0.24865951742627346</v>
      </c>
    </row>
    <row r="106" spans="1:6" x14ac:dyDescent="0.2">
      <c r="A106" s="115">
        <v>7</v>
      </c>
      <c r="B106" s="116" t="s">
        <v>119</v>
      </c>
      <c r="C106" s="133">
        <v>3646</v>
      </c>
      <c r="D106" s="133">
        <v>3625</v>
      </c>
      <c r="E106" s="133">
        <f t="shared" si="14"/>
        <v>-21</v>
      </c>
      <c r="F106" s="114">
        <f t="shared" si="15"/>
        <v>-5.75973669775096E-3</v>
      </c>
    </row>
    <row r="107" spans="1:6" x14ac:dyDescent="0.2">
      <c r="A107" s="115">
        <v>8</v>
      </c>
      <c r="B107" s="116" t="s">
        <v>120</v>
      </c>
      <c r="C107" s="133">
        <v>92</v>
      </c>
      <c r="D107" s="133">
        <v>90</v>
      </c>
      <c r="E107" s="133">
        <f t="shared" si="14"/>
        <v>-2</v>
      </c>
      <c r="F107" s="114">
        <f t="shared" si="15"/>
        <v>-2.1739130434782608E-2</v>
      </c>
    </row>
    <row r="108" spans="1:6" x14ac:dyDescent="0.2">
      <c r="A108" s="115">
        <v>9</v>
      </c>
      <c r="B108" s="116" t="s">
        <v>121</v>
      </c>
      <c r="C108" s="133">
        <v>793</v>
      </c>
      <c r="D108" s="133">
        <v>584</v>
      </c>
      <c r="E108" s="133">
        <f t="shared" si="14"/>
        <v>-209</v>
      </c>
      <c r="F108" s="114">
        <f t="shared" si="15"/>
        <v>-0.2635561160151324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36</v>
      </c>
      <c r="D110" s="133">
        <v>41</v>
      </c>
      <c r="E110" s="133">
        <f t="shared" si="14"/>
        <v>5</v>
      </c>
      <c r="F110" s="114">
        <f t="shared" si="15"/>
        <v>0.1388888888888889</v>
      </c>
    </row>
    <row r="111" spans="1:6" ht="15.75" x14ac:dyDescent="0.25">
      <c r="A111" s="117"/>
      <c r="B111" s="118" t="s">
        <v>138</v>
      </c>
      <c r="C111" s="134">
        <f>SUM(C100:C110)</f>
        <v>20324</v>
      </c>
      <c r="D111" s="134">
        <f>SUM(D100:D110)</f>
        <v>18711</v>
      </c>
      <c r="E111" s="134">
        <f t="shared" si="14"/>
        <v>-1613</v>
      </c>
      <c r="F111" s="120">
        <f t="shared" si="15"/>
        <v>-7.936429836646329E-2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44479</v>
      </c>
      <c r="D113" s="133">
        <v>40422</v>
      </c>
      <c r="E113" s="133">
        <f t="shared" ref="E113:E124" si="16">D113-C113</f>
        <v>-4057</v>
      </c>
      <c r="F113" s="114">
        <f t="shared" ref="F113:F124" si="17">IF(C113=0,0,E113/C113)</f>
        <v>-9.1211582994221996E-2</v>
      </c>
    </row>
    <row r="114" spans="1:6" x14ac:dyDescent="0.2">
      <c r="A114" s="115">
        <v>2</v>
      </c>
      <c r="B114" s="116" t="s">
        <v>114</v>
      </c>
      <c r="C114" s="133">
        <v>19742</v>
      </c>
      <c r="D114" s="133">
        <v>16724</v>
      </c>
      <c r="E114" s="133">
        <f t="shared" si="16"/>
        <v>-3018</v>
      </c>
      <c r="F114" s="114">
        <f t="shared" si="17"/>
        <v>-0.15287204943774693</v>
      </c>
    </row>
    <row r="115" spans="1:6" x14ac:dyDescent="0.2">
      <c r="A115" s="115">
        <v>3</v>
      </c>
      <c r="B115" s="116" t="s">
        <v>115</v>
      </c>
      <c r="C115" s="133">
        <v>28549</v>
      </c>
      <c r="D115" s="133">
        <v>28260</v>
      </c>
      <c r="E115" s="133">
        <f t="shared" si="16"/>
        <v>-289</v>
      </c>
      <c r="F115" s="114">
        <f t="shared" si="17"/>
        <v>-1.0122946513012715E-2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110</v>
      </c>
      <c r="D117" s="133">
        <v>117</v>
      </c>
      <c r="E117" s="133">
        <f t="shared" si="16"/>
        <v>7</v>
      </c>
      <c r="F117" s="114">
        <f t="shared" si="17"/>
        <v>6.363636363636363E-2</v>
      </c>
    </row>
    <row r="118" spans="1:6" x14ac:dyDescent="0.2">
      <c r="A118" s="115">
        <v>6</v>
      </c>
      <c r="B118" s="116" t="s">
        <v>118</v>
      </c>
      <c r="C118" s="133">
        <v>6324</v>
      </c>
      <c r="D118" s="133">
        <v>5120</v>
      </c>
      <c r="E118" s="133">
        <f t="shared" si="16"/>
        <v>-1204</v>
      </c>
      <c r="F118" s="114">
        <f t="shared" si="17"/>
        <v>-0.19038583175205567</v>
      </c>
    </row>
    <row r="119" spans="1:6" x14ac:dyDescent="0.2">
      <c r="A119" s="115">
        <v>7</v>
      </c>
      <c r="B119" s="116" t="s">
        <v>119</v>
      </c>
      <c r="C119" s="133">
        <v>16566</v>
      </c>
      <c r="D119" s="133">
        <v>16169</v>
      </c>
      <c r="E119" s="133">
        <f t="shared" si="16"/>
        <v>-397</v>
      </c>
      <c r="F119" s="114">
        <f t="shared" si="17"/>
        <v>-2.3964747072316793E-2</v>
      </c>
    </row>
    <row r="120" spans="1:6" x14ac:dyDescent="0.2">
      <c r="A120" s="115">
        <v>8</v>
      </c>
      <c r="B120" s="116" t="s">
        <v>120</v>
      </c>
      <c r="C120" s="133">
        <v>281</v>
      </c>
      <c r="D120" s="133">
        <v>377</v>
      </c>
      <c r="E120" s="133">
        <f t="shared" si="16"/>
        <v>96</v>
      </c>
      <c r="F120" s="114">
        <f t="shared" si="17"/>
        <v>0.34163701067615659</v>
      </c>
    </row>
    <row r="121" spans="1:6" x14ac:dyDescent="0.2">
      <c r="A121" s="115">
        <v>9</v>
      </c>
      <c r="B121" s="116" t="s">
        <v>121</v>
      </c>
      <c r="C121" s="133">
        <v>4263</v>
      </c>
      <c r="D121" s="133">
        <v>3329</v>
      </c>
      <c r="E121" s="133">
        <f t="shared" si="16"/>
        <v>-934</v>
      </c>
      <c r="F121" s="114">
        <f t="shared" si="17"/>
        <v>-0.21909453436547033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260</v>
      </c>
      <c r="D123" s="133">
        <v>238</v>
      </c>
      <c r="E123" s="133">
        <f t="shared" si="16"/>
        <v>-22</v>
      </c>
      <c r="F123" s="114">
        <f t="shared" si="17"/>
        <v>-8.461538461538462E-2</v>
      </c>
    </row>
    <row r="124" spans="1:6" ht="15.75" x14ac:dyDescent="0.25">
      <c r="A124" s="117"/>
      <c r="B124" s="118" t="s">
        <v>140</v>
      </c>
      <c r="C124" s="134">
        <f>SUM(C113:C123)</f>
        <v>120574</v>
      </c>
      <c r="D124" s="134">
        <f>SUM(D113:D123)</f>
        <v>110756</v>
      </c>
      <c r="E124" s="134">
        <f t="shared" si="16"/>
        <v>-9818</v>
      </c>
      <c r="F124" s="120">
        <f t="shared" si="17"/>
        <v>-8.1427173354122778E-2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45322</v>
      </c>
      <c r="D126" s="133">
        <v>47692</v>
      </c>
      <c r="E126" s="133">
        <f t="shared" ref="E126:E137" si="18">D126-C126</f>
        <v>2370</v>
      </c>
      <c r="F126" s="114">
        <f t="shared" ref="F126:F137" si="19">IF(C126=0,0,E126/C126)</f>
        <v>5.2292484885927366E-2</v>
      </c>
    </row>
    <row r="127" spans="1:6" x14ac:dyDescent="0.2">
      <c r="A127" s="115">
        <v>2</v>
      </c>
      <c r="B127" s="116" t="s">
        <v>114</v>
      </c>
      <c r="C127" s="133">
        <v>19952</v>
      </c>
      <c r="D127" s="133">
        <v>19344</v>
      </c>
      <c r="E127" s="133">
        <f t="shared" si="18"/>
        <v>-608</v>
      </c>
      <c r="F127" s="114">
        <f t="shared" si="19"/>
        <v>-3.0473135525260625E-2</v>
      </c>
    </row>
    <row r="128" spans="1:6" x14ac:dyDescent="0.2">
      <c r="A128" s="115">
        <v>3</v>
      </c>
      <c r="B128" s="116" t="s">
        <v>115</v>
      </c>
      <c r="C128" s="133">
        <v>80233</v>
      </c>
      <c r="D128" s="133">
        <v>80598</v>
      </c>
      <c r="E128" s="133">
        <f t="shared" si="18"/>
        <v>365</v>
      </c>
      <c r="F128" s="114">
        <f t="shared" si="19"/>
        <v>4.5492503084765623E-3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394</v>
      </c>
      <c r="D130" s="133">
        <v>351</v>
      </c>
      <c r="E130" s="133">
        <f t="shared" si="18"/>
        <v>-43</v>
      </c>
      <c r="F130" s="114">
        <f t="shared" si="19"/>
        <v>-0.10913705583756345</v>
      </c>
    </row>
    <row r="131" spans="1:6" x14ac:dyDescent="0.2">
      <c r="A131" s="115">
        <v>6</v>
      </c>
      <c r="B131" s="116" t="s">
        <v>118</v>
      </c>
      <c r="C131" s="133">
        <v>30916</v>
      </c>
      <c r="D131" s="133">
        <v>20864</v>
      </c>
      <c r="E131" s="133">
        <f t="shared" si="18"/>
        <v>-10052</v>
      </c>
      <c r="F131" s="114">
        <f t="shared" si="19"/>
        <v>-0.32513908655712254</v>
      </c>
    </row>
    <row r="132" spans="1:6" x14ac:dyDescent="0.2">
      <c r="A132" s="115">
        <v>7</v>
      </c>
      <c r="B132" s="116" t="s">
        <v>119</v>
      </c>
      <c r="C132" s="133">
        <v>62414</v>
      </c>
      <c r="D132" s="133">
        <v>64484</v>
      </c>
      <c r="E132" s="133">
        <f t="shared" si="18"/>
        <v>2070</v>
      </c>
      <c r="F132" s="114">
        <f t="shared" si="19"/>
        <v>3.3165635915019066E-2</v>
      </c>
    </row>
    <row r="133" spans="1:6" x14ac:dyDescent="0.2">
      <c r="A133" s="115">
        <v>8</v>
      </c>
      <c r="B133" s="116" t="s">
        <v>120</v>
      </c>
      <c r="C133" s="133">
        <v>7543</v>
      </c>
      <c r="D133" s="133">
        <v>6695</v>
      </c>
      <c r="E133" s="133">
        <f t="shared" si="18"/>
        <v>-848</v>
      </c>
      <c r="F133" s="114">
        <f t="shared" si="19"/>
        <v>-0.1124221132175527</v>
      </c>
    </row>
    <row r="134" spans="1:6" x14ac:dyDescent="0.2">
      <c r="A134" s="115">
        <v>9</v>
      </c>
      <c r="B134" s="116" t="s">
        <v>121</v>
      </c>
      <c r="C134" s="133">
        <v>31187</v>
      </c>
      <c r="D134" s="133">
        <v>32910</v>
      </c>
      <c r="E134" s="133">
        <f t="shared" si="18"/>
        <v>1723</v>
      </c>
      <c r="F134" s="114">
        <f t="shared" si="19"/>
        <v>5.5247378715490431E-2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456</v>
      </c>
      <c r="D136" s="133">
        <v>0</v>
      </c>
      <c r="E136" s="133">
        <f t="shared" si="18"/>
        <v>-456</v>
      </c>
      <c r="F136" s="114">
        <f t="shared" si="19"/>
        <v>-1</v>
      </c>
    </row>
    <row r="137" spans="1:6" ht="15.75" x14ac:dyDescent="0.25">
      <c r="A137" s="117"/>
      <c r="B137" s="118" t="s">
        <v>142</v>
      </c>
      <c r="C137" s="134">
        <f>SUM(C126:C136)</f>
        <v>278417</v>
      </c>
      <c r="D137" s="134">
        <f>SUM(D126:D136)</f>
        <v>272938</v>
      </c>
      <c r="E137" s="134">
        <f t="shared" si="18"/>
        <v>-5479</v>
      </c>
      <c r="F137" s="120">
        <f t="shared" si="19"/>
        <v>-1.9679114421892342E-2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8913391</v>
      </c>
      <c r="D142" s="113">
        <v>18098019</v>
      </c>
      <c r="E142" s="113">
        <f t="shared" ref="E142:E153" si="20">D142-C142</f>
        <v>9184628</v>
      </c>
      <c r="F142" s="114">
        <f t="shared" ref="F142:F153" si="21">IF(C142=0,0,E142/C142)</f>
        <v>1.0304302818085731</v>
      </c>
    </row>
    <row r="143" spans="1:6" x14ac:dyDescent="0.2">
      <c r="A143" s="115">
        <v>2</v>
      </c>
      <c r="B143" s="116" t="s">
        <v>114</v>
      </c>
      <c r="C143" s="113">
        <v>4453428</v>
      </c>
      <c r="D143" s="113">
        <v>8178094</v>
      </c>
      <c r="E143" s="113">
        <f t="shared" si="20"/>
        <v>3724666</v>
      </c>
      <c r="F143" s="114">
        <f t="shared" si="21"/>
        <v>0.83635931691272436</v>
      </c>
    </row>
    <row r="144" spans="1:6" x14ac:dyDescent="0.2">
      <c r="A144" s="115">
        <v>3</v>
      </c>
      <c r="B144" s="116" t="s">
        <v>115</v>
      </c>
      <c r="C144" s="113">
        <v>45495403</v>
      </c>
      <c r="D144" s="113">
        <v>44886437</v>
      </c>
      <c r="E144" s="113">
        <f t="shared" si="20"/>
        <v>-608966</v>
      </c>
      <c r="F144" s="114">
        <f t="shared" si="21"/>
        <v>-1.3385220480407658E-2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202111</v>
      </c>
      <c r="D146" s="113">
        <v>308238</v>
      </c>
      <c r="E146" s="113">
        <f t="shared" si="20"/>
        <v>106127</v>
      </c>
      <c r="F146" s="114">
        <f t="shared" si="21"/>
        <v>0.52509264710975656</v>
      </c>
    </row>
    <row r="147" spans="1:6" x14ac:dyDescent="0.2">
      <c r="A147" s="115">
        <v>6</v>
      </c>
      <c r="B147" s="116" t="s">
        <v>118</v>
      </c>
      <c r="C147" s="113">
        <v>11025648</v>
      </c>
      <c r="D147" s="113">
        <v>10707885</v>
      </c>
      <c r="E147" s="113">
        <f t="shared" si="20"/>
        <v>-317763</v>
      </c>
      <c r="F147" s="114">
        <f t="shared" si="21"/>
        <v>-2.8820346885734063E-2</v>
      </c>
    </row>
    <row r="148" spans="1:6" x14ac:dyDescent="0.2">
      <c r="A148" s="115">
        <v>7</v>
      </c>
      <c r="B148" s="116" t="s">
        <v>119</v>
      </c>
      <c r="C148" s="113">
        <v>24494382</v>
      </c>
      <c r="D148" s="113">
        <v>24601768</v>
      </c>
      <c r="E148" s="113">
        <f t="shared" si="20"/>
        <v>107386</v>
      </c>
      <c r="F148" s="114">
        <f t="shared" si="21"/>
        <v>4.3841073434716582E-3</v>
      </c>
    </row>
    <row r="149" spans="1:6" x14ac:dyDescent="0.2">
      <c r="A149" s="115">
        <v>8</v>
      </c>
      <c r="B149" s="116" t="s">
        <v>120</v>
      </c>
      <c r="C149" s="113">
        <v>1841633</v>
      </c>
      <c r="D149" s="113">
        <v>1724860</v>
      </c>
      <c r="E149" s="113">
        <f t="shared" si="20"/>
        <v>-116773</v>
      </c>
      <c r="F149" s="114">
        <f t="shared" si="21"/>
        <v>-6.3407312966264173E-2</v>
      </c>
    </row>
    <row r="150" spans="1:6" x14ac:dyDescent="0.2">
      <c r="A150" s="115">
        <v>9</v>
      </c>
      <c r="B150" s="116" t="s">
        <v>121</v>
      </c>
      <c r="C150" s="113">
        <v>17906431</v>
      </c>
      <c r="D150" s="113">
        <v>14444268</v>
      </c>
      <c r="E150" s="113">
        <f t="shared" si="20"/>
        <v>-3462163</v>
      </c>
      <c r="F150" s="114">
        <f t="shared" si="21"/>
        <v>-0.19334746270767189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659251</v>
      </c>
      <c r="D152" s="113">
        <v>566422</v>
      </c>
      <c r="E152" s="113">
        <f t="shared" si="20"/>
        <v>-92829</v>
      </c>
      <c r="F152" s="114">
        <f t="shared" si="21"/>
        <v>-0.14080979778566888</v>
      </c>
    </row>
    <row r="153" spans="1:6" ht="33.75" customHeight="1" x14ac:dyDescent="0.25">
      <c r="A153" s="117"/>
      <c r="B153" s="118" t="s">
        <v>146</v>
      </c>
      <c r="C153" s="119">
        <f>SUM(C142:C152)</f>
        <v>114991678</v>
      </c>
      <c r="D153" s="119">
        <f>SUM(D142:D152)</f>
        <v>123515991</v>
      </c>
      <c r="E153" s="119">
        <f t="shared" si="20"/>
        <v>8524313</v>
      </c>
      <c r="F153" s="120">
        <f t="shared" si="21"/>
        <v>7.4129825290487547E-2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3224739</v>
      </c>
      <c r="D155" s="113">
        <v>6366628</v>
      </c>
      <c r="E155" s="113">
        <f t="shared" ref="E155:E166" si="22">D155-C155</f>
        <v>3141889</v>
      </c>
      <c r="F155" s="114">
        <f t="shared" ref="F155:F166" si="23">IF(C155=0,0,E155/C155)</f>
        <v>0.97430799825970416</v>
      </c>
    </row>
    <row r="156" spans="1:6" x14ac:dyDescent="0.2">
      <c r="A156" s="115">
        <v>2</v>
      </c>
      <c r="B156" s="116" t="s">
        <v>114</v>
      </c>
      <c r="C156" s="113">
        <v>1691573</v>
      </c>
      <c r="D156" s="113">
        <v>3024555</v>
      </c>
      <c r="E156" s="113">
        <f t="shared" si="22"/>
        <v>1332982</v>
      </c>
      <c r="F156" s="114">
        <f t="shared" si="23"/>
        <v>0.78801328704111495</v>
      </c>
    </row>
    <row r="157" spans="1:6" x14ac:dyDescent="0.2">
      <c r="A157" s="115">
        <v>3</v>
      </c>
      <c r="B157" s="116" t="s">
        <v>115</v>
      </c>
      <c r="C157" s="113">
        <v>7189019</v>
      </c>
      <c r="D157" s="113">
        <v>6643928</v>
      </c>
      <c r="E157" s="113">
        <f t="shared" si="22"/>
        <v>-545091</v>
      </c>
      <c r="F157" s="114">
        <f t="shared" si="23"/>
        <v>-7.5822723517631543E-2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37803</v>
      </c>
      <c r="D159" s="113">
        <v>54571</v>
      </c>
      <c r="E159" s="113">
        <f t="shared" si="22"/>
        <v>16768</v>
      </c>
      <c r="F159" s="114">
        <f t="shared" si="23"/>
        <v>0.44356268021056527</v>
      </c>
    </row>
    <row r="160" spans="1:6" x14ac:dyDescent="0.2">
      <c r="A160" s="115">
        <v>6</v>
      </c>
      <c r="B160" s="116" t="s">
        <v>118</v>
      </c>
      <c r="C160" s="113">
        <v>6584788</v>
      </c>
      <c r="D160" s="113">
        <v>6287933</v>
      </c>
      <c r="E160" s="113">
        <f t="shared" si="22"/>
        <v>-296855</v>
      </c>
      <c r="F160" s="114">
        <f t="shared" si="23"/>
        <v>-4.508193733799782E-2</v>
      </c>
    </row>
    <row r="161" spans="1:6" x14ac:dyDescent="0.2">
      <c r="A161" s="115">
        <v>7</v>
      </c>
      <c r="B161" s="116" t="s">
        <v>119</v>
      </c>
      <c r="C161" s="113">
        <v>14890981</v>
      </c>
      <c r="D161" s="113">
        <v>14710247</v>
      </c>
      <c r="E161" s="113">
        <f t="shared" si="22"/>
        <v>-180734</v>
      </c>
      <c r="F161" s="114">
        <f t="shared" si="23"/>
        <v>-1.2137145296203118E-2</v>
      </c>
    </row>
    <row r="162" spans="1:6" x14ac:dyDescent="0.2">
      <c r="A162" s="115">
        <v>8</v>
      </c>
      <c r="B162" s="116" t="s">
        <v>120</v>
      </c>
      <c r="C162" s="113">
        <v>1520012</v>
      </c>
      <c r="D162" s="113">
        <v>1406384</v>
      </c>
      <c r="E162" s="113">
        <f t="shared" si="22"/>
        <v>-113628</v>
      </c>
      <c r="F162" s="114">
        <f t="shared" si="23"/>
        <v>-7.4754672989423773E-2</v>
      </c>
    </row>
    <row r="163" spans="1:6" x14ac:dyDescent="0.2">
      <c r="A163" s="115">
        <v>9</v>
      </c>
      <c r="B163" s="116" t="s">
        <v>121</v>
      </c>
      <c r="C163" s="113">
        <v>1502489</v>
      </c>
      <c r="D163" s="113">
        <v>1067544</v>
      </c>
      <c r="E163" s="113">
        <f t="shared" si="22"/>
        <v>-434945</v>
      </c>
      <c r="F163" s="114">
        <f t="shared" si="23"/>
        <v>-0.28948298456760746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176601</v>
      </c>
      <c r="D165" s="113">
        <v>146070</v>
      </c>
      <c r="E165" s="113">
        <f t="shared" si="22"/>
        <v>-30531</v>
      </c>
      <c r="F165" s="114">
        <f t="shared" si="23"/>
        <v>-0.17288124076307609</v>
      </c>
    </row>
    <row r="166" spans="1:6" ht="33.75" customHeight="1" x14ac:dyDescent="0.25">
      <c r="A166" s="117"/>
      <c r="B166" s="118" t="s">
        <v>148</v>
      </c>
      <c r="C166" s="119">
        <f>SUM(C155:C165)</f>
        <v>36818005</v>
      </c>
      <c r="D166" s="119">
        <f>SUM(D155:D165)</f>
        <v>39707860</v>
      </c>
      <c r="E166" s="119">
        <f t="shared" si="22"/>
        <v>2889855</v>
      </c>
      <c r="F166" s="120">
        <f t="shared" si="23"/>
        <v>7.8490265835968021E-2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7755</v>
      </c>
      <c r="D168" s="133">
        <v>7547</v>
      </c>
      <c r="E168" s="133">
        <f t="shared" ref="E168:E179" si="24">D168-C168</f>
        <v>-208</v>
      </c>
      <c r="F168" s="114">
        <f t="shared" ref="F168:F179" si="25">IF(C168=0,0,E168/C168)</f>
        <v>-2.6821405544809801E-2</v>
      </c>
    </row>
    <row r="169" spans="1:6" x14ac:dyDescent="0.2">
      <c r="A169" s="115">
        <v>2</v>
      </c>
      <c r="B169" s="116" t="s">
        <v>114</v>
      </c>
      <c r="C169" s="133">
        <v>3386</v>
      </c>
      <c r="D169" s="133">
        <v>3447</v>
      </c>
      <c r="E169" s="133">
        <f t="shared" si="24"/>
        <v>61</v>
      </c>
      <c r="F169" s="114">
        <f t="shared" si="25"/>
        <v>1.8015357353809804E-2</v>
      </c>
    </row>
    <row r="170" spans="1:6" x14ac:dyDescent="0.2">
      <c r="A170" s="115">
        <v>3</v>
      </c>
      <c r="B170" s="116" t="s">
        <v>115</v>
      </c>
      <c r="C170" s="133">
        <v>26072</v>
      </c>
      <c r="D170" s="133">
        <v>23719</v>
      </c>
      <c r="E170" s="133">
        <f t="shared" si="24"/>
        <v>-2353</v>
      </c>
      <c r="F170" s="114">
        <f t="shared" si="25"/>
        <v>-9.0250076710647442E-2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124</v>
      </c>
      <c r="D172" s="133">
        <v>129</v>
      </c>
      <c r="E172" s="133">
        <f t="shared" si="24"/>
        <v>5</v>
      </c>
      <c r="F172" s="114">
        <f t="shared" si="25"/>
        <v>4.0322580645161289E-2</v>
      </c>
    </row>
    <row r="173" spans="1:6" x14ac:dyDescent="0.2">
      <c r="A173" s="115">
        <v>6</v>
      </c>
      <c r="B173" s="116" t="s">
        <v>118</v>
      </c>
      <c r="C173" s="133">
        <v>5180</v>
      </c>
      <c r="D173" s="133">
        <v>3823</v>
      </c>
      <c r="E173" s="133">
        <f t="shared" si="24"/>
        <v>-1357</v>
      </c>
      <c r="F173" s="114">
        <f t="shared" si="25"/>
        <v>-0.26196911196911199</v>
      </c>
    </row>
    <row r="174" spans="1:6" x14ac:dyDescent="0.2">
      <c r="A174" s="115">
        <v>7</v>
      </c>
      <c r="B174" s="116" t="s">
        <v>119</v>
      </c>
      <c r="C174" s="133">
        <v>11226</v>
      </c>
      <c r="D174" s="133">
        <v>10959</v>
      </c>
      <c r="E174" s="133">
        <f t="shared" si="24"/>
        <v>-267</v>
      </c>
      <c r="F174" s="114">
        <f t="shared" si="25"/>
        <v>-2.3784072688401926E-2</v>
      </c>
    </row>
    <row r="175" spans="1:6" x14ac:dyDescent="0.2">
      <c r="A175" s="115">
        <v>8</v>
      </c>
      <c r="B175" s="116" t="s">
        <v>120</v>
      </c>
      <c r="C175" s="133">
        <v>1035</v>
      </c>
      <c r="D175" s="133">
        <v>914</v>
      </c>
      <c r="E175" s="133">
        <f t="shared" si="24"/>
        <v>-121</v>
      </c>
      <c r="F175" s="114">
        <f t="shared" si="25"/>
        <v>-0.11690821256038647</v>
      </c>
    </row>
    <row r="176" spans="1:6" x14ac:dyDescent="0.2">
      <c r="A176" s="115">
        <v>9</v>
      </c>
      <c r="B176" s="116" t="s">
        <v>121</v>
      </c>
      <c r="C176" s="133">
        <v>9144</v>
      </c>
      <c r="D176" s="133">
        <v>6784</v>
      </c>
      <c r="E176" s="133">
        <f t="shared" si="24"/>
        <v>-2360</v>
      </c>
      <c r="F176" s="114">
        <f t="shared" si="25"/>
        <v>-0.25809273840769903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342</v>
      </c>
      <c r="D178" s="133">
        <v>367</v>
      </c>
      <c r="E178" s="133">
        <f t="shared" si="24"/>
        <v>25</v>
      </c>
      <c r="F178" s="114">
        <f t="shared" si="25"/>
        <v>7.3099415204678359E-2</v>
      </c>
    </row>
    <row r="179" spans="1:6" ht="33.75" customHeight="1" x14ac:dyDescent="0.25">
      <c r="A179" s="117"/>
      <c r="B179" s="118" t="s">
        <v>150</v>
      </c>
      <c r="C179" s="134">
        <f>SUM(C168:C178)</f>
        <v>64264</v>
      </c>
      <c r="D179" s="134">
        <f>SUM(D168:D178)</f>
        <v>57689</v>
      </c>
      <c r="E179" s="134">
        <f t="shared" si="24"/>
        <v>-6575</v>
      </c>
      <c r="F179" s="120">
        <f t="shared" si="25"/>
        <v>-0.10231233661147765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FILING&amp;RSAINT VINCENT`S MEDICAL CENTER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69212911</v>
      </c>
      <c r="D15" s="157">
        <v>68135000</v>
      </c>
      <c r="E15" s="157">
        <f>+D15-C15</f>
        <v>-1077911</v>
      </c>
      <c r="F15" s="161">
        <f>IF(C15=0,0,E15/C15)</f>
        <v>-1.5573842862930589E-2</v>
      </c>
    </row>
    <row r="16" spans="1:6" ht="15" customHeight="1" x14ac:dyDescent="0.2">
      <c r="A16" s="147">
        <v>2</v>
      </c>
      <c r="B16" s="160" t="s">
        <v>157</v>
      </c>
      <c r="C16" s="157">
        <v>10079633</v>
      </c>
      <c r="D16" s="157">
        <v>5941000</v>
      </c>
      <c r="E16" s="157">
        <f>+D16-C16</f>
        <v>-4138633</v>
      </c>
      <c r="F16" s="161">
        <f>IF(C16=0,0,E16/C16)</f>
        <v>-0.41059361982722981</v>
      </c>
    </row>
    <row r="17" spans="1:6" ht="15" customHeight="1" x14ac:dyDescent="0.2">
      <c r="A17" s="147">
        <v>3</v>
      </c>
      <c r="B17" s="160" t="s">
        <v>158</v>
      </c>
      <c r="C17" s="157">
        <v>77039456</v>
      </c>
      <c r="D17" s="157">
        <v>77042000</v>
      </c>
      <c r="E17" s="157">
        <f>+D17-C17</f>
        <v>2544</v>
      </c>
      <c r="F17" s="161">
        <f>IF(C17=0,0,E17/C17)</f>
        <v>3.3022040031019952E-5</v>
      </c>
    </row>
    <row r="18" spans="1:6" ht="15.75" customHeight="1" x14ac:dyDescent="0.25">
      <c r="A18" s="147"/>
      <c r="B18" s="162" t="s">
        <v>159</v>
      </c>
      <c r="C18" s="158">
        <f>SUM(C15:C17)</f>
        <v>156332000</v>
      </c>
      <c r="D18" s="158">
        <f>SUM(D15:D17)</f>
        <v>151118000</v>
      </c>
      <c r="E18" s="158">
        <f>+D18-C18</f>
        <v>-5214000</v>
      </c>
      <c r="F18" s="159">
        <f>IF(C18=0,0,E18/C18)</f>
        <v>-3.3352096819589082E-2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19798899</v>
      </c>
      <c r="D21" s="157">
        <v>19216000</v>
      </c>
      <c r="E21" s="157">
        <f>+D21-C21</f>
        <v>-582899</v>
      </c>
      <c r="F21" s="161">
        <f>IF(C21=0,0,E21/C21)</f>
        <v>-2.9440980531291159E-2</v>
      </c>
    </row>
    <row r="22" spans="1:6" ht="15" customHeight="1" x14ac:dyDescent="0.2">
      <c r="A22" s="147">
        <v>2</v>
      </c>
      <c r="B22" s="160" t="s">
        <v>162</v>
      </c>
      <c r="C22" s="157">
        <v>2883358</v>
      </c>
      <c r="D22" s="157">
        <v>1676000</v>
      </c>
      <c r="E22" s="157">
        <f>+D22-C22</f>
        <v>-1207358</v>
      </c>
      <c r="F22" s="161">
        <f>IF(C22=0,0,E22/C22)</f>
        <v>-0.41873329638567253</v>
      </c>
    </row>
    <row r="23" spans="1:6" ht="15" customHeight="1" x14ac:dyDescent="0.2">
      <c r="A23" s="147">
        <v>3</v>
      </c>
      <c r="B23" s="160" t="s">
        <v>163</v>
      </c>
      <c r="C23" s="157">
        <v>22037743</v>
      </c>
      <c r="D23" s="157">
        <v>21727000</v>
      </c>
      <c r="E23" s="157">
        <f>+D23-C23</f>
        <v>-310743</v>
      </c>
      <c r="F23" s="161">
        <f>IF(C23=0,0,E23/C23)</f>
        <v>-1.4100491143761863E-2</v>
      </c>
    </row>
    <row r="24" spans="1:6" ht="15.75" customHeight="1" x14ac:dyDescent="0.25">
      <c r="A24" s="147"/>
      <c r="B24" s="162" t="s">
        <v>164</v>
      </c>
      <c r="C24" s="158">
        <f>SUM(C21:C23)</f>
        <v>44720000</v>
      </c>
      <c r="D24" s="158">
        <f>SUM(D21:D23)</f>
        <v>42619000</v>
      </c>
      <c r="E24" s="158">
        <f>+D24-C24</f>
        <v>-2101000</v>
      </c>
      <c r="F24" s="159">
        <f>IF(C24=0,0,E24/C24)</f>
        <v>-4.6981216457960641E-2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1422020</v>
      </c>
      <c r="D27" s="157">
        <v>2213000</v>
      </c>
      <c r="E27" s="157">
        <f>+D27-C27</f>
        <v>790980</v>
      </c>
      <c r="F27" s="161">
        <f>IF(C27=0,0,E27/C27)</f>
        <v>0.55623690243456492</v>
      </c>
    </row>
    <row r="28" spans="1:6" ht="15" customHeight="1" x14ac:dyDescent="0.2">
      <c r="A28" s="147">
        <v>2</v>
      </c>
      <c r="B28" s="160" t="s">
        <v>167</v>
      </c>
      <c r="C28" s="157">
        <v>3988000</v>
      </c>
      <c r="D28" s="157">
        <v>11775000</v>
      </c>
      <c r="E28" s="157">
        <f>+D28-C28</f>
        <v>7787000</v>
      </c>
      <c r="F28" s="161">
        <f>IF(C28=0,0,E28/C28)</f>
        <v>1.9526078234704112</v>
      </c>
    </row>
    <row r="29" spans="1:6" ht="15" customHeight="1" x14ac:dyDescent="0.2">
      <c r="A29" s="147">
        <v>3</v>
      </c>
      <c r="B29" s="160" t="s">
        <v>168</v>
      </c>
      <c r="C29" s="157">
        <v>1862397</v>
      </c>
      <c r="D29" s="157">
        <v>1302000</v>
      </c>
      <c r="E29" s="157">
        <f>+D29-C29</f>
        <v>-560397</v>
      </c>
      <c r="F29" s="161">
        <f>IF(C29=0,0,E29/C29)</f>
        <v>-0.30090093572960008</v>
      </c>
    </row>
    <row r="30" spans="1:6" ht="15.75" customHeight="1" x14ac:dyDescent="0.25">
      <c r="A30" s="147"/>
      <c r="B30" s="162" t="s">
        <v>169</v>
      </c>
      <c r="C30" s="158">
        <f>SUM(C27:C29)</f>
        <v>7272417</v>
      </c>
      <c r="D30" s="158">
        <f>SUM(D27:D29)</f>
        <v>15290000</v>
      </c>
      <c r="E30" s="158">
        <f>+D30-C30</f>
        <v>8017583</v>
      </c>
      <c r="F30" s="159">
        <f>IF(C30=0,0,E30/C30)</f>
        <v>1.1024646964001101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29258000</v>
      </c>
      <c r="D33" s="157">
        <v>30990000</v>
      </c>
      <c r="E33" s="157">
        <f>+D33-C33</f>
        <v>1732000</v>
      </c>
      <c r="F33" s="161">
        <f>IF(C33=0,0,E33/C33)</f>
        <v>5.9197484448697789E-2</v>
      </c>
    </row>
    <row r="34" spans="1:6" ht="15" customHeight="1" x14ac:dyDescent="0.2">
      <c r="A34" s="147">
        <v>2</v>
      </c>
      <c r="B34" s="160" t="s">
        <v>173</v>
      </c>
      <c r="C34" s="157">
        <v>13715000</v>
      </c>
      <c r="D34" s="157">
        <v>16967000</v>
      </c>
      <c r="E34" s="157">
        <f>+D34-C34</f>
        <v>3252000</v>
      </c>
      <c r="F34" s="161">
        <f>IF(C34=0,0,E34/C34)</f>
        <v>0.23711265038279256</v>
      </c>
    </row>
    <row r="35" spans="1:6" ht="15.75" customHeight="1" x14ac:dyDescent="0.25">
      <c r="A35" s="147"/>
      <c r="B35" s="162" t="s">
        <v>174</v>
      </c>
      <c r="C35" s="158">
        <f>SUM(C33:C34)</f>
        <v>42973000</v>
      </c>
      <c r="D35" s="158">
        <f>SUM(D33:D34)</f>
        <v>47957000</v>
      </c>
      <c r="E35" s="158">
        <f>+D35-C35</f>
        <v>4984000</v>
      </c>
      <c r="F35" s="159">
        <f>IF(C35=0,0,E35/C35)</f>
        <v>0.11597980127056524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10365973</v>
      </c>
      <c r="D38" s="157">
        <v>12883000</v>
      </c>
      <c r="E38" s="157">
        <f>+D38-C38</f>
        <v>2517027</v>
      </c>
      <c r="F38" s="161">
        <f>IF(C38=0,0,E38/C38)</f>
        <v>0.24281627976457204</v>
      </c>
    </row>
    <row r="39" spans="1:6" ht="15" customHeight="1" x14ac:dyDescent="0.2">
      <c r="A39" s="147">
        <v>2</v>
      </c>
      <c r="B39" s="160" t="s">
        <v>178</v>
      </c>
      <c r="C39" s="157">
        <v>10490295</v>
      </c>
      <c r="D39" s="157">
        <v>8083000</v>
      </c>
      <c r="E39" s="157">
        <f>+D39-C39</f>
        <v>-2407295</v>
      </c>
      <c r="F39" s="161">
        <f>IF(C39=0,0,E39/C39)</f>
        <v>-0.22947829398505953</v>
      </c>
    </row>
    <row r="40" spans="1:6" ht="15" customHeight="1" x14ac:dyDescent="0.2">
      <c r="A40" s="147">
        <v>3</v>
      </c>
      <c r="B40" s="160" t="s">
        <v>179</v>
      </c>
      <c r="C40" s="157">
        <v>3785732</v>
      </c>
      <c r="D40" s="157">
        <v>5733000</v>
      </c>
      <c r="E40" s="157">
        <f>+D40-C40</f>
        <v>1947268</v>
      </c>
      <c r="F40" s="161">
        <f>IF(C40=0,0,E40/C40)</f>
        <v>0.51437027238061228</v>
      </c>
    </row>
    <row r="41" spans="1:6" ht="15.75" customHeight="1" x14ac:dyDescent="0.25">
      <c r="A41" s="147"/>
      <c r="B41" s="162" t="s">
        <v>180</v>
      </c>
      <c r="C41" s="158">
        <f>SUM(C38:C40)</f>
        <v>24642000</v>
      </c>
      <c r="D41" s="158">
        <f>SUM(D38:D40)</f>
        <v>26699000</v>
      </c>
      <c r="E41" s="158">
        <f>+D41-C41</f>
        <v>2057000</v>
      </c>
      <c r="F41" s="159">
        <f>IF(C41=0,0,E41/C41)</f>
        <v>8.3475367259151043E-2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1954000</v>
      </c>
      <c r="D47" s="157">
        <v>1818000</v>
      </c>
      <c r="E47" s="157">
        <f>+D47-C47</f>
        <v>-136000</v>
      </c>
      <c r="F47" s="161">
        <f>IF(C47=0,0,E47/C47)</f>
        <v>-6.9600818833162742E-2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3184000</v>
      </c>
      <c r="D50" s="157">
        <v>4187000</v>
      </c>
      <c r="E50" s="157">
        <f>+D50-C50</f>
        <v>1003000</v>
      </c>
      <c r="F50" s="161">
        <f>IF(C50=0,0,E50/C50)</f>
        <v>0.31501256281407036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424199</v>
      </c>
      <c r="D53" s="157">
        <v>568000</v>
      </c>
      <c r="E53" s="157">
        <f t="shared" ref="E53:E59" si="0">+D53-C53</f>
        <v>143801</v>
      </c>
      <c r="F53" s="161">
        <f t="shared" ref="F53:F59" si="1">IF(C53=0,0,E53/C53)</f>
        <v>0.33899419847760132</v>
      </c>
    </row>
    <row r="54" spans="1:6" ht="15" customHeight="1" x14ac:dyDescent="0.2">
      <c r="A54" s="147">
        <v>2</v>
      </c>
      <c r="B54" s="160" t="s">
        <v>189</v>
      </c>
      <c r="C54" s="157">
        <v>1414509</v>
      </c>
      <c r="D54" s="157">
        <v>1707000</v>
      </c>
      <c r="E54" s="157">
        <f t="shared" si="0"/>
        <v>292491</v>
      </c>
      <c r="F54" s="161">
        <f t="shared" si="1"/>
        <v>0.20677917213676264</v>
      </c>
    </row>
    <row r="55" spans="1:6" ht="15" customHeight="1" x14ac:dyDescent="0.2">
      <c r="A55" s="147">
        <v>3</v>
      </c>
      <c r="B55" s="160" t="s">
        <v>190</v>
      </c>
      <c r="C55" s="157">
        <v>49974</v>
      </c>
      <c r="D55" s="157">
        <v>14000</v>
      </c>
      <c r="E55" s="157">
        <f t="shared" si="0"/>
        <v>-35974</v>
      </c>
      <c r="F55" s="161">
        <f t="shared" si="1"/>
        <v>-0.71985432424860929</v>
      </c>
    </row>
    <row r="56" spans="1:6" ht="15" customHeight="1" x14ac:dyDescent="0.2">
      <c r="A56" s="147">
        <v>4</v>
      </c>
      <c r="B56" s="160" t="s">
        <v>191</v>
      </c>
      <c r="C56" s="157">
        <v>3775182</v>
      </c>
      <c r="D56" s="157">
        <v>3503000</v>
      </c>
      <c r="E56" s="157">
        <f t="shared" si="0"/>
        <v>-272182</v>
      </c>
      <c r="F56" s="161">
        <f t="shared" si="1"/>
        <v>-7.2097716083621935E-2</v>
      </c>
    </row>
    <row r="57" spans="1:6" ht="15" customHeight="1" x14ac:dyDescent="0.2">
      <c r="A57" s="147">
        <v>5</v>
      </c>
      <c r="B57" s="160" t="s">
        <v>192</v>
      </c>
      <c r="C57" s="157">
        <v>751046</v>
      </c>
      <c r="D57" s="157">
        <v>363000</v>
      </c>
      <c r="E57" s="157">
        <f t="shared" si="0"/>
        <v>-388046</v>
      </c>
      <c r="F57" s="161">
        <f t="shared" si="1"/>
        <v>-0.51667407855177983</v>
      </c>
    </row>
    <row r="58" spans="1:6" ht="15" customHeight="1" x14ac:dyDescent="0.2">
      <c r="A58" s="147">
        <v>6</v>
      </c>
      <c r="B58" s="160" t="s">
        <v>193</v>
      </c>
      <c r="C58" s="157">
        <v>68500</v>
      </c>
      <c r="D58" s="157">
        <v>44000</v>
      </c>
      <c r="E58" s="157">
        <f t="shared" si="0"/>
        <v>-24500</v>
      </c>
      <c r="F58" s="161">
        <f t="shared" si="1"/>
        <v>-0.35766423357664234</v>
      </c>
    </row>
    <row r="59" spans="1:6" ht="15.75" customHeight="1" x14ac:dyDescent="0.25">
      <c r="A59" s="147"/>
      <c r="B59" s="162" t="s">
        <v>194</v>
      </c>
      <c r="C59" s="158">
        <f>SUM(C53:C58)</f>
        <v>6483410</v>
      </c>
      <c r="D59" s="158">
        <f>SUM(D53:D58)</f>
        <v>6199000</v>
      </c>
      <c r="E59" s="158">
        <f t="shared" si="0"/>
        <v>-284410</v>
      </c>
      <c r="F59" s="159">
        <f t="shared" si="1"/>
        <v>-4.3867347584064562E-2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527000</v>
      </c>
      <c r="D62" s="157">
        <v>584000</v>
      </c>
      <c r="E62" s="157">
        <f t="shared" ref="E62:E90" si="2">+D62-C62</f>
        <v>57000</v>
      </c>
      <c r="F62" s="161">
        <f t="shared" ref="F62:F90" si="3">IF(C62=0,0,E62/C62)</f>
        <v>0.10815939278937381</v>
      </c>
    </row>
    <row r="63" spans="1:6" ht="15" customHeight="1" x14ac:dyDescent="0.2">
      <c r="A63" s="147">
        <v>2</v>
      </c>
      <c r="B63" s="160" t="s">
        <v>198</v>
      </c>
      <c r="C63" s="157">
        <v>1229654</v>
      </c>
      <c r="D63" s="157">
        <v>1138000</v>
      </c>
      <c r="E63" s="157">
        <f t="shared" si="2"/>
        <v>-91654</v>
      </c>
      <c r="F63" s="161">
        <f t="shared" si="3"/>
        <v>-7.4536414308415219E-2</v>
      </c>
    </row>
    <row r="64" spans="1:6" ht="15" customHeight="1" x14ac:dyDescent="0.2">
      <c r="A64" s="147">
        <v>3</v>
      </c>
      <c r="B64" s="160" t="s">
        <v>199</v>
      </c>
      <c r="C64" s="157">
        <v>3622080</v>
      </c>
      <c r="D64" s="157">
        <v>1804000</v>
      </c>
      <c r="E64" s="157">
        <f t="shared" si="2"/>
        <v>-1818080</v>
      </c>
      <c r="F64" s="161">
        <f t="shared" si="3"/>
        <v>-0.50194363459669578</v>
      </c>
    </row>
    <row r="65" spans="1:6" ht="15" customHeight="1" x14ac:dyDescent="0.2">
      <c r="A65" s="147">
        <v>4</v>
      </c>
      <c r="B65" s="160" t="s">
        <v>200</v>
      </c>
      <c r="C65" s="157">
        <v>887128</v>
      </c>
      <c r="D65" s="157">
        <v>1335000</v>
      </c>
      <c r="E65" s="157">
        <f t="shared" si="2"/>
        <v>447872</v>
      </c>
      <c r="F65" s="161">
        <f t="shared" si="3"/>
        <v>0.50485611997366786</v>
      </c>
    </row>
    <row r="66" spans="1:6" ht="15" customHeight="1" x14ac:dyDescent="0.2">
      <c r="A66" s="147">
        <v>5</v>
      </c>
      <c r="B66" s="160" t="s">
        <v>201</v>
      </c>
      <c r="C66" s="157">
        <v>1270572</v>
      </c>
      <c r="D66" s="157">
        <v>1482000</v>
      </c>
      <c r="E66" s="157">
        <f t="shared" si="2"/>
        <v>211428</v>
      </c>
      <c r="F66" s="161">
        <f t="shared" si="3"/>
        <v>0.16640379293735419</v>
      </c>
    </row>
    <row r="67" spans="1:6" ht="15" customHeight="1" x14ac:dyDescent="0.2">
      <c r="A67" s="147">
        <v>6</v>
      </c>
      <c r="B67" s="160" t="s">
        <v>202</v>
      </c>
      <c r="C67" s="157">
        <v>2643549</v>
      </c>
      <c r="D67" s="157">
        <v>3393000</v>
      </c>
      <c r="E67" s="157">
        <f t="shared" si="2"/>
        <v>749451</v>
      </c>
      <c r="F67" s="161">
        <f t="shared" si="3"/>
        <v>0.2835018378702267</v>
      </c>
    </row>
    <row r="68" spans="1:6" ht="15" customHeight="1" x14ac:dyDescent="0.2">
      <c r="A68" s="147">
        <v>7</v>
      </c>
      <c r="B68" s="160" t="s">
        <v>203</v>
      </c>
      <c r="C68" s="157">
        <v>2640158</v>
      </c>
      <c r="D68" s="157">
        <v>2501000</v>
      </c>
      <c r="E68" s="157">
        <f t="shared" si="2"/>
        <v>-139158</v>
      </c>
      <c r="F68" s="161">
        <f t="shared" si="3"/>
        <v>-5.2708209129908132E-2</v>
      </c>
    </row>
    <row r="69" spans="1:6" ht="15" customHeight="1" x14ac:dyDescent="0.2">
      <c r="A69" s="147">
        <v>8</v>
      </c>
      <c r="B69" s="160" t="s">
        <v>204</v>
      </c>
      <c r="C69" s="157">
        <v>542031</v>
      </c>
      <c r="D69" s="157">
        <v>550000</v>
      </c>
      <c r="E69" s="157">
        <f t="shared" si="2"/>
        <v>7969</v>
      </c>
      <c r="F69" s="161">
        <f t="shared" si="3"/>
        <v>1.4702111133865037E-2</v>
      </c>
    </row>
    <row r="70" spans="1:6" ht="15" customHeight="1" x14ac:dyDescent="0.2">
      <c r="A70" s="147">
        <v>9</v>
      </c>
      <c r="B70" s="160" t="s">
        <v>205</v>
      </c>
      <c r="C70" s="157">
        <v>257428</v>
      </c>
      <c r="D70" s="157">
        <v>468000</v>
      </c>
      <c r="E70" s="157">
        <f t="shared" si="2"/>
        <v>210572</v>
      </c>
      <c r="F70" s="161">
        <f t="shared" si="3"/>
        <v>0.81798405767826343</v>
      </c>
    </row>
    <row r="71" spans="1:6" ht="15" customHeight="1" x14ac:dyDescent="0.2">
      <c r="A71" s="147">
        <v>10</v>
      </c>
      <c r="B71" s="160" t="s">
        <v>206</v>
      </c>
      <c r="C71" s="157">
        <v>846732</v>
      </c>
      <c r="D71" s="157">
        <v>889000</v>
      </c>
      <c r="E71" s="157">
        <f t="shared" si="2"/>
        <v>42268</v>
      </c>
      <c r="F71" s="161">
        <f t="shared" si="3"/>
        <v>4.9918982629686845E-2</v>
      </c>
    </row>
    <row r="72" spans="1:6" ht="15" customHeight="1" x14ac:dyDescent="0.2">
      <c r="A72" s="147">
        <v>11</v>
      </c>
      <c r="B72" s="160" t="s">
        <v>207</v>
      </c>
      <c r="C72" s="157">
        <v>86549</v>
      </c>
      <c r="D72" s="157">
        <v>74000</v>
      </c>
      <c r="E72" s="157">
        <f t="shared" si="2"/>
        <v>-12549</v>
      </c>
      <c r="F72" s="161">
        <f t="shared" si="3"/>
        <v>-0.1449930097401472</v>
      </c>
    </row>
    <row r="73" spans="1:6" ht="15" customHeight="1" x14ac:dyDescent="0.2">
      <c r="A73" s="147">
        <v>12</v>
      </c>
      <c r="B73" s="160" t="s">
        <v>208</v>
      </c>
      <c r="C73" s="157">
        <v>6198390</v>
      </c>
      <c r="D73" s="157">
        <v>5236000</v>
      </c>
      <c r="E73" s="157">
        <f t="shared" si="2"/>
        <v>-962390</v>
      </c>
      <c r="F73" s="161">
        <f t="shared" si="3"/>
        <v>-0.15526451223624199</v>
      </c>
    </row>
    <row r="74" spans="1:6" ht="15" customHeight="1" x14ac:dyDescent="0.2">
      <c r="A74" s="147">
        <v>13</v>
      </c>
      <c r="B74" s="160" t="s">
        <v>209</v>
      </c>
      <c r="C74" s="157">
        <v>265181</v>
      </c>
      <c r="D74" s="157">
        <v>286000</v>
      </c>
      <c r="E74" s="157">
        <f t="shared" si="2"/>
        <v>20819</v>
      </c>
      <c r="F74" s="161">
        <f t="shared" si="3"/>
        <v>7.8508641267662466E-2</v>
      </c>
    </row>
    <row r="75" spans="1:6" ht="15" customHeight="1" x14ac:dyDescent="0.2">
      <c r="A75" s="147">
        <v>14</v>
      </c>
      <c r="B75" s="160" t="s">
        <v>210</v>
      </c>
      <c r="C75" s="157">
        <v>237358</v>
      </c>
      <c r="D75" s="157">
        <v>192000</v>
      </c>
      <c r="E75" s="157">
        <f t="shared" si="2"/>
        <v>-45358</v>
      </c>
      <c r="F75" s="161">
        <f t="shared" si="3"/>
        <v>-0.19109530751017451</v>
      </c>
    </row>
    <row r="76" spans="1:6" ht="15" customHeight="1" x14ac:dyDescent="0.2">
      <c r="A76" s="147">
        <v>15</v>
      </c>
      <c r="B76" s="160" t="s">
        <v>211</v>
      </c>
      <c r="C76" s="157">
        <v>2273972</v>
      </c>
      <c r="D76" s="157">
        <v>2789000</v>
      </c>
      <c r="E76" s="157">
        <f t="shared" si="2"/>
        <v>515028</v>
      </c>
      <c r="F76" s="161">
        <f t="shared" si="3"/>
        <v>0.22648827690050713</v>
      </c>
    </row>
    <row r="77" spans="1:6" ht="15" customHeight="1" x14ac:dyDescent="0.2">
      <c r="A77" s="147">
        <v>16</v>
      </c>
      <c r="B77" s="160" t="s">
        <v>212</v>
      </c>
      <c r="C77" s="157">
        <v>2534761</v>
      </c>
      <c r="D77" s="157">
        <v>177000</v>
      </c>
      <c r="E77" s="157">
        <f t="shared" si="2"/>
        <v>-2357761</v>
      </c>
      <c r="F77" s="161">
        <f t="shared" si="3"/>
        <v>-0.93017093130279349</v>
      </c>
    </row>
    <row r="78" spans="1:6" ht="15" customHeight="1" x14ac:dyDescent="0.2">
      <c r="A78" s="147">
        <v>17</v>
      </c>
      <c r="B78" s="160" t="s">
        <v>213</v>
      </c>
      <c r="C78" s="157">
        <v>438919</v>
      </c>
      <c r="D78" s="157">
        <v>443000</v>
      </c>
      <c r="E78" s="157">
        <f t="shared" si="2"/>
        <v>4081</v>
      </c>
      <c r="F78" s="161">
        <f t="shared" si="3"/>
        <v>9.2978431100043512E-3</v>
      </c>
    </row>
    <row r="79" spans="1:6" ht="15" customHeight="1" x14ac:dyDescent="0.2">
      <c r="A79" s="147">
        <v>18</v>
      </c>
      <c r="B79" s="160" t="s">
        <v>214</v>
      </c>
      <c r="C79" s="157">
        <v>770559</v>
      </c>
      <c r="D79" s="157">
        <v>679000</v>
      </c>
      <c r="E79" s="157">
        <f t="shared" si="2"/>
        <v>-91559</v>
      </c>
      <c r="F79" s="161">
        <f t="shared" si="3"/>
        <v>-0.11882153086265945</v>
      </c>
    </row>
    <row r="80" spans="1:6" ht="15" customHeight="1" x14ac:dyDescent="0.2">
      <c r="A80" s="147">
        <v>19</v>
      </c>
      <c r="B80" s="160" t="s">
        <v>215</v>
      </c>
      <c r="C80" s="157">
        <v>4369116</v>
      </c>
      <c r="D80" s="157">
        <v>3635000</v>
      </c>
      <c r="E80" s="157">
        <f t="shared" si="2"/>
        <v>-734116</v>
      </c>
      <c r="F80" s="161">
        <f t="shared" si="3"/>
        <v>-0.16802392062833763</v>
      </c>
    </row>
    <row r="81" spans="1:6" ht="15" customHeight="1" x14ac:dyDescent="0.2">
      <c r="A81" s="147">
        <v>20</v>
      </c>
      <c r="B81" s="160" t="s">
        <v>216</v>
      </c>
      <c r="C81" s="157">
        <v>6713486</v>
      </c>
      <c r="D81" s="157">
        <v>4981000</v>
      </c>
      <c r="E81" s="157">
        <f t="shared" si="2"/>
        <v>-1732486</v>
      </c>
      <c r="F81" s="161">
        <f t="shared" si="3"/>
        <v>-0.2580605664478931</v>
      </c>
    </row>
    <row r="82" spans="1:6" ht="15" customHeight="1" x14ac:dyDescent="0.2">
      <c r="A82" s="147">
        <v>21</v>
      </c>
      <c r="B82" s="160" t="s">
        <v>217</v>
      </c>
      <c r="C82" s="157">
        <v>3471040</v>
      </c>
      <c r="D82" s="157">
        <v>3933000</v>
      </c>
      <c r="E82" s="157">
        <f t="shared" si="2"/>
        <v>461960</v>
      </c>
      <c r="F82" s="161">
        <f t="shared" si="3"/>
        <v>0.13308979441320182</v>
      </c>
    </row>
    <row r="83" spans="1:6" ht="15" customHeight="1" x14ac:dyDescent="0.2">
      <c r="A83" s="147">
        <v>22</v>
      </c>
      <c r="B83" s="160" t="s">
        <v>218</v>
      </c>
      <c r="C83" s="157">
        <v>572403</v>
      </c>
      <c r="D83" s="157">
        <v>451000</v>
      </c>
      <c r="E83" s="157">
        <f t="shared" si="2"/>
        <v>-121403</v>
      </c>
      <c r="F83" s="161">
        <f t="shared" si="3"/>
        <v>-0.21209357742709245</v>
      </c>
    </row>
    <row r="84" spans="1:6" ht="15" customHeight="1" x14ac:dyDescent="0.2">
      <c r="A84" s="147">
        <v>23</v>
      </c>
      <c r="B84" s="160" t="s">
        <v>219</v>
      </c>
      <c r="C84" s="157">
        <v>791143</v>
      </c>
      <c r="D84" s="157">
        <v>1688000</v>
      </c>
      <c r="E84" s="157">
        <f t="shared" si="2"/>
        <v>896857</v>
      </c>
      <c r="F84" s="161">
        <f t="shared" si="3"/>
        <v>1.1336218610289164</v>
      </c>
    </row>
    <row r="85" spans="1:6" ht="15" customHeight="1" x14ac:dyDescent="0.2">
      <c r="A85" s="147">
        <v>24</v>
      </c>
      <c r="B85" s="160" t="s">
        <v>220</v>
      </c>
      <c r="C85" s="157">
        <v>90075</v>
      </c>
      <c r="D85" s="157">
        <v>547000</v>
      </c>
      <c r="E85" s="157">
        <f t="shared" si="2"/>
        <v>456925</v>
      </c>
      <c r="F85" s="161">
        <f t="shared" si="3"/>
        <v>5.0727171801276718</v>
      </c>
    </row>
    <row r="86" spans="1:6" ht="15" customHeight="1" x14ac:dyDescent="0.2">
      <c r="A86" s="147">
        <v>25</v>
      </c>
      <c r="B86" s="160" t="s">
        <v>221</v>
      </c>
      <c r="C86" s="157">
        <v>0</v>
      </c>
      <c r="D86" s="157">
        <v>0</v>
      </c>
      <c r="E86" s="157">
        <f t="shared" si="2"/>
        <v>0</v>
      </c>
      <c r="F86" s="161">
        <f t="shared" si="3"/>
        <v>0</v>
      </c>
    </row>
    <row r="87" spans="1:6" ht="15" customHeight="1" x14ac:dyDescent="0.2">
      <c r="A87" s="147">
        <v>26</v>
      </c>
      <c r="B87" s="160" t="s">
        <v>222</v>
      </c>
      <c r="C87" s="157">
        <v>9751639</v>
      </c>
      <c r="D87" s="157">
        <v>9714000</v>
      </c>
      <c r="E87" s="157">
        <f t="shared" si="2"/>
        <v>-37639</v>
      </c>
      <c r="F87" s="161">
        <f t="shared" si="3"/>
        <v>-3.859761420618626E-3</v>
      </c>
    </row>
    <row r="88" spans="1:6" ht="15" customHeight="1" x14ac:dyDescent="0.2">
      <c r="A88" s="147">
        <v>27</v>
      </c>
      <c r="B88" s="160" t="s">
        <v>223</v>
      </c>
      <c r="C88" s="157">
        <v>44296363</v>
      </c>
      <c r="D88" s="157">
        <v>51186000</v>
      </c>
      <c r="E88" s="157">
        <f t="shared" si="2"/>
        <v>6889637</v>
      </c>
      <c r="F88" s="161">
        <f t="shared" si="3"/>
        <v>0.15553504923192002</v>
      </c>
    </row>
    <row r="89" spans="1:6" ht="15" customHeight="1" x14ac:dyDescent="0.2">
      <c r="A89" s="147">
        <v>28</v>
      </c>
      <c r="B89" s="160" t="s">
        <v>224</v>
      </c>
      <c r="C89" s="157">
        <v>9602887</v>
      </c>
      <c r="D89" s="157">
        <v>2350000</v>
      </c>
      <c r="E89" s="157">
        <f t="shared" si="2"/>
        <v>-7252887</v>
      </c>
      <c r="F89" s="161">
        <f t="shared" si="3"/>
        <v>-0.75528192719543608</v>
      </c>
    </row>
    <row r="90" spans="1:6" ht="15.75" customHeight="1" x14ac:dyDescent="0.25">
      <c r="A90" s="147"/>
      <c r="B90" s="162" t="s">
        <v>225</v>
      </c>
      <c r="C90" s="158">
        <f>SUM(C62:C89)</f>
        <v>106930173</v>
      </c>
      <c r="D90" s="158">
        <f>SUM(D62:D89)</f>
        <v>102505000</v>
      </c>
      <c r="E90" s="158">
        <f t="shared" si="2"/>
        <v>-4425173</v>
      </c>
      <c r="F90" s="159">
        <f t="shared" si="3"/>
        <v>-4.1383763589347228E-2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394491000</v>
      </c>
      <c r="D95" s="158">
        <f>+D93+D90+D59+D50+D47+D44+D41+D35+D30+D24+D18</f>
        <v>398392000</v>
      </c>
      <c r="E95" s="158">
        <f>+D95-C95</f>
        <v>3901000</v>
      </c>
      <c r="F95" s="159">
        <f>IF(C95=0,0,E95/C95)</f>
        <v>9.8886920107176084E-3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52668682</v>
      </c>
      <c r="D103" s="157">
        <v>51955994</v>
      </c>
      <c r="E103" s="157">
        <f t="shared" ref="E103:E121" si="4">D103-C103</f>
        <v>-712688</v>
      </c>
      <c r="F103" s="161">
        <f t="shared" ref="F103:F121" si="5">IF(C103=0,0,E103/C103)</f>
        <v>-1.353153283767382E-2</v>
      </c>
    </row>
    <row r="104" spans="1:6" ht="15" customHeight="1" x14ac:dyDescent="0.2">
      <c r="A104" s="147">
        <v>2</v>
      </c>
      <c r="B104" s="169" t="s">
        <v>234</v>
      </c>
      <c r="C104" s="157">
        <v>2483726</v>
      </c>
      <c r="D104" s="157">
        <v>2447260</v>
      </c>
      <c r="E104" s="157">
        <f t="shared" si="4"/>
        <v>-36466</v>
      </c>
      <c r="F104" s="161">
        <f t="shared" si="5"/>
        <v>-1.4681973776495475E-2</v>
      </c>
    </row>
    <row r="105" spans="1:6" ht="15" customHeight="1" x14ac:dyDescent="0.2">
      <c r="A105" s="147">
        <v>3</v>
      </c>
      <c r="B105" s="169" t="s">
        <v>235</v>
      </c>
      <c r="C105" s="157">
        <v>4775668</v>
      </c>
      <c r="D105" s="157">
        <v>4787736</v>
      </c>
      <c r="E105" s="157">
        <f t="shared" si="4"/>
        <v>12068</v>
      </c>
      <c r="F105" s="161">
        <f t="shared" si="5"/>
        <v>2.5269763308504696E-3</v>
      </c>
    </row>
    <row r="106" spans="1:6" ht="15" customHeight="1" x14ac:dyDescent="0.2">
      <c r="A106" s="147">
        <v>4</v>
      </c>
      <c r="B106" s="169" t="s">
        <v>236</v>
      </c>
      <c r="C106" s="157">
        <v>2494991</v>
      </c>
      <c r="D106" s="157">
        <v>3181744</v>
      </c>
      <c r="E106" s="157">
        <f t="shared" si="4"/>
        <v>686753</v>
      </c>
      <c r="F106" s="161">
        <f t="shared" si="5"/>
        <v>0.27525269630231131</v>
      </c>
    </row>
    <row r="107" spans="1:6" ht="15" customHeight="1" x14ac:dyDescent="0.2">
      <c r="A107" s="147">
        <v>5</v>
      </c>
      <c r="B107" s="169" t="s">
        <v>237</v>
      </c>
      <c r="C107" s="157">
        <v>24410483</v>
      </c>
      <c r="D107" s="157">
        <v>26571937</v>
      </c>
      <c r="E107" s="157">
        <f t="shared" si="4"/>
        <v>2161454</v>
      </c>
      <c r="F107" s="161">
        <f t="shared" si="5"/>
        <v>8.8546138148925604E-2</v>
      </c>
    </row>
    <row r="108" spans="1:6" ht="15" customHeight="1" x14ac:dyDescent="0.2">
      <c r="A108" s="147">
        <v>6</v>
      </c>
      <c r="B108" s="169" t="s">
        <v>238</v>
      </c>
      <c r="C108" s="157">
        <v>1532851</v>
      </c>
      <c r="D108" s="157">
        <v>832920</v>
      </c>
      <c r="E108" s="157">
        <f t="shared" si="4"/>
        <v>-699931</v>
      </c>
      <c r="F108" s="161">
        <f t="shared" si="5"/>
        <v>-0.45662037601828226</v>
      </c>
    </row>
    <row r="109" spans="1:6" ht="15" customHeight="1" x14ac:dyDescent="0.2">
      <c r="A109" s="147">
        <v>7</v>
      </c>
      <c r="B109" s="169" t="s">
        <v>239</v>
      </c>
      <c r="C109" s="157">
        <v>49984491</v>
      </c>
      <c r="D109" s="157">
        <v>33041708</v>
      </c>
      <c r="E109" s="157">
        <f t="shared" si="4"/>
        <v>-16942783</v>
      </c>
      <c r="F109" s="161">
        <f t="shared" si="5"/>
        <v>-0.33896079886059055</v>
      </c>
    </row>
    <row r="110" spans="1:6" ht="15" customHeight="1" x14ac:dyDescent="0.2">
      <c r="A110" s="147">
        <v>8</v>
      </c>
      <c r="B110" s="169" t="s">
        <v>240</v>
      </c>
      <c r="C110" s="157">
        <v>3572930</v>
      </c>
      <c r="D110" s="157">
        <v>3674535</v>
      </c>
      <c r="E110" s="157">
        <f t="shared" si="4"/>
        <v>101605</v>
      </c>
      <c r="F110" s="161">
        <f t="shared" si="5"/>
        <v>2.8437444898164813E-2</v>
      </c>
    </row>
    <row r="111" spans="1:6" ht="15" customHeight="1" x14ac:dyDescent="0.2">
      <c r="A111" s="147">
        <v>9</v>
      </c>
      <c r="B111" s="169" t="s">
        <v>241</v>
      </c>
      <c r="C111" s="157">
        <v>915161</v>
      </c>
      <c r="D111" s="157">
        <v>1233385</v>
      </c>
      <c r="E111" s="157">
        <f t="shared" si="4"/>
        <v>318224</v>
      </c>
      <c r="F111" s="161">
        <f t="shared" si="5"/>
        <v>0.34772460801979105</v>
      </c>
    </row>
    <row r="112" spans="1:6" ht="15" customHeight="1" x14ac:dyDescent="0.2">
      <c r="A112" s="147">
        <v>10</v>
      </c>
      <c r="B112" s="169" t="s">
        <v>242</v>
      </c>
      <c r="C112" s="157">
        <v>6499169</v>
      </c>
      <c r="D112" s="157">
        <v>6629401</v>
      </c>
      <c r="E112" s="157">
        <f t="shared" si="4"/>
        <v>130232</v>
      </c>
      <c r="F112" s="161">
        <f t="shared" si="5"/>
        <v>2.0038254121411522E-2</v>
      </c>
    </row>
    <row r="113" spans="1:6" ht="15" customHeight="1" x14ac:dyDescent="0.2">
      <c r="A113" s="147">
        <v>11</v>
      </c>
      <c r="B113" s="169" t="s">
        <v>243</v>
      </c>
      <c r="C113" s="157">
        <v>4221589</v>
      </c>
      <c r="D113" s="157">
        <v>4362326</v>
      </c>
      <c r="E113" s="157">
        <f t="shared" si="4"/>
        <v>140737</v>
      </c>
      <c r="F113" s="161">
        <f t="shared" si="5"/>
        <v>3.3337447108186043E-2</v>
      </c>
    </row>
    <row r="114" spans="1:6" ht="15" customHeight="1" x14ac:dyDescent="0.2">
      <c r="A114" s="147">
        <v>12</v>
      </c>
      <c r="B114" s="169" t="s">
        <v>244</v>
      </c>
      <c r="C114" s="157">
        <v>1061110</v>
      </c>
      <c r="D114" s="157">
        <v>1219520</v>
      </c>
      <c r="E114" s="157">
        <f t="shared" si="4"/>
        <v>158410</v>
      </c>
      <c r="F114" s="161">
        <f t="shared" si="5"/>
        <v>0.14928706731630084</v>
      </c>
    </row>
    <row r="115" spans="1:6" ht="15" customHeight="1" x14ac:dyDescent="0.2">
      <c r="A115" s="147">
        <v>13</v>
      </c>
      <c r="B115" s="169" t="s">
        <v>245</v>
      </c>
      <c r="C115" s="157">
        <v>7020778</v>
      </c>
      <c r="D115" s="157">
        <v>6946014</v>
      </c>
      <c r="E115" s="157">
        <f t="shared" si="4"/>
        <v>-74764</v>
      </c>
      <c r="F115" s="161">
        <f t="shared" si="5"/>
        <v>-1.0648962266005278E-2</v>
      </c>
    </row>
    <row r="116" spans="1:6" ht="15" customHeight="1" x14ac:dyDescent="0.2">
      <c r="A116" s="147">
        <v>14</v>
      </c>
      <c r="B116" s="169" t="s">
        <v>246</v>
      </c>
      <c r="C116" s="157">
        <v>1969499</v>
      </c>
      <c r="D116" s="157">
        <v>2298914</v>
      </c>
      <c r="E116" s="157">
        <f t="shared" si="4"/>
        <v>329415</v>
      </c>
      <c r="F116" s="161">
        <f t="shared" si="5"/>
        <v>0.16725827228142792</v>
      </c>
    </row>
    <row r="117" spans="1:6" ht="15" customHeight="1" x14ac:dyDescent="0.2">
      <c r="A117" s="147">
        <v>15</v>
      </c>
      <c r="B117" s="169" t="s">
        <v>203</v>
      </c>
      <c r="C117" s="157">
        <v>9537286</v>
      </c>
      <c r="D117" s="157">
        <v>9699824</v>
      </c>
      <c r="E117" s="157">
        <f t="shared" si="4"/>
        <v>162538</v>
      </c>
      <c r="F117" s="161">
        <f t="shared" si="5"/>
        <v>1.7042374528770554E-2</v>
      </c>
    </row>
    <row r="118" spans="1:6" ht="15" customHeight="1" x14ac:dyDescent="0.2">
      <c r="A118" s="147">
        <v>16</v>
      </c>
      <c r="B118" s="169" t="s">
        <v>247</v>
      </c>
      <c r="C118" s="157">
        <v>1033457</v>
      </c>
      <c r="D118" s="157">
        <v>975114</v>
      </c>
      <c r="E118" s="157">
        <f t="shared" si="4"/>
        <v>-58343</v>
      </c>
      <c r="F118" s="161">
        <f t="shared" si="5"/>
        <v>-5.645421144759772E-2</v>
      </c>
    </row>
    <row r="119" spans="1:6" ht="15" customHeight="1" x14ac:dyDescent="0.2">
      <c r="A119" s="147">
        <v>17</v>
      </c>
      <c r="B119" s="169" t="s">
        <v>248</v>
      </c>
      <c r="C119" s="157">
        <v>20275053</v>
      </c>
      <c r="D119" s="157">
        <v>25699553</v>
      </c>
      <c r="E119" s="157">
        <f t="shared" si="4"/>
        <v>5424500</v>
      </c>
      <c r="F119" s="161">
        <f t="shared" si="5"/>
        <v>0.26754553983163448</v>
      </c>
    </row>
    <row r="120" spans="1:6" ht="15" customHeight="1" x14ac:dyDescent="0.2">
      <c r="A120" s="147">
        <v>18</v>
      </c>
      <c r="B120" s="169" t="s">
        <v>249</v>
      </c>
      <c r="C120" s="157">
        <v>0</v>
      </c>
      <c r="D120" s="157">
        <v>0</v>
      </c>
      <c r="E120" s="157">
        <f t="shared" si="4"/>
        <v>0</v>
      </c>
      <c r="F120" s="161">
        <f t="shared" si="5"/>
        <v>0</v>
      </c>
    </row>
    <row r="121" spans="1:6" ht="15.75" customHeight="1" x14ac:dyDescent="0.25">
      <c r="A121" s="147"/>
      <c r="B121" s="165" t="s">
        <v>250</v>
      </c>
      <c r="C121" s="158">
        <f>SUM(C103:C120)</f>
        <v>194456924</v>
      </c>
      <c r="D121" s="158">
        <f>SUM(D103:D120)</f>
        <v>185557885</v>
      </c>
      <c r="E121" s="158">
        <f t="shared" si="4"/>
        <v>-8899039</v>
      </c>
      <c r="F121" s="159">
        <f t="shared" si="5"/>
        <v>-4.5763549154978919E-2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419001</v>
      </c>
      <c r="D124" s="157">
        <v>276880</v>
      </c>
      <c r="E124" s="157">
        <f t="shared" ref="E124:E130" si="6">D124-C124</f>
        <v>-142121</v>
      </c>
      <c r="F124" s="161">
        <f t="shared" ref="F124:F130" si="7">IF(C124=0,0,E124/C124)</f>
        <v>-0.33919012126462705</v>
      </c>
    </row>
    <row r="125" spans="1:6" ht="15" customHeight="1" x14ac:dyDescent="0.2">
      <c r="A125" s="147">
        <v>2</v>
      </c>
      <c r="B125" s="169" t="s">
        <v>253</v>
      </c>
      <c r="C125" s="157">
        <v>4560477</v>
      </c>
      <c r="D125" s="157">
        <v>4842056</v>
      </c>
      <c r="E125" s="157">
        <f t="shared" si="6"/>
        <v>281579</v>
      </c>
      <c r="F125" s="161">
        <f t="shared" si="7"/>
        <v>6.1743322025305684E-2</v>
      </c>
    </row>
    <row r="126" spans="1:6" ht="15" customHeight="1" x14ac:dyDescent="0.2">
      <c r="A126" s="147">
        <v>3</v>
      </c>
      <c r="B126" s="169" t="s">
        <v>254</v>
      </c>
      <c r="C126" s="157">
        <v>2808416</v>
      </c>
      <c r="D126" s="157">
        <v>2737342</v>
      </c>
      <c r="E126" s="157">
        <f t="shared" si="6"/>
        <v>-71074</v>
      </c>
      <c r="F126" s="161">
        <f t="shared" si="7"/>
        <v>-2.5307504301357062E-2</v>
      </c>
    </row>
    <row r="127" spans="1:6" ht="15" customHeight="1" x14ac:dyDescent="0.2">
      <c r="A127" s="147">
        <v>4</v>
      </c>
      <c r="B127" s="169" t="s">
        <v>255</v>
      </c>
      <c r="C127" s="157">
        <v>3451543</v>
      </c>
      <c r="D127" s="157">
        <v>3788315</v>
      </c>
      <c r="E127" s="157">
        <f t="shared" si="6"/>
        <v>336772</v>
      </c>
      <c r="F127" s="161">
        <f t="shared" si="7"/>
        <v>9.7571433993434237E-2</v>
      </c>
    </row>
    <row r="128" spans="1:6" ht="15" customHeight="1" x14ac:dyDescent="0.2">
      <c r="A128" s="147">
        <v>5</v>
      </c>
      <c r="B128" s="169" t="s">
        <v>256</v>
      </c>
      <c r="C128" s="157">
        <v>882374</v>
      </c>
      <c r="D128" s="157">
        <v>966786</v>
      </c>
      <c r="E128" s="157">
        <f t="shared" si="6"/>
        <v>84412</v>
      </c>
      <c r="F128" s="161">
        <f t="shared" si="7"/>
        <v>9.5664650137016735E-2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12121811</v>
      </c>
      <c r="D130" s="158">
        <f>SUM(D124:D129)</f>
        <v>12611379</v>
      </c>
      <c r="E130" s="158">
        <f t="shared" si="6"/>
        <v>489568</v>
      </c>
      <c r="F130" s="159">
        <f t="shared" si="7"/>
        <v>4.0387364561285437E-2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25202994</v>
      </c>
      <c r="D133" s="157">
        <v>26152076</v>
      </c>
      <c r="E133" s="157">
        <f t="shared" ref="E133:E167" si="8">D133-C133</f>
        <v>949082</v>
      </c>
      <c r="F133" s="161">
        <f t="shared" ref="F133:F167" si="9">IF(C133=0,0,E133/C133)</f>
        <v>3.7657510056146502E-2</v>
      </c>
    </row>
    <row r="134" spans="1:6" ht="15" customHeight="1" x14ac:dyDescent="0.2">
      <c r="A134" s="147">
        <v>2</v>
      </c>
      <c r="B134" s="169" t="s">
        <v>261</v>
      </c>
      <c r="C134" s="157">
        <v>1831704</v>
      </c>
      <c r="D134" s="157">
        <v>1738067</v>
      </c>
      <c r="E134" s="157">
        <f t="shared" si="8"/>
        <v>-93637</v>
      </c>
      <c r="F134" s="161">
        <f t="shared" si="9"/>
        <v>-5.1120159152352129E-2</v>
      </c>
    </row>
    <row r="135" spans="1:6" ht="15" customHeight="1" x14ac:dyDescent="0.2">
      <c r="A135" s="147">
        <v>3</v>
      </c>
      <c r="B135" s="169" t="s">
        <v>262</v>
      </c>
      <c r="C135" s="157">
        <v>1201723</v>
      </c>
      <c r="D135" s="157">
        <v>1304481</v>
      </c>
      <c r="E135" s="157">
        <f t="shared" si="8"/>
        <v>102758</v>
      </c>
      <c r="F135" s="161">
        <f t="shared" si="9"/>
        <v>8.5508890151890241E-2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3923436</v>
      </c>
      <c r="D137" s="157">
        <v>3800982</v>
      </c>
      <c r="E137" s="157">
        <f t="shared" si="8"/>
        <v>-122454</v>
      </c>
      <c r="F137" s="161">
        <f t="shared" si="9"/>
        <v>-3.1210907989833402E-2</v>
      </c>
    </row>
    <row r="138" spans="1:6" ht="15" customHeight="1" x14ac:dyDescent="0.2">
      <c r="A138" s="147">
        <v>6</v>
      </c>
      <c r="B138" s="169" t="s">
        <v>265</v>
      </c>
      <c r="C138" s="157">
        <v>793505</v>
      </c>
      <c r="D138" s="157">
        <v>174137</v>
      </c>
      <c r="E138" s="157">
        <f t="shared" si="8"/>
        <v>-619368</v>
      </c>
      <c r="F138" s="161">
        <f t="shared" si="9"/>
        <v>-0.78054706649611538</v>
      </c>
    </row>
    <row r="139" spans="1:6" ht="15" customHeight="1" x14ac:dyDescent="0.2">
      <c r="A139" s="147">
        <v>7</v>
      </c>
      <c r="B139" s="169" t="s">
        <v>266</v>
      </c>
      <c r="C139" s="157">
        <v>1739047</v>
      </c>
      <c r="D139" s="157">
        <v>2207990</v>
      </c>
      <c r="E139" s="157">
        <f t="shared" si="8"/>
        <v>468943</v>
      </c>
      <c r="F139" s="161">
        <f t="shared" si="9"/>
        <v>0.26965516170638287</v>
      </c>
    </row>
    <row r="140" spans="1:6" ht="15" customHeight="1" x14ac:dyDescent="0.2">
      <c r="A140" s="147">
        <v>8</v>
      </c>
      <c r="B140" s="169" t="s">
        <v>267</v>
      </c>
      <c r="C140" s="157">
        <v>430897</v>
      </c>
      <c r="D140" s="157">
        <v>303595</v>
      </c>
      <c r="E140" s="157">
        <f t="shared" si="8"/>
        <v>-127302</v>
      </c>
      <c r="F140" s="161">
        <f t="shared" si="9"/>
        <v>-0.29543487190674339</v>
      </c>
    </row>
    <row r="141" spans="1:6" ht="15" customHeight="1" x14ac:dyDescent="0.2">
      <c r="A141" s="147">
        <v>9</v>
      </c>
      <c r="B141" s="169" t="s">
        <v>268</v>
      </c>
      <c r="C141" s="157">
        <v>1531271</v>
      </c>
      <c r="D141" s="157">
        <v>1527740</v>
      </c>
      <c r="E141" s="157">
        <f t="shared" si="8"/>
        <v>-3531</v>
      </c>
      <c r="F141" s="161">
        <f t="shared" si="9"/>
        <v>-2.3059275595240817E-3</v>
      </c>
    </row>
    <row r="142" spans="1:6" ht="15" customHeight="1" x14ac:dyDescent="0.2">
      <c r="A142" s="147">
        <v>10</v>
      </c>
      <c r="B142" s="169" t="s">
        <v>269</v>
      </c>
      <c r="C142" s="157">
        <v>7897215</v>
      </c>
      <c r="D142" s="157">
        <v>8258450</v>
      </c>
      <c r="E142" s="157">
        <f t="shared" si="8"/>
        <v>361235</v>
      </c>
      <c r="F142" s="161">
        <f t="shared" si="9"/>
        <v>4.5742074896023471E-2</v>
      </c>
    </row>
    <row r="143" spans="1:6" ht="15" customHeight="1" x14ac:dyDescent="0.2">
      <c r="A143" s="147">
        <v>11</v>
      </c>
      <c r="B143" s="169" t="s">
        <v>270</v>
      </c>
      <c r="C143" s="157">
        <v>3263226</v>
      </c>
      <c r="D143" s="157">
        <v>2487088</v>
      </c>
      <c r="E143" s="157">
        <f t="shared" si="8"/>
        <v>-776138</v>
      </c>
      <c r="F143" s="161">
        <f t="shared" si="9"/>
        <v>-0.23784377790566757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6006433</v>
      </c>
      <c r="D145" s="157">
        <v>7908833</v>
      </c>
      <c r="E145" s="157">
        <f t="shared" si="8"/>
        <v>1902400</v>
      </c>
      <c r="F145" s="161">
        <f t="shared" si="9"/>
        <v>0.31672708244643699</v>
      </c>
    </row>
    <row r="146" spans="1:6" ht="15" customHeight="1" x14ac:dyDescent="0.2">
      <c r="A146" s="147">
        <v>14</v>
      </c>
      <c r="B146" s="169" t="s">
        <v>273</v>
      </c>
      <c r="C146" s="157">
        <v>42085</v>
      </c>
      <c r="D146" s="157">
        <v>58103</v>
      </c>
      <c r="E146" s="157">
        <f t="shared" si="8"/>
        <v>16018</v>
      </c>
      <c r="F146" s="161">
        <f t="shared" si="9"/>
        <v>0.38061066888440059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2722786</v>
      </c>
      <c r="D150" s="157">
        <v>2950203</v>
      </c>
      <c r="E150" s="157">
        <f t="shared" si="8"/>
        <v>227417</v>
      </c>
      <c r="F150" s="161">
        <f t="shared" si="9"/>
        <v>8.3523640859031884E-2</v>
      </c>
    </row>
    <row r="151" spans="1:6" ht="15" customHeight="1" x14ac:dyDescent="0.2">
      <c r="A151" s="147">
        <v>19</v>
      </c>
      <c r="B151" s="169" t="s">
        <v>278</v>
      </c>
      <c r="C151" s="157">
        <v>469098</v>
      </c>
      <c r="D151" s="157">
        <v>384642</v>
      </c>
      <c r="E151" s="157">
        <f t="shared" si="8"/>
        <v>-84456</v>
      </c>
      <c r="F151" s="161">
        <f t="shared" si="9"/>
        <v>-0.18003913894324852</v>
      </c>
    </row>
    <row r="152" spans="1:6" ht="15" customHeight="1" x14ac:dyDescent="0.2">
      <c r="A152" s="147">
        <v>20</v>
      </c>
      <c r="B152" s="169" t="s">
        <v>279</v>
      </c>
      <c r="C152" s="157">
        <v>206903</v>
      </c>
      <c r="D152" s="157">
        <v>140555</v>
      </c>
      <c r="E152" s="157">
        <f t="shared" si="8"/>
        <v>-66348</v>
      </c>
      <c r="F152" s="161">
        <f t="shared" si="9"/>
        <v>-0.32067200572248833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1599825</v>
      </c>
      <c r="D155" s="157">
        <v>983022</v>
      </c>
      <c r="E155" s="157">
        <f t="shared" si="8"/>
        <v>-616803</v>
      </c>
      <c r="F155" s="161">
        <f t="shared" si="9"/>
        <v>-0.38554404387979935</v>
      </c>
    </row>
    <row r="156" spans="1:6" ht="15" customHeight="1" x14ac:dyDescent="0.2">
      <c r="A156" s="147">
        <v>24</v>
      </c>
      <c r="B156" s="169" t="s">
        <v>283</v>
      </c>
      <c r="C156" s="157">
        <v>17235710</v>
      </c>
      <c r="D156" s="157">
        <v>20758018</v>
      </c>
      <c r="E156" s="157">
        <f t="shared" si="8"/>
        <v>3522308</v>
      </c>
      <c r="F156" s="161">
        <f t="shared" si="9"/>
        <v>0.20436106200440829</v>
      </c>
    </row>
    <row r="157" spans="1:6" ht="15" customHeight="1" x14ac:dyDescent="0.2">
      <c r="A157" s="147">
        <v>25</v>
      </c>
      <c r="B157" s="169" t="s">
        <v>284</v>
      </c>
      <c r="C157" s="157">
        <v>535039</v>
      </c>
      <c r="D157" s="157">
        <v>517500</v>
      </c>
      <c r="E157" s="157">
        <f t="shared" si="8"/>
        <v>-17539</v>
      </c>
      <c r="F157" s="161">
        <f t="shared" si="9"/>
        <v>-3.2780787942561194E-2</v>
      </c>
    </row>
    <row r="158" spans="1:6" ht="15" customHeight="1" x14ac:dyDescent="0.2">
      <c r="A158" s="147">
        <v>26</v>
      </c>
      <c r="B158" s="169" t="s">
        <v>285</v>
      </c>
      <c r="C158" s="157">
        <v>101230</v>
      </c>
      <c r="D158" s="157">
        <v>167214</v>
      </c>
      <c r="E158" s="157">
        <f t="shared" si="8"/>
        <v>65984</v>
      </c>
      <c r="F158" s="161">
        <f t="shared" si="9"/>
        <v>0.6518225822384669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1184031</v>
      </c>
      <c r="D160" s="157">
        <v>1366862</v>
      </c>
      <c r="E160" s="157">
        <f t="shared" si="8"/>
        <v>182831</v>
      </c>
      <c r="F160" s="161">
        <f t="shared" si="9"/>
        <v>0.15441403138938084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13489402</v>
      </c>
      <c r="D163" s="157">
        <v>13642748</v>
      </c>
      <c r="E163" s="157">
        <f t="shared" si="8"/>
        <v>153346</v>
      </c>
      <c r="F163" s="161">
        <f t="shared" si="9"/>
        <v>1.1367887175428533E-2</v>
      </c>
    </row>
    <row r="164" spans="1:6" ht="15" customHeight="1" x14ac:dyDescent="0.2">
      <c r="A164" s="147">
        <v>32</v>
      </c>
      <c r="B164" s="169" t="s">
        <v>291</v>
      </c>
      <c r="C164" s="157">
        <v>2544660</v>
      </c>
      <c r="D164" s="157">
        <v>2661178</v>
      </c>
      <c r="E164" s="157">
        <f t="shared" si="8"/>
        <v>116518</v>
      </c>
      <c r="F164" s="161">
        <f t="shared" si="9"/>
        <v>4.5789221349807049E-2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2814071</v>
      </c>
      <c r="D166" s="157">
        <v>3548166</v>
      </c>
      <c r="E166" s="157">
        <f t="shared" si="8"/>
        <v>734095</v>
      </c>
      <c r="F166" s="161">
        <f t="shared" si="9"/>
        <v>0.26086584169340432</v>
      </c>
    </row>
    <row r="167" spans="1:6" ht="15.75" customHeight="1" x14ac:dyDescent="0.25">
      <c r="A167" s="147"/>
      <c r="B167" s="165" t="s">
        <v>294</v>
      </c>
      <c r="C167" s="158">
        <f>SUM(C133:C166)</f>
        <v>96766291</v>
      </c>
      <c r="D167" s="158">
        <f>SUM(D133:D166)</f>
        <v>103041650</v>
      </c>
      <c r="E167" s="158">
        <f t="shared" si="8"/>
        <v>6275359</v>
      </c>
      <c r="F167" s="159">
        <f t="shared" si="9"/>
        <v>6.4850672017593397E-2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39985884</v>
      </c>
      <c r="D170" s="157">
        <v>46460571</v>
      </c>
      <c r="E170" s="157">
        <f t="shared" ref="E170:E183" si="10">D170-C170</f>
        <v>6474687</v>
      </c>
      <c r="F170" s="161">
        <f t="shared" ref="F170:F183" si="11">IF(C170=0,0,E170/C170)</f>
        <v>0.16192431809185462</v>
      </c>
    </row>
    <row r="171" spans="1:6" ht="15" customHeight="1" x14ac:dyDescent="0.2">
      <c r="A171" s="147">
        <v>2</v>
      </c>
      <c r="B171" s="169" t="s">
        <v>297</v>
      </c>
      <c r="C171" s="157">
        <v>8671192</v>
      </c>
      <c r="D171" s="157">
        <v>9476813</v>
      </c>
      <c r="E171" s="157">
        <f t="shared" si="10"/>
        <v>805621</v>
      </c>
      <c r="F171" s="161">
        <f t="shared" si="11"/>
        <v>9.2907757088068171E-2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12928211</v>
      </c>
      <c r="D173" s="157">
        <v>10295738</v>
      </c>
      <c r="E173" s="157">
        <f t="shared" si="10"/>
        <v>-2632473</v>
      </c>
      <c r="F173" s="161">
        <f t="shared" si="11"/>
        <v>-0.20362237280935466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4128326</v>
      </c>
      <c r="D175" s="157">
        <v>4216850</v>
      </c>
      <c r="E175" s="157">
        <f t="shared" si="10"/>
        <v>88524</v>
      </c>
      <c r="F175" s="161">
        <f t="shared" si="11"/>
        <v>2.1443074020801652E-2</v>
      </c>
    </row>
    <row r="176" spans="1:6" ht="15" customHeight="1" x14ac:dyDescent="0.2">
      <c r="A176" s="147">
        <v>7</v>
      </c>
      <c r="B176" s="169" t="s">
        <v>302</v>
      </c>
      <c r="C176" s="157">
        <v>1302788</v>
      </c>
      <c r="D176" s="157">
        <v>1342081</v>
      </c>
      <c r="E176" s="157">
        <f t="shared" si="10"/>
        <v>39293</v>
      </c>
      <c r="F176" s="161">
        <f t="shared" si="11"/>
        <v>3.0160701510913518E-2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2270425</v>
      </c>
      <c r="D178" s="157">
        <v>2460680</v>
      </c>
      <c r="E178" s="157">
        <f t="shared" si="10"/>
        <v>190255</v>
      </c>
      <c r="F178" s="161">
        <f t="shared" si="11"/>
        <v>8.3797086448572408E-2</v>
      </c>
    </row>
    <row r="179" spans="1:6" ht="15" customHeight="1" x14ac:dyDescent="0.2">
      <c r="A179" s="147">
        <v>10</v>
      </c>
      <c r="B179" s="169" t="s">
        <v>305</v>
      </c>
      <c r="C179" s="157">
        <v>6122387</v>
      </c>
      <c r="D179" s="157">
        <v>6762581</v>
      </c>
      <c r="E179" s="157">
        <f t="shared" si="10"/>
        <v>640194</v>
      </c>
      <c r="F179" s="161">
        <f t="shared" si="11"/>
        <v>0.1045660785572686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15573960</v>
      </c>
      <c r="D181" s="157">
        <v>15815651</v>
      </c>
      <c r="E181" s="157">
        <f t="shared" si="10"/>
        <v>241691</v>
      </c>
      <c r="F181" s="161">
        <f t="shared" si="11"/>
        <v>1.5518917475067355E-2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90983173</v>
      </c>
      <c r="D183" s="158">
        <f>SUM(D170:D182)</f>
        <v>96830965</v>
      </c>
      <c r="E183" s="158">
        <f t="shared" si="10"/>
        <v>5847792</v>
      </c>
      <c r="F183" s="159">
        <f t="shared" si="11"/>
        <v>6.4273335466108666E-2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162801</v>
      </c>
      <c r="D186" s="157">
        <v>350121</v>
      </c>
      <c r="E186" s="157">
        <f>D186-C186</f>
        <v>187320</v>
      </c>
      <c r="F186" s="161">
        <f>IF(C186=0,0,E186/C186)</f>
        <v>1.1506071830025615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394491000</v>
      </c>
      <c r="D188" s="158">
        <f>+D186+D183+D167+D130+D121</f>
        <v>398392000</v>
      </c>
      <c r="E188" s="158">
        <f>D188-C188</f>
        <v>3901000</v>
      </c>
      <c r="F188" s="159">
        <f>IF(C188=0,0,E188/C188)</f>
        <v>9.8886920107176084E-3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FILING&amp;RSAINT VINCENT`S MEDICAL CENTER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424565000</v>
      </c>
      <c r="D11" s="183">
        <v>408184000</v>
      </c>
      <c r="E11" s="76">
        <v>401065000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12922000</v>
      </c>
      <c r="D12" s="185">
        <v>16547000</v>
      </c>
      <c r="E12" s="185">
        <v>20648000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437487000</v>
      </c>
      <c r="D13" s="76">
        <f>+D11+D12</f>
        <v>424731000</v>
      </c>
      <c r="E13" s="76">
        <f>+E11+E12</f>
        <v>421713000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373601000</v>
      </c>
      <c r="D14" s="185">
        <v>394491000</v>
      </c>
      <c r="E14" s="185">
        <v>398392000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63886000</v>
      </c>
      <c r="D15" s="76">
        <f>+D13-D14</f>
        <v>30240000</v>
      </c>
      <c r="E15" s="76">
        <f>+E13-E14</f>
        <v>23321000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23224000</v>
      </c>
      <c r="D16" s="185">
        <v>23663000</v>
      </c>
      <c r="E16" s="185">
        <v>21661000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87110000</v>
      </c>
      <c r="D17" s="76">
        <f>D15+D16</f>
        <v>53903000</v>
      </c>
      <c r="E17" s="76">
        <f>E15+E16</f>
        <v>44982000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0.13866827577374971</v>
      </c>
      <c r="D20" s="189">
        <f>IF(+D27=0,0,+D24/+D27)</f>
        <v>6.7440688323215744E-2</v>
      </c>
      <c r="E20" s="189">
        <f>IF(+E27=0,0,+E24/+E27)</f>
        <v>5.2598934533824714E-2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5.0409041676886375E-2</v>
      </c>
      <c r="D21" s="189">
        <f>IF(D27=0,0,+D26/D27)</f>
        <v>5.2772784649214755E-2</v>
      </c>
      <c r="E21" s="189">
        <f>IF(E27=0,0,+E26/E27)</f>
        <v>4.8854917067757693E-2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0.18907731745063608</v>
      </c>
      <c r="D22" s="189">
        <f>IF(D27=0,0,+D28/D27)</f>
        <v>0.1202134729724305</v>
      </c>
      <c r="E22" s="189">
        <f>IF(E27=0,0,+E28/E27)</f>
        <v>0.10145385160158241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63886000</v>
      </c>
      <c r="D24" s="76">
        <f>+D15</f>
        <v>30240000</v>
      </c>
      <c r="E24" s="76">
        <f>+E15</f>
        <v>23321000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437487000</v>
      </c>
      <c r="D25" s="76">
        <f>+D13</f>
        <v>424731000</v>
      </c>
      <c r="E25" s="76">
        <f>+E13</f>
        <v>421713000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23224000</v>
      </c>
      <c r="D26" s="76">
        <f>+D16</f>
        <v>23663000</v>
      </c>
      <c r="E26" s="76">
        <f>+E16</f>
        <v>21661000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460711000</v>
      </c>
      <c r="D27" s="76">
        <f>+D25+D26</f>
        <v>448394000</v>
      </c>
      <c r="E27" s="76">
        <f>+E25+E26</f>
        <v>443374000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87110000</v>
      </c>
      <c r="D28" s="76">
        <f>+D17</f>
        <v>53903000</v>
      </c>
      <c r="E28" s="76">
        <f>+E17</f>
        <v>44982000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475180000</v>
      </c>
      <c r="D31" s="76">
        <v>517788000</v>
      </c>
      <c r="E31" s="76">
        <v>522872000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495284000</v>
      </c>
      <c r="D32" s="76">
        <v>538420000</v>
      </c>
      <c r="E32" s="76">
        <v>544973000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49357000</v>
      </c>
      <c r="D33" s="76">
        <f>+D32-C32</f>
        <v>43136000</v>
      </c>
      <c r="E33" s="76">
        <f>+E32-D32</f>
        <v>6553000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1.1106</v>
      </c>
      <c r="D34" s="193">
        <f>IF(C32=0,0,+D33/C32)</f>
        <v>8.7093465567230119E-2</v>
      </c>
      <c r="E34" s="193">
        <f>IF(D32=0,0,+E33/D32)</f>
        <v>1.2170796032836819E-2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0.33096422112182738</v>
      </c>
      <c r="D38" s="195">
        <f>IF((D40+D41)=0,0,+D39/(D40+D41))</f>
        <v>0.32638909914369779</v>
      </c>
      <c r="E38" s="195">
        <f>IF((E40+E41)=0,0,+E39/(E40+E41))</f>
        <v>0.32662130776301501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373601000</v>
      </c>
      <c r="D39" s="76">
        <v>394491000</v>
      </c>
      <c r="E39" s="196">
        <v>398392000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1116185946</v>
      </c>
      <c r="D40" s="76">
        <v>1192685498</v>
      </c>
      <c r="E40" s="196">
        <v>1199088712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12640000</v>
      </c>
      <c r="D41" s="76">
        <v>15967000</v>
      </c>
      <c r="E41" s="196">
        <v>20648000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1.6640377799493926</v>
      </c>
      <c r="D43" s="197">
        <f>IF(D38=0,0,IF((D46-D47)=0,0,((+D44-D45)/(D46-D47)/D38)))</f>
        <v>1.7762978516481744</v>
      </c>
      <c r="E43" s="197">
        <f>IF(E38=0,0,IF((E46-E47)=0,0,((+E44-E45)/(E46-E47)/E38)))</f>
        <v>1.6904597438635987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177867493</v>
      </c>
      <c r="D44" s="76">
        <v>187090654</v>
      </c>
      <c r="E44" s="196">
        <v>185574186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2457082</v>
      </c>
      <c r="D45" s="76">
        <v>3466251</v>
      </c>
      <c r="E45" s="196">
        <v>4045716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372848807</v>
      </c>
      <c r="D46" s="76">
        <v>373127096</v>
      </c>
      <c r="E46" s="196">
        <v>379181443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54347560</v>
      </c>
      <c r="D47" s="76">
        <v>56404564</v>
      </c>
      <c r="E47" s="76">
        <v>50409006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0.93527185055335471</v>
      </c>
      <c r="D49" s="198">
        <f>IF(D38=0,0,IF(D51=0,0,(D50/D51)/D38))</f>
        <v>0.85614807949022165</v>
      </c>
      <c r="E49" s="198">
        <f>IF(E38=0,0,IF(E51=0,0,(E50/E51)/E38))</f>
        <v>0.83648397644345784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162070592</v>
      </c>
      <c r="D50" s="199">
        <v>160682023</v>
      </c>
      <c r="E50" s="199">
        <v>156655774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523582724</v>
      </c>
      <c r="D51" s="199">
        <v>575019746</v>
      </c>
      <c r="E51" s="199">
        <v>573382280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0.69710327443181508</v>
      </c>
      <c r="D53" s="198">
        <f>IF(D38=0,0,IF(D55=0,0,(D54/D55)/D38))</f>
        <v>0.71654867775287867</v>
      </c>
      <c r="E53" s="198">
        <f>IF(E38=0,0,IF(E55=0,0,(E54/E55)/E38))</f>
        <v>0.75540788560090943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50085998</v>
      </c>
      <c r="D54" s="199">
        <v>56472732</v>
      </c>
      <c r="E54" s="199">
        <v>60356548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217089172</v>
      </c>
      <c r="D55" s="199">
        <v>241466815</v>
      </c>
      <c r="E55" s="199">
        <v>244623607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14145741.774968024</v>
      </c>
      <c r="D57" s="88">
        <f>+D60*D38</f>
        <v>13319286.35785602</v>
      </c>
      <c r="E57" s="88">
        <f>+E60*E38</f>
        <v>15738900.957176404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15330000</v>
      </c>
      <c r="D58" s="199">
        <v>14991000</v>
      </c>
      <c r="E58" s="199">
        <v>17249000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27411000</v>
      </c>
      <c r="D59" s="199">
        <v>25817000</v>
      </c>
      <c r="E59" s="199">
        <v>30938000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42741000</v>
      </c>
      <c r="D60" s="76">
        <v>40808000</v>
      </c>
      <c r="E60" s="201">
        <v>48187000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3.7863233168455183E-2</v>
      </c>
      <c r="D62" s="202">
        <f>IF(D63=0,0,+D57/D63)</f>
        <v>3.3763219839884867E-2</v>
      </c>
      <c r="E62" s="202">
        <f>IF(E63=0,0,+E57/E63)</f>
        <v>3.9506066781402248E-2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373601000</v>
      </c>
      <c r="D63" s="199">
        <v>394491000</v>
      </c>
      <c r="E63" s="199">
        <v>398392000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1.2769747848498094</v>
      </c>
      <c r="D67" s="203">
        <f>IF(D69=0,0,D68/D69)</f>
        <v>1.6349820840160614</v>
      </c>
      <c r="E67" s="203">
        <f>IF(E69=0,0,E68/E69)</f>
        <v>1.4279200217135619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84726000</v>
      </c>
      <c r="D68" s="204">
        <v>90802000</v>
      </c>
      <c r="E68" s="204">
        <v>78914000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66349000</v>
      </c>
      <c r="D69" s="204">
        <v>55537000</v>
      </c>
      <c r="E69" s="204">
        <v>55265000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19.735522583771612</v>
      </c>
      <c r="D71" s="203">
        <f>IF((D77/365)=0,0,+D74/(D77/365))</f>
        <v>3.5616832815554456</v>
      </c>
      <c r="E71" s="203">
        <f>IF((E77/365)=0,0,+E74/(E77/365))</f>
        <v>0.64222355546109289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4388000</v>
      </c>
      <c r="D72" s="183">
        <v>3609000</v>
      </c>
      <c r="E72" s="183">
        <v>654000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14580000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18968000</v>
      </c>
      <c r="D74" s="204">
        <f>+D72+D73</f>
        <v>3609000</v>
      </c>
      <c r="E74" s="204">
        <f>+E72+E73</f>
        <v>654000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373601000</v>
      </c>
      <c r="D75" s="204">
        <f>+D14</f>
        <v>394491000</v>
      </c>
      <c r="E75" s="204">
        <f>+E14</f>
        <v>398392000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22796000</v>
      </c>
      <c r="D76" s="204">
        <v>24642000</v>
      </c>
      <c r="E76" s="204">
        <v>26699000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350805000</v>
      </c>
      <c r="D77" s="204">
        <f>+D75-D76</f>
        <v>369849000</v>
      </c>
      <c r="E77" s="204">
        <f>+E75-E76</f>
        <v>371693000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33.820734163202339</v>
      </c>
      <c r="D79" s="203">
        <f>IF((D84/365)=0,0,+D83/(D84/365))</f>
        <v>41.479467593046266</v>
      </c>
      <c r="E79" s="203">
        <f>IF((E84/365)=0,0,+E83/(E84/365))</f>
        <v>46.618690237243342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51340000</v>
      </c>
      <c r="D80" s="212">
        <v>52068000</v>
      </c>
      <c r="E80" s="212">
        <v>61867000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12000000</v>
      </c>
      <c r="D82" s="212">
        <v>5681000</v>
      </c>
      <c r="E82" s="212">
        <v>10642000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39340000</v>
      </c>
      <c r="D83" s="212">
        <f>+D80+D81-D82</f>
        <v>46387000</v>
      </c>
      <c r="E83" s="212">
        <f>+E80+E81-E82</f>
        <v>51225000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424565000</v>
      </c>
      <c r="D84" s="204">
        <f>+D11</f>
        <v>408184000</v>
      </c>
      <c r="E84" s="204">
        <f>+E11</f>
        <v>401065000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69.033750944256781</v>
      </c>
      <c r="D86" s="203">
        <f>IF((D90/365)=0,0,+D87/(D90/365))</f>
        <v>54.808867943403925</v>
      </c>
      <c r="E86" s="203">
        <f>IF((E90/365)=0,0,+E87/(E90/365))</f>
        <v>54.269854422870488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66349000</v>
      </c>
      <c r="D87" s="76">
        <f>+D69</f>
        <v>55537000</v>
      </c>
      <c r="E87" s="76">
        <f>+E69</f>
        <v>55265000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373601000</v>
      </c>
      <c r="D88" s="76">
        <f t="shared" si="0"/>
        <v>394491000</v>
      </c>
      <c r="E88" s="76">
        <f t="shared" si="0"/>
        <v>398392000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22796000</v>
      </c>
      <c r="D89" s="201">
        <f t="shared" si="0"/>
        <v>24642000</v>
      </c>
      <c r="E89" s="201">
        <f t="shared" si="0"/>
        <v>26699000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350805000</v>
      </c>
      <c r="D90" s="76">
        <f>+D88-D89</f>
        <v>369849000</v>
      </c>
      <c r="E90" s="76">
        <f>+E88-E89</f>
        <v>371693000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77.552803531248387</v>
      </c>
      <c r="D94" s="214">
        <f>IF(D96=0,0,(D95/D96)*100)</f>
        <v>80.561154028581399</v>
      </c>
      <c r="E94" s="214">
        <f>IF(E96=0,0,(E95/E96)*100)</f>
        <v>80.869126495967464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495284000</v>
      </c>
      <c r="D95" s="76">
        <f>+D32</f>
        <v>538420000</v>
      </c>
      <c r="E95" s="76">
        <f>+E32</f>
        <v>544973000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638641000</v>
      </c>
      <c r="D96" s="76">
        <v>668337000</v>
      </c>
      <c r="E96" s="76">
        <v>673895000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88.938701193607116</v>
      </c>
      <c r="D98" s="214">
        <f>IF(D104=0,0,(D101/D104)*100)</f>
        <v>69.492860049900017</v>
      </c>
      <c r="E98" s="214">
        <f>IF(E104=0,0,(E101/E104)*100)</f>
        <v>64.13374132130842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87110000</v>
      </c>
      <c r="D99" s="76">
        <f>+D28</f>
        <v>53903000</v>
      </c>
      <c r="E99" s="76">
        <f>+E28</f>
        <v>44982000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22796000</v>
      </c>
      <c r="D100" s="201">
        <f>+D76</f>
        <v>24642000</v>
      </c>
      <c r="E100" s="201">
        <f>+E76</f>
        <v>26699000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109906000</v>
      </c>
      <c r="D101" s="76">
        <f>+D99+D100</f>
        <v>78545000</v>
      </c>
      <c r="E101" s="76">
        <f>+E99+E100</f>
        <v>71681000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66349000</v>
      </c>
      <c r="D102" s="204">
        <f>+D69</f>
        <v>55537000</v>
      </c>
      <c r="E102" s="204">
        <f>+E69</f>
        <v>55265000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57226000</v>
      </c>
      <c r="D103" s="216">
        <v>57489000</v>
      </c>
      <c r="E103" s="216">
        <v>56503000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123575000</v>
      </c>
      <c r="D104" s="204">
        <f>+D102+D103</f>
        <v>113026000</v>
      </c>
      <c r="E104" s="204">
        <f>+E102+E103</f>
        <v>111768000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10.357459593491521</v>
      </c>
      <c r="D106" s="214">
        <f>IF(D109=0,0,(D107/D109)*100)</f>
        <v>9.64727835961531</v>
      </c>
      <c r="E106" s="214">
        <f>IF(E109=0,0,(E107/E109)*100)</f>
        <v>9.3940572857437363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57226000</v>
      </c>
      <c r="D107" s="204">
        <f>+D103</f>
        <v>57489000</v>
      </c>
      <c r="E107" s="204">
        <f>+E103</f>
        <v>56503000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495284000</v>
      </c>
      <c r="D108" s="204">
        <f>+D32</f>
        <v>538420000</v>
      </c>
      <c r="E108" s="204">
        <f>+E32</f>
        <v>544973000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552510000</v>
      </c>
      <c r="D109" s="204">
        <f>+D107+D108</f>
        <v>595909000</v>
      </c>
      <c r="E109" s="204">
        <f>+E107+E108</f>
        <v>601476000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42.969136460513489</v>
      </c>
      <c r="D111" s="214">
        <f>IF((+D113+D115)=0,0,((+D112+D113+D114)/(+D113+D115)))</f>
        <v>33.3632846789749</v>
      </c>
      <c r="E111" s="214">
        <f>IF((+E113+E115)=0,0,((+E112+E113+E114)/(+E113+E115)))</f>
        <v>27.671284759465497</v>
      </c>
    </row>
    <row r="112" spans="1:6" ht="24" customHeight="1" x14ac:dyDescent="0.2">
      <c r="A112" s="85">
        <v>16</v>
      </c>
      <c r="B112" s="75" t="s">
        <v>373</v>
      </c>
      <c r="C112" s="218">
        <f>+C17</f>
        <v>87110000</v>
      </c>
      <c r="D112" s="76">
        <f>+D17</f>
        <v>53903000</v>
      </c>
      <c r="E112" s="76">
        <f>+E17</f>
        <v>44982000</v>
      </c>
    </row>
    <row r="113" spans="1:8" ht="24" customHeight="1" x14ac:dyDescent="0.2">
      <c r="A113" s="85">
        <v>17</v>
      </c>
      <c r="B113" s="75" t="s">
        <v>88</v>
      </c>
      <c r="C113" s="218">
        <v>2149000</v>
      </c>
      <c r="D113" s="76">
        <v>1954000</v>
      </c>
      <c r="E113" s="76">
        <v>1818000</v>
      </c>
    </row>
    <row r="114" spans="1:8" ht="24" customHeight="1" x14ac:dyDescent="0.2">
      <c r="A114" s="85">
        <v>18</v>
      </c>
      <c r="B114" s="75" t="s">
        <v>374</v>
      </c>
      <c r="C114" s="218">
        <v>22796000</v>
      </c>
      <c r="D114" s="76">
        <v>24642000</v>
      </c>
      <c r="E114" s="76">
        <v>26699000</v>
      </c>
    </row>
    <row r="115" spans="1:8" ht="24" customHeight="1" x14ac:dyDescent="0.2">
      <c r="A115" s="85">
        <v>19</v>
      </c>
      <c r="B115" s="75" t="s">
        <v>104</v>
      </c>
      <c r="C115" s="218">
        <v>458802</v>
      </c>
      <c r="D115" s="76">
        <v>458802</v>
      </c>
      <c r="E115" s="76">
        <v>838147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9.5691788032988239</v>
      </c>
      <c r="D119" s="214">
        <f>IF(+D121=0,0,(+D120)/(+D121))</f>
        <v>9.6378134891648397</v>
      </c>
      <c r="E119" s="214">
        <f>IF(+E121=0,0,(+E120)/(+E121))</f>
        <v>9.6740327353084385</v>
      </c>
    </row>
    <row r="120" spans="1:8" ht="24" customHeight="1" x14ac:dyDescent="0.2">
      <c r="A120" s="85">
        <v>21</v>
      </c>
      <c r="B120" s="75" t="s">
        <v>378</v>
      </c>
      <c r="C120" s="218">
        <v>218139000</v>
      </c>
      <c r="D120" s="218">
        <v>237495000</v>
      </c>
      <c r="E120" s="218">
        <v>258287000</v>
      </c>
    </row>
    <row r="121" spans="1:8" ht="24" customHeight="1" x14ac:dyDescent="0.2">
      <c r="A121" s="85">
        <v>22</v>
      </c>
      <c r="B121" s="75" t="s">
        <v>374</v>
      </c>
      <c r="C121" s="218">
        <v>22796000</v>
      </c>
      <c r="D121" s="218">
        <v>24642000</v>
      </c>
      <c r="E121" s="218">
        <v>26699000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122878</v>
      </c>
      <c r="D124" s="218">
        <v>120574</v>
      </c>
      <c r="E124" s="218">
        <v>110756</v>
      </c>
    </row>
    <row r="125" spans="1:8" ht="24" customHeight="1" x14ac:dyDescent="0.2">
      <c r="A125" s="85">
        <v>2</v>
      </c>
      <c r="B125" s="75" t="s">
        <v>381</v>
      </c>
      <c r="C125" s="218">
        <v>21912</v>
      </c>
      <c r="D125" s="218">
        <v>20324</v>
      </c>
      <c r="E125" s="218">
        <v>18711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5.607794815626141</v>
      </c>
      <c r="D126" s="219">
        <f>IF(D125=0,0,D124/D125)</f>
        <v>5.9325920094469593</v>
      </c>
      <c r="E126" s="219">
        <f>IF(E125=0,0,E124/E125)</f>
        <v>5.9192988081876967</v>
      </c>
    </row>
    <row r="127" spans="1:8" ht="24" customHeight="1" x14ac:dyDescent="0.2">
      <c r="A127" s="85">
        <v>4</v>
      </c>
      <c r="B127" s="75" t="s">
        <v>383</v>
      </c>
      <c r="C127" s="218">
        <v>456</v>
      </c>
      <c r="D127" s="218">
        <v>424</v>
      </c>
      <c r="E127" s="218">
        <v>424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446</v>
      </c>
      <c r="E128" s="218">
        <v>446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456</v>
      </c>
      <c r="D129" s="218">
        <v>520</v>
      </c>
      <c r="E129" s="218">
        <v>520</v>
      </c>
    </row>
    <row r="130" spans="1:7" ht="24" customHeight="1" x14ac:dyDescent="0.2">
      <c r="A130" s="85">
        <v>7</v>
      </c>
      <c r="B130" s="75" t="s">
        <v>386</v>
      </c>
      <c r="C130" s="193">
        <v>0.73819999999999997</v>
      </c>
      <c r="D130" s="193">
        <v>0.77910000000000001</v>
      </c>
      <c r="E130" s="193">
        <v>0.71560000000000001</v>
      </c>
    </row>
    <row r="131" spans="1:7" ht="24" customHeight="1" x14ac:dyDescent="0.2">
      <c r="A131" s="85">
        <v>8</v>
      </c>
      <c r="B131" s="75" t="s">
        <v>387</v>
      </c>
      <c r="C131" s="193">
        <v>0.73819999999999997</v>
      </c>
      <c r="D131" s="193">
        <v>0.74060000000000004</v>
      </c>
      <c r="E131" s="193">
        <v>0.68030000000000002</v>
      </c>
    </row>
    <row r="132" spans="1:7" ht="24" customHeight="1" x14ac:dyDescent="0.2">
      <c r="A132" s="85">
        <v>9</v>
      </c>
      <c r="B132" s="75" t="s">
        <v>388</v>
      </c>
      <c r="C132" s="219">
        <v>2078.1999999999998</v>
      </c>
      <c r="D132" s="219">
        <v>2263.1999999999998</v>
      </c>
      <c r="E132" s="219">
        <v>2281.8000000000002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0.28534783845056583</v>
      </c>
      <c r="D135" s="227">
        <f>IF(D149=0,0,D143/D149)</f>
        <v>0.26555410670382779</v>
      </c>
      <c r="E135" s="227">
        <f>IF(E149=0,0,E143/E149)</f>
        <v>0.27418524893927948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0.4690819893193674</v>
      </c>
      <c r="D136" s="227">
        <f>IF(D149=0,0,D144/D149)</f>
        <v>0.48212185606703839</v>
      </c>
      <c r="E136" s="227">
        <f>IF(E149=0,0,E144/E149)</f>
        <v>0.47818170103831314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0.19449194175752504</v>
      </c>
      <c r="D137" s="227">
        <f>IF(D149=0,0,D145/D149)</f>
        <v>0.20245640229961109</v>
      </c>
      <c r="E137" s="227">
        <f>IF(E149=0,0,E145/E149)</f>
        <v>0.2040079308160479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1.544115481991564E-3</v>
      </c>
      <c r="D138" s="227">
        <f>IF(D149=0,0,D146/D149)</f>
        <v>1.7101650044545104E-3</v>
      </c>
      <c r="E138" s="227">
        <f>IF(E149=0,0,E146/E149)</f>
        <v>9.1776862627992116E-4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4.8690417752312393E-2</v>
      </c>
      <c r="D139" s="227">
        <f>IF(D149=0,0,D147/D149)</f>
        <v>4.7292068273307702E-2</v>
      </c>
      <c r="E139" s="227">
        <f>IF(E149=0,0,E147/E149)</f>
        <v>4.2039430023422655E-2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8.4369723823775865E-4</v>
      </c>
      <c r="D140" s="227">
        <f>IF(D149=0,0,D148/D149)</f>
        <v>8.6540165176050463E-4</v>
      </c>
      <c r="E140" s="227">
        <f>IF(E149=0,0,E148/E149)</f>
        <v>6.6792055665686222E-4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318501247</v>
      </c>
      <c r="D143" s="229">
        <f>+D46-D147</f>
        <v>316722532</v>
      </c>
      <c r="E143" s="229">
        <f>+E46-E147</f>
        <v>328772437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523582724</v>
      </c>
      <c r="D144" s="229">
        <f>+D51</f>
        <v>575019746</v>
      </c>
      <c r="E144" s="229">
        <f>+E51</f>
        <v>573382280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217089172</v>
      </c>
      <c r="D145" s="229">
        <f>+D55</f>
        <v>241466815</v>
      </c>
      <c r="E145" s="229">
        <f>+E55</f>
        <v>244623607</v>
      </c>
    </row>
    <row r="146" spans="1:7" ht="20.100000000000001" customHeight="1" x14ac:dyDescent="0.2">
      <c r="A146" s="226">
        <v>11</v>
      </c>
      <c r="B146" s="224" t="s">
        <v>400</v>
      </c>
      <c r="C146" s="228">
        <v>1723520</v>
      </c>
      <c r="D146" s="229">
        <v>2039689</v>
      </c>
      <c r="E146" s="229">
        <v>1100486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54347560</v>
      </c>
      <c r="D147" s="229">
        <f>+D47</f>
        <v>56404564</v>
      </c>
      <c r="E147" s="229">
        <f>+E47</f>
        <v>50409006</v>
      </c>
    </row>
    <row r="148" spans="1:7" ht="20.100000000000001" customHeight="1" x14ac:dyDescent="0.2">
      <c r="A148" s="226">
        <v>13</v>
      </c>
      <c r="B148" s="224" t="s">
        <v>402</v>
      </c>
      <c r="C148" s="230">
        <v>941723</v>
      </c>
      <c r="D148" s="229">
        <v>1032152</v>
      </c>
      <c r="E148" s="229">
        <v>800896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1116185946</v>
      </c>
      <c r="D149" s="229">
        <f>SUM(D143:D148)</f>
        <v>1192685498</v>
      </c>
      <c r="E149" s="229">
        <f>SUM(E143:E148)</f>
        <v>1199088712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0.4486823048066127</v>
      </c>
      <c r="D152" s="227">
        <f>IF(D166=0,0,D160/D166)</f>
        <v>0.45328247524865367</v>
      </c>
      <c r="E152" s="227">
        <f>IF(E166=0,0,E160/E166)</f>
        <v>0.45044087747029438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0.41456038068306089</v>
      </c>
      <c r="D153" s="227">
        <f>IF(D166=0,0,D161/D166)</f>
        <v>0.39664850599079199</v>
      </c>
      <c r="E153" s="227">
        <f>IF(E166=0,0,E161/E166)</f>
        <v>0.38872229960043253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0.12811497842724623</v>
      </c>
      <c r="D154" s="227">
        <f>IF(D166=0,0,D162/D166)</f>
        <v>0.13940467240083473</v>
      </c>
      <c r="E154" s="227">
        <f>IF(E166=0,0,E162/E166)</f>
        <v>0.14976745213683529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1.4778702570921072E-3</v>
      </c>
      <c r="D155" s="227">
        <f>IF(D166=0,0,D163/D166)</f>
        <v>1.7309139754401487E-3</v>
      </c>
      <c r="E155" s="227">
        <f>IF(E166=0,0,E163/E166)</f>
        <v>4.1626864525318906E-4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6.2849702510465108E-3</v>
      </c>
      <c r="D156" s="227">
        <f>IF(D166=0,0,D164/D166)</f>
        <v>8.5565469918130709E-3</v>
      </c>
      <c r="E156" s="227">
        <f>IF(E166=0,0,E164/E166)</f>
        <v>1.0038953476750007E-2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8.7949557494156766E-4</v>
      </c>
      <c r="D157" s="227">
        <f>IF(D166=0,0,D165/D166)</f>
        <v>3.7688539246640029E-4</v>
      </c>
      <c r="E157" s="227">
        <f>IF(E166=0,0,E165/E166)</f>
        <v>6.1414867043461702E-4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0.99999999999999989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175410411</v>
      </c>
      <c r="D160" s="229">
        <f>+D44-D164</f>
        <v>183624403</v>
      </c>
      <c r="E160" s="229">
        <f>+E44-E164</f>
        <v>181528470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162070592</v>
      </c>
      <c r="D161" s="229">
        <f>+D50</f>
        <v>160682023</v>
      </c>
      <c r="E161" s="229">
        <f>+E50</f>
        <v>156655774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50085998</v>
      </c>
      <c r="D162" s="229">
        <f>+D54</f>
        <v>56472732</v>
      </c>
      <c r="E162" s="229">
        <f>+E54</f>
        <v>60356548</v>
      </c>
    </row>
    <row r="163" spans="1:6" ht="20.100000000000001" customHeight="1" x14ac:dyDescent="0.2">
      <c r="A163" s="226">
        <v>11</v>
      </c>
      <c r="B163" s="224" t="s">
        <v>415</v>
      </c>
      <c r="C163" s="228">
        <v>577767</v>
      </c>
      <c r="D163" s="229">
        <v>701192</v>
      </c>
      <c r="E163" s="229">
        <v>167757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2457082</v>
      </c>
      <c r="D164" s="229">
        <f>+D45</f>
        <v>3466251</v>
      </c>
      <c r="E164" s="229">
        <f>+E45</f>
        <v>4045716</v>
      </c>
    </row>
    <row r="165" spans="1:6" ht="20.100000000000001" customHeight="1" x14ac:dyDescent="0.2">
      <c r="A165" s="226">
        <v>13</v>
      </c>
      <c r="B165" s="224" t="s">
        <v>417</v>
      </c>
      <c r="C165" s="230">
        <v>343835</v>
      </c>
      <c r="D165" s="229">
        <v>152676</v>
      </c>
      <c r="E165" s="229">
        <v>247503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390945685</v>
      </c>
      <c r="D166" s="229">
        <f>SUM(D160:D165)</f>
        <v>405099277</v>
      </c>
      <c r="E166" s="229">
        <f>SUM(E160:E165)</f>
        <v>403001768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6919</v>
      </c>
      <c r="D169" s="218">
        <v>6023</v>
      </c>
      <c r="E169" s="218">
        <v>5420</v>
      </c>
    </row>
    <row r="170" spans="1:6" ht="20.100000000000001" customHeight="1" x14ac:dyDescent="0.2">
      <c r="A170" s="226">
        <v>2</v>
      </c>
      <c r="B170" s="224" t="s">
        <v>420</v>
      </c>
      <c r="C170" s="218">
        <v>10153</v>
      </c>
      <c r="D170" s="218">
        <v>9550</v>
      </c>
      <c r="E170" s="218">
        <v>8674</v>
      </c>
    </row>
    <row r="171" spans="1:6" ht="20.100000000000001" customHeight="1" x14ac:dyDescent="0.2">
      <c r="A171" s="226">
        <v>3</v>
      </c>
      <c r="B171" s="224" t="s">
        <v>421</v>
      </c>
      <c r="C171" s="218">
        <v>4811</v>
      </c>
      <c r="D171" s="218">
        <v>4721</v>
      </c>
      <c r="E171" s="218">
        <v>4589</v>
      </c>
    </row>
    <row r="172" spans="1:6" ht="20.100000000000001" customHeight="1" x14ac:dyDescent="0.2">
      <c r="A172" s="226">
        <v>4</v>
      </c>
      <c r="B172" s="224" t="s">
        <v>422</v>
      </c>
      <c r="C172" s="218">
        <v>4773</v>
      </c>
      <c r="D172" s="218">
        <v>4685</v>
      </c>
      <c r="E172" s="218">
        <v>4548</v>
      </c>
    </row>
    <row r="173" spans="1:6" ht="20.100000000000001" customHeight="1" x14ac:dyDescent="0.2">
      <c r="A173" s="226">
        <v>5</v>
      </c>
      <c r="B173" s="224" t="s">
        <v>423</v>
      </c>
      <c r="C173" s="218">
        <v>38</v>
      </c>
      <c r="D173" s="218">
        <v>36</v>
      </c>
      <c r="E173" s="218">
        <v>41</v>
      </c>
    </row>
    <row r="174" spans="1:6" ht="20.100000000000001" customHeight="1" x14ac:dyDescent="0.2">
      <c r="A174" s="226">
        <v>6</v>
      </c>
      <c r="B174" s="224" t="s">
        <v>424</v>
      </c>
      <c r="C174" s="218">
        <v>29</v>
      </c>
      <c r="D174" s="218">
        <v>30</v>
      </c>
      <c r="E174" s="218">
        <v>28</v>
      </c>
    </row>
    <row r="175" spans="1:6" ht="20.100000000000001" customHeight="1" x14ac:dyDescent="0.2">
      <c r="A175" s="226">
        <v>7</v>
      </c>
      <c r="B175" s="224" t="s">
        <v>425</v>
      </c>
      <c r="C175" s="218">
        <v>950</v>
      </c>
      <c r="D175" s="218">
        <v>793</v>
      </c>
      <c r="E175" s="218">
        <v>584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21912</v>
      </c>
      <c r="D176" s="218">
        <f>+D169+D170+D171+D174</f>
        <v>20324</v>
      </c>
      <c r="E176" s="218">
        <f>+E169+E170+E171+E174</f>
        <v>18711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1.2403</v>
      </c>
      <c r="D179" s="231">
        <v>1.2766</v>
      </c>
      <c r="E179" s="231">
        <v>1.3435999999999999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1.4584999999999999</v>
      </c>
      <c r="D180" s="231">
        <v>1.5337000000000001</v>
      </c>
      <c r="E180" s="231">
        <v>1.5561</v>
      </c>
    </row>
    <row r="181" spans="1:6" ht="20.100000000000001" customHeight="1" x14ac:dyDescent="0.2">
      <c r="A181" s="226">
        <v>3</v>
      </c>
      <c r="B181" s="224" t="s">
        <v>421</v>
      </c>
      <c r="C181" s="231">
        <v>1.050721</v>
      </c>
      <c r="D181" s="231">
        <v>1.039231</v>
      </c>
      <c r="E181" s="231">
        <v>1.076314</v>
      </c>
    </row>
    <row r="182" spans="1:6" ht="20.100000000000001" customHeight="1" x14ac:dyDescent="0.2">
      <c r="A182" s="226">
        <v>4</v>
      </c>
      <c r="B182" s="224" t="s">
        <v>422</v>
      </c>
      <c r="C182" s="231">
        <v>1.0509999999999999</v>
      </c>
      <c r="D182" s="231">
        <v>1.04</v>
      </c>
      <c r="E182" s="231">
        <v>1.0742</v>
      </c>
    </row>
    <row r="183" spans="1:6" ht="20.100000000000001" customHeight="1" x14ac:dyDescent="0.2">
      <c r="A183" s="226">
        <v>5</v>
      </c>
      <c r="B183" s="224" t="s">
        <v>423</v>
      </c>
      <c r="C183" s="231">
        <v>1.0158</v>
      </c>
      <c r="D183" s="231">
        <v>0.93920000000000003</v>
      </c>
      <c r="E183" s="231">
        <v>1.3109</v>
      </c>
    </row>
    <row r="184" spans="1:6" ht="20.100000000000001" customHeight="1" x14ac:dyDescent="0.2">
      <c r="A184" s="226">
        <v>6</v>
      </c>
      <c r="B184" s="224" t="s">
        <v>424</v>
      </c>
      <c r="C184" s="231">
        <v>0.74760000000000004</v>
      </c>
      <c r="D184" s="231">
        <v>0.99129999999999996</v>
      </c>
      <c r="E184" s="231">
        <v>0.84150000000000003</v>
      </c>
    </row>
    <row r="185" spans="1:6" ht="20.100000000000001" customHeight="1" x14ac:dyDescent="0.2">
      <c r="A185" s="226">
        <v>7</v>
      </c>
      <c r="B185" s="224" t="s">
        <v>425</v>
      </c>
      <c r="C185" s="231">
        <v>1.0567</v>
      </c>
      <c r="D185" s="231">
        <v>1.0913999999999999</v>
      </c>
      <c r="E185" s="231">
        <v>1.1977</v>
      </c>
    </row>
    <row r="186" spans="1:6" ht="20.100000000000001" customHeight="1" x14ac:dyDescent="0.2">
      <c r="A186" s="226">
        <v>8</v>
      </c>
      <c r="B186" s="224" t="s">
        <v>429</v>
      </c>
      <c r="C186" s="231">
        <v>1.2991269999999999</v>
      </c>
      <c r="D186" s="231">
        <v>1.3418490000000001</v>
      </c>
      <c r="E186" s="231">
        <v>1.3758049999999999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15374</v>
      </c>
      <c r="D189" s="218">
        <v>14293</v>
      </c>
      <c r="E189" s="218">
        <v>13155</v>
      </c>
    </row>
    <row r="190" spans="1:6" ht="20.100000000000001" customHeight="1" x14ac:dyDescent="0.2">
      <c r="A190" s="226">
        <v>2</v>
      </c>
      <c r="B190" s="224" t="s">
        <v>433</v>
      </c>
      <c r="C190" s="218">
        <v>64398</v>
      </c>
      <c r="D190" s="218">
        <v>64264</v>
      </c>
      <c r="E190" s="218">
        <v>57689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79772</v>
      </c>
      <c r="D191" s="218">
        <f>+D190+D189</f>
        <v>78557</v>
      </c>
      <c r="E191" s="218">
        <f>+E190+E189</f>
        <v>70844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FILING&amp;RSAINT VINCENT`S MEDICAL CENTER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5128097</v>
      </c>
      <c r="D14" s="258">
        <v>2410637</v>
      </c>
      <c r="E14" s="258">
        <f t="shared" ref="E14:E24" si="0">D14-C14</f>
        <v>-2717460</v>
      </c>
      <c r="F14" s="259">
        <f t="shared" ref="F14:F24" si="1">IF(C14=0,0,E14/C14)</f>
        <v>-0.52991587327618805</v>
      </c>
    </row>
    <row r="15" spans="1:7" ht="20.25" customHeight="1" x14ac:dyDescent="0.3">
      <c r="A15" s="256">
        <v>2</v>
      </c>
      <c r="B15" s="257" t="s">
        <v>442</v>
      </c>
      <c r="C15" s="258">
        <v>1502374</v>
      </c>
      <c r="D15" s="258">
        <v>665365</v>
      </c>
      <c r="E15" s="258">
        <f t="shared" si="0"/>
        <v>-837009</v>
      </c>
      <c r="F15" s="259">
        <f t="shared" si="1"/>
        <v>-0.55712425800765986</v>
      </c>
    </row>
    <row r="16" spans="1:7" ht="20.25" customHeight="1" x14ac:dyDescent="0.3">
      <c r="A16" s="256">
        <v>3</v>
      </c>
      <c r="B16" s="257" t="s">
        <v>443</v>
      </c>
      <c r="C16" s="258">
        <v>1581624</v>
      </c>
      <c r="D16" s="258">
        <v>760978</v>
      </c>
      <c r="E16" s="258">
        <f t="shared" si="0"/>
        <v>-820646</v>
      </c>
      <c r="F16" s="259">
        <f t="shared" si="1"/>
        <v>-0.51886289029503851</v>
      </c>
    </row>
    <row r="17" spans="1:6" ht="20.25" customHeight="1" x14ac:dyDescent="0.3">
      <c r="A17" s="256">
        <v>4</v>
      </c>
      <c r="B17" s="257" t="s">
        <v>444</v>
      </c>
      <c r="C17" s="258">
        <v>844112</v>
      </c>
      <c r="D17" s="258">
        <v>239375</v>
      </c>
      <c r="E17" s="258">
        <f t="shared" si="0"/>
        <v>-604737</v>
      </c>
      <c r="F17" s="259">
        <f t="shared" si="1"/>
        <v>-0.71641796349299613</v>
      </c>
    </row>
    <row r="18" spans="1:6" ht="20.25" customHeight="1" x14ac:dyDescent="0.3">
      <c r="A18" s="256">
        <v>5</v>
      </c>
      <c r="B18" s="257" t="s">
        <v>381</v>
      </c>
      <c r="C18" s="260">
        <v>109</v>
      </c>
      <c r="D18" s="260">
        <v>57</v>
      </c>
      <c r="E18" s="260">
        <f t="shared" si="0"/>
        <v>-52</v>
      </c>
      <c r="F18" s="259">
        <f t="shared" si="1"/>
        <v>-0.47706422018348627</v>
      </c>
    </row>
    <row r="19" spans="1:6" ht="20.25" customHeight="1" x14ac:dyDescent="0.3">
      <c r="A19" s="256">
        <v>6</v>
      </c>
      <c r="B19" s="257" t="s">
        <v>380</v>
      </c>
      <c r="C19" s="260">
        <v>653</v>
      </c>
      <c r="D19" s="260">
        <v>331</v>
      </c>
      <c r="E19" s="260">
        <f t="shared" si="0"/>
        <v>-322</v>
      </c>
      <c r="F19" s="259">
        <f t="shared" si="1"/>
        <v>-0.49310872894333846</v>
      </c>
    </row>
    <row r="20" spans="1:6" ht="20.25" customHeight="1" x14ac:dyDescent="0.3">
      <c r="A20" s="256">
        <v>7</v>
      </c>
      <c r="B20" s="257" t="s">
        <v>445</v>
      </c>
      <c r="C20" s="260">
        <v>655</v>
      </c>
      <c r="D20" s="260">
        <v>474</v>
      </c>
      <c r="E20" s="260">
        <f t="shared" si="0"/>
        <v>-181</v>
      </c>
      <c r="F20" s="259">
        <f t="shared" si="1"/>
        <v>-0.27633587786259545</v>
      </c>
    </row>
    <row r="21" spans="1:6" ht="20.25" customHeight="1" x14ac:dyDescent="0.3">
      <c r="A21" s="256">
        <v>8</v>
      </c>
      <c r="B21" s="257" t="s">
        <v>446</v>
      </c>
      <c r="C21" s="260">
        <v>100</v>
      </c>
      <c r="D21" s="260">
        <v>59</v>
      </c>
      <c r="E21" s="260">
        <f t="shared" si="0"/>
        <v>-41</v>
      </c>
      <c r="F21" s="259">
        <f t="shared" si="1"/>
        <v>-0.41</v>
      </c>
    </row>
    <row r="22" spans="1:6" ht="20.25" customHeight="1" x14ac:dyDescent="0.3">
      <c r="A22" s="256">
        <v>9</v>
      </c>
      <c r="B22" s="257" t="s">
        <v>447</v>
      </c>
      <c r="C22" s="260">
        <v>77</v>
      </c>
      <c r="D22" s="260">
        <v>42</v>
      </c>
      <c r="E22" s="260">
        <f t="shared" si="0"/>
        <v>-35</v>
      </c>
      <c r="F22" s="259">
        <f t="shared" si="1"/>
        <v>-0.45454545454545453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6709721</v>
      </c>
      <c r="D23" s="263">
        <f>+D14+D16</f>
        <v>3171615</v>
      </c>
      <c r="E23" s="263">
        <f t="shared" si="0"/>
        <v>-3538106</v>
      </c>
      <c r="F23" s="264">
        <f t="shared" si="1"/>
        <v>-0.52731045001722132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2346486</v>
      </c>
      <c r="D24" s="263">
        <f>+D15+D17</f>
        <v>904740</v>
      </c>
      <c r="E24" s="263">
        <f t="shared" si="0"/>
        <v>-1441746</v>
      </c>
      <c r="F24" s="264">
        <f t="shared" si="1"/>
        <v>-0.61442770167816896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19144184</v>
      </c>
      <c r="D40" s="258">
        <v>24855573</v>
      </c>
      <c r="E40" s="258">
        <f t="shared" ref="E40:E50" si="4">D40-C40</f>
        <v>5711389</v>
      </c>
      <c r="F40" s="259">
        <f t="shared" ref="F40:F50" si="5">IF(C40=0,0,E40/C40)</f>
        <v>0.29833546313595816</v>
      </c>
    </row>
    <row r="41" spans="1:6" ht="20.25" customHeight="1" x14ac:dyDescent="0.3">
      <c r="A41" s="256">
        <v>2</v>
      </c>
      <c r="B41" s="257" t="s">
        <v>442</v>
      </c>
      <c r="C41" s="258">
        <v>6014372</v>
      </c>
      <c r="D41" s="258">
        <v>6307397</v>
      </c>
      <c r="E41" s="258">
        <f t="shared" si="4"/>
        <v>293025</v>
      </c>
      <c r="F41" s="259">
        <f t="shared" si="5"/>
        <v>4.8720797449841813E-2</v>
      </c>
    </row>
    <row r="42" spans="1:6" ht="20.25" customHeight="1" x14ac:dyDescent="0.3">
      <c r="A42" s="256">
        <v>3</v>
      </c>
      <c r="B42" s="257" t="s">
        <v>443</v>
      </c>
      <c r="C42" s="258">
        <v>7402606</v>
      </c>
      <c r="D42" s="258">
        <v>10436568</v>
      </c>
      <c r="E42" s="258">
        <f t="shared" si="4"/>
        <v>3033962</v>
      </c>
      <c r="F42" s="259">
        <f t="shared" si="5"/>
        <v>0.40985053101569907</v>
      </c>
    </row>
    <row r="43" spans="1:6" ht="20.25" customHeight="1" x14ac:dyDescent="0.3">
      <c r="A43" s="256">
        <v>4</v>
      </c>
      <c r="B43" s="257" t="s">
        <v>444</v>
      </c>
      <c r="C43" s="258">
        <v>1593551</v>
      </c>
      <c r="D43" s="258">
        <v>2228713</v>
      </c>
      <c r="E43" s="258">
        <f t="shared" si="4"/>
        <v>635162</v>
      </c>
      <c r="F43" s="259">
        <f t="shared" si="5"/>
        <v>0.39858278774887029</v>
      </c>
    </row>
    <row r="44" spans="1:6" ht="20.25" customHeight="1" x14ac:dyDescent="0.3">
      <c r="A44" s="256">
        <v>5</v>
      </c>
      <c r="B44" s="257" t="s">
        <v>381</v>
      </c>
      <c r="C44" s="260">
        <v>403</v>
      </c>
      <c r="D44" s="260">
        <v>517</v>
      </c>
      <c r="E44" s="260">
        <f t="shared" si="4"/>
        <v>114</v>
      </c>
      <c r="F44" s="259">
        <f t="shared" si="5"/>
        <v>0.28287841191066998</v>
      </c>
    </row>
    <row r="45" spans="1:6" ht="20.25" customHeight="1" x14ac:dyDescent="0.3">
      <c r="A45" s="256">
        <v>6</v>
      </c>
      <c r="B45" s="257" t="s">
        <v>380</v>
      </c>
      <c r="C45" s="260">
        <v>2425</v>
      </c>
      <c r="D45" s="260">
        <v>3040</v>
      </c>
      <c r="E45" s="260">
        <f t="shared" si="4"/>
        <v>615</v>
      </c>
      <c r="F45" s="259">
        <f t="shared" si="5"/>
        <v>0.2536082474226804</v>
      </c>
    </row>
    <row r="46" spans="1:6" ht="20.25" customHeight="1" x14ac:dyDescent="0.3">
      <c r="A46" s="256">
        <v>7</v>
      </c>
      <c r="B46" s="257" t="s">
        <v>445</v>
      </c>
      <c r="C46" s="260">
        <v>2698</v>
      </c>
      <c r="D46" s="260">
        <v>3757</v>
      </c>
      <c r="E46" s="260">
        <f t="shared" si="4"/>
        <v>1059</v>
      </c>
      <c r="F46" s="259">
        <f t="shared" si="5"/>
        <v>0.39251297257227574</v>
      </c>
    </row>
    <row r="47" spans="1:6" ht="20.25" customHeight="1" x14ac:dyDescent="0.3">
      <c r="A47" s="256">
        <v>8</v>
      </c>
      <c r="B47" s="257" t="s">
        <v>446</v>
      </c>
      <c r="C47" s="260">
        <v>421</v>
      </c>
      <c r="D47" s="260">
        <v>502</v>
      </c>
      <c r="E47" s="260">
        <f t="shared" si="4"/>
        <v>81</v>
      </c>
      <c r="F47" s="259">
        <f t="shared" si="5"/>
        <v>0.19239904988123516</v>
      </c>
    </row>
    <row r="48" spans="1:6" ht="20.25" customHeight="1" x14ac:dyDescent="0.3">
      <c r="A48" s="256">
        <v>9</v>
      </c>
      <c r="B48" s="257" t="s">
        <v>447</v>
      </c>
      <c r="C48" s="260">
        <v>298</v>
      </c>
      <c r="D48" s="260">
        <v>407</v>
      </c>
      <c r="E48" s="260">
        <f t="shared" si="4"/>
        <v>109</v>
      </c>
      <c r="F48" s="259">
        <f t="shared" si="5"/>
        <v>0.36577181208053694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26546790</v>
      </c>
      <c r="D49" s="263">
        <f>+D40+D42</f>
        <v>35292141</v>
      </c>
      <c r="E49" s="263">
        <f t="shared" si="4"/>
        <v>8745351</v>
      </c>
      <c r="F49" s="264">
        <f t="shared" si="5"/>
        <v>0.32943158099340825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7607923</v>
      </c>
      <c r="D50" s="263">
        <f>+D41+D43</f>
        <v>8536110</v>
      </c>
      <c r="E50" s="263">
        <f t="shared" si="4"/>
        <v>928187</v>
      </c>
      <c r="F50" s="264">
        <f t="shared" si="5"/>
        <v>0.12200268062649951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0</v>
      </c>
      <c r="D66" s="258">
        <v>62450</v>
      </c>
      <c r="E66" s="258">
        <f t="shared" ref="E66:E76" si="8">D66-C66</f>
        <v>62450</v>
      </c>
      <c r="F66" s="259">
        <f t="shared" ref="F66:F76" si="9">IF(C66=0,0,E66/C66)</f>
        <v>0</v>
      </c>
    </row>
    <row r="67" spans="1:6" ht="20.25" customHeight="1" x14ac:dyDescent="0.3">
      <c r="A67" s="256">
        <v>2</v>
      </c>
      <c r="B67" s="257" t="s">
        <v>442</v>
      </c>
      <c r="C67" s="258">
        <v>0</v>
      </c>
      <c r="D67" s="258">
        <v>24962</v>
      </c>
      <c r="E67" s="258">
        <f t="shared" si="8"/>
        <v>24962</v>
      </c>
      <c r="F67" s="259">
        <f t="shared" si="9"/>
        <v>0</v>
      </c>
    </row>
    <row r="68" spans="1:6" ht="20.25" customHeight="1" x14ac:dyDescent="0.3">
      <c r="A68" s="256">
        <v>3</v>
      </c>
      <c r="B68" s="257" t="s">
        <v>443</v>
      </c>
      <c r="C68" s="258">
        <v>25998</v>
      </c>
      <c r="D68" s="258">
        <v>155619</v>
      </c>
      <c r="E68" s="258">
        <f t="shared" si="8"/>
        <v>129621</v>
      </c>
      <c r="F68" s="259">
        <f t="shared" si="9"/>
        <v>4.9858066005077317</v>
      </c>
    </row>
    <row r="69" spans="1:6" ht="20.25" customHeight="1" x14ac:dyDescent="0.3">
      <c r="A69" s="256">
        <v>4</v>
      </c>
      <c r="B69" s="257" t="s">
        <v>444</v>
      </c>
      <c r="C69" s="258">
        <v>16367</v>
      </c>
      <c r="D69" s="258">
        <v>30540</v>
      </c>
      <c r="E69" s="258">
        <f t="shared" si="8"/>
        <v>14173</v>
      </c>
      <c r="F69" s="259">
        <f t="shared" si="9"/>
        <v>0.8659497769902853</v>
      </c>
    </row>
    <row r="70" spans="1:6" ht="20.25" customHeight="1" x14ac:dyDescent="0.3">
      <c r="A70" s="256">
        <v>5</v>
      </c>
      <c r="B70" s="257" t="s">
        <v>381</v>
      </c>
      <c r="C70" s="260">
        <v>0</v>
      </c>
      <c r="D70" s="260">
        <v>10</v>
      </c>
      <c r="E70" s="260">
        <f t="shared" si="8"/>
        <v>10</v>
      </c>
      <c r="F70" s="259">
        <f t="shared" si="9"/>
        <v>0</v>
      </c>
    </row>
    <row r="71" spans="1:6" ht="20.25" customHeight="1" x14ac:dyDescent="0.3">
      <c r="A71" s="256">
        <v>6</v>
      </c>
      <c r="B71" s="257" t="s">
        <v>380</v>
      </c>
      <c r="C71" s="260">
        <v>0</v>
      </c>
      <c r="D71" s="260">
        <v>52</v>
      </c>
      <c r="E71" s="260">
        <f t="shared" si="8"/>
        <v>52</v>
      </c>
      <c r="F71" s="259">
        <f t="shared" si="9"/>
        <v>0</v>
      </c>
    </row>
    <row r="72" spans="1:6" ht="20.25" customHeight="1" x14ac:dyDescent="0.3">
      <c r="A72" s="256">
        <v>7</v>
      </c>
      <c r="B72" s="257" t="s">
        <v>445</v>
      </c>
      <c r="C72" s="260">
        <v>19</v>
      </c>
      <c r="D72" s="260">
        <v>498</v>
      </c>
      <c r="E72" s="260">
        <f t="shared" si="8"/>
        <v>479</v>
      </c>
      <c r="F72" s="259">
        <f t="shared" si="9"/>
        <v>25.210526315789473</v>
      </c>
    </row>
    <row r="73" spans="1:6" ht="20.25" customHeight="1" x14ac:dyDescent="0.3">
      <c r="A73" s="256">
        <v>8</v>
      </c>
      <c r="B73" s="257" t="s">
        <v>446</v>
      </c>
      <c r="C73" s="260">
        <v>0</v>
      </c>
      <c r="D73" s="260">
        <v>51</v>
      </c>
      <c r="E73" s="260">
        <f t="shared" si="8"/>
        <v>51</v>
      </c>
      <c r="F73" s="259">
        <f t="shared" si="9"/>
        <v>0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40</v>
      </c>
      <c r="E74" s="260">
        <f t="shared" si="8"/>
        <v>40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25998</v>
      </c>
      <c r="D75" s="263">
        <f>+D66+D68</f>
        <v>218069</v>
      </c>
      <c r="E75" s="263">
        <f t="shared" si="8"/>
        <v>192071</v>
      </c>
      <c r="F75" s="264">
        <f t="shared" si="9"/>
        <v>7.3879144549580733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16367</v>
      </c>
      <c r="D76" s="263">
        <f>+D67+D69</f>
        <v>55502</v>
      </c>
      <c r="E76" s="263">
        <f t="shared" si="8"/>
        <v>39135</v>
      </c>
      <c r="F76" s="264">
        <f t="shared" si="9"/>
        <v>2.3910918311236022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196735</v>
      </c>
      <c r="E79" s="258">
        <f t="shared" ref="E79:E89" si="10">D79-C79</f>
        <v>196735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27892</v>
      </c>
      <c r="E80" s="258">
        <f t="shared" si="10"/>
        <v>27892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60716</v>
      </c>
      <c r="D81" s="258">
        <v>124920</v>
      </c>
      <c r="E81" s="258">
        <f t="shared" si="10"/>
        <v>64204</v>
      </c>
      <c r="F81" s="259">
        <f t="shared" si="11"/>
        <v>1.057447789709467</v>
      </c>
    </row>
    <row r="82" spans="1:6" ht="20.25" customHeight="1" x14ac:dyDescent="0.3">
      <c r="A82" s="256">
        <v>4</v>
      </c>
      <c r="B82" s="257" t="s">
        <v>444</v>
      </c>
      <c r="C82" s="258">
        <v>9172</v>
      </c>
      <c r="D82" s="258">
        <v>5665</v>
      </c>
      <c r="E82" s="258">
        <f t="shared" si="10"/>
        <v>-3507</v>
      </c>
      <c r="F82" s="259">
        <f t="shared" si="11"/>
        <v>-0.38235935455734843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2</v>
      </c>
      <c r="E83" s="260">
        <f t="shared" si="10"/>
        <v>2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20</v>
      </c>
      <c r="E84" s="260">
        <f t="shared" si="10"/>
        <v>20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52</v>
      </c>
      <c r="D85" s="260">
        <v>30</v>
      </c>
      <c r="E85" s="260">
        <f t="shared" si="10"/>
        <v>-22</v>
      </c>
      <c r="F85" s="259">
        <f t="shared" si="11"/>
        <v>-0.42307692307692307</v>
      </c>
    </row>
    <row r="86" spans="1:6" ht="20.25" customHeight="1" x14ac:dyDescent="0.3">
      <c r="A86" s="256">
        <v>8</v>
      </c>
      <c r="B86" s="257" t="s">
        <v>446</v>
      </c>
      <c r="C86" s="260">
        <v>6</v>
      </c>
      <c r="D86" s="260">
        <v>2</v>
      </c>
      <c r="E86" s="260">
        <f t="shared" si="10"/>
        <v>-4</v>
      </c>
      <c r="F86" s="259">
        <f t="shared" si="11"/>
        <v>-0.66666666666666663</v>
      </c>
    </row>
    <row r="87" spans="1:6" ht="20.25" customHeight="1" x14ac:dyDescent="0.3">
      <c r="A87" s="256">
        <v>9</v>
      </c>
      <c r="B87" s="257" t="s">
        <v>447</v>
      </c>
      <c r="C87" s="260">
        <v>1</v>
      </c>
      <c r="D87" s="260">
        <v>1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60716</v>
      </c>
      <c r="D88" s="263">
        <f>+D79+D81</f>
        <v>321655</v>
      </c>
      <c r="E88" s="263">
        <f t="shared" si="10"/>
        <v>260939</v>
      </c>
      <c r="F88" s="264">
        <f t="shared" si="11"/>
        <v>4.2976974767771265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9172</v>
      </c>
      <c r="D89" s="263">
        <f>+D80+D82</f>
        <v>33557</v>
      </c>
      <c r="E89" s="263">
        <f t="shared" si="10"/>
        <v>24385</v>
      </c>
      <c r="F89" s="264">
        <f t="shared" si="11"/>
        <v>2.6586349760139556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76546496</v>
      </c>
      <c r="D92" s="258">
        <v>64718750</v>
      </c>
      <c r="E92" s="258">
        <f t="shared" ref="E92:E102" si="12">D92-C92</f>
        <v>-11827746</v>
      </c>
      <c r="F92" s="259">
        <f t="shared" ref="F92:F102" si="13">IF(C92=0,0,E92/C92)</f>
        <v>-0.15451714471685288</v>
      </c>
    </row>
    <row r="93" spans="1:6" ht="20.25" customHeight="1" x14ac:dyDescent="0.3">
      <c r="A93" s="256">
        <v>2</v>
      </c>
      <c r="B93" s="257" t="s">
        <v>442</v>
      </c>
      <c r="C93" s="258">
        <v>22615190</v>
      </c>
      <c r="D93" s="258">
        <v>17015034</v>
      </c>
      <c r="E93" s="258">
        <f t="shared" si="12"/>
        <v>-5600156</v>
      </c>
      <c r="F93" s="259">
        <f t="shared" si="13"/>
        <v>-0.24762807652732521</v>
      </c>
    </row>
    <row r="94" spans="1:6" ht="20.25" customHeight="1" x14ac:dyDescent="0.3">
      <c r="A94" s="256">
        <v>3</v>
      </c>
      <c r="B94" s="257" t="s">
        <v>443</v>
      </c>
      <c r="C94" s="258">
        <v>23417744</v>
      </c>
      <c r="D94" s="258">
        <v>19166550</v>
      </c>
      <c r="E94" s="258">
        <f t="shared" si="12"/>
        <v>-4251194</v>
      </c>
      <c r="F94" s="259">
        <f t="shared" si="13"/>
        <v>-0.18153729923770626</v>
      </c>
    </row>
    <row r="95" spans="1:6" ht="20.25" customHeight="1" x14ac:dyDescent="0.3">
      <c r="A95" s="256">
        <v>4</v>
      </c>
      <c r="B95" s="257" t="s">
        <v>444</v>
      </c>
      <c r="C95" s="258">
        <v>5864409</v>
      </c>
      <c r="D95" s="258">
        <v>4114468</v>
      </c>
      <c r="E95" s="258">
        <f t="shared" si="12"/>
        <v>-1749941</v>
      </c>
      <c r="F95" s="259">
        <f t="shared" si="13"/>
        <v>-0.29840023095251372</v>
      </c>
    </row>
    <row r="96" spans="1:6" ht="20.25" customHeight="1" x14ac:dyDescent="0.3">
      <c r="A96" s="256">
        <v>5</v>
      </c>
      <c r="B96" s="257" t="s">
        <v>381</v>
      </c>
      <c r="C96" s="260">
        <v>1746</v>
      </c>
      <c r="D96" s="260">
        <v>1321</v>
      </c>
      <c r="E96" s="260">
        <f t="shared" si="12"/>
        <v>-425</v>
      </c>
      <c r="F96" s="259">
        <f t="shared" si="13"/>
        <v>-0.24341351660939289</v>
      </c>
    </row>
    <row r="97" spans="1:6" ht="20.25" customHeight="1" x14ac:dyDescent="0.3">
      <c r="A97" s="256">
        <v>6</v>
      </c>
      <c r="B97" s="257" t="s">
        <v>380</v>
      </c>
      <c r="C97" s="260">
        <v>10628</v>
      </c>
      <c r="D97" s="260">
        <v>8453</v>
      </c>
      <c r="E97" s="260">
        <f t="shared" si="12"/>
        <v>-2175</v>
      </c>
      <c r="F97" s="259">
        <f t="shared" si="13"/>
        <v>-0.20464809936018066</v>
      </c>
    </row>
    <row r="98" spans="1:6" ht="20.25" customHeight="1" x14ac:dyDescent="0.3">
      <c r="A98" s="256">
        <v>7</v>
      </c>
      <c r="B98" s="257" t="s">
        <v>445</v>
      </c>
      <c r="C98" s="260">
        <v>7985</v>
      </c>
      <c r="D98" s="260">
        <v>5969</v>
      </c>
      <c r="E98" s="260">
        <f t="shared" si="12"/>
        <v>-2016</v>
      </c>
      <c r="F98" s="259">
        <f t="shared" si="13"/>
        <v>-0.25247338760175331</v>
      </c>
    </row>
    <row r="99" spans="1:6" ht="20.25" customHeight="1" x14ac:dyDescent="0.3">
      <c r="A99" s="256">
        <v>8</v>
      </c>
      <c r="B99" s="257" t="s">
        <v>446</v>
      </c>
      <c r="C99" s="260">
        <v>1710</v>
      </c>
      <c r="D99" s="260">
        <v>1457</v>
      </c>
      <c r="E99" s="260">
        <f t="shared" si="12"/>
        <v>-253</v>
      </c>
      <c r="F99" s="259">
        <f t="shared" si="13"/>
        <v>-0.147953216374269</v>
      </c>
    </row>
    <row r="100" spans="1:6" ht="20.25" customHeight="1" x14ac:dyDescent="0.3">
      <c r="A100" s="256">
        <v>9</v>
      </c>
      <c r="B100" s="257" t="s">
        <v>447</v>
      </c>
      <c r="C100" s="260">
        <v>1461</v>
      </c>
      <c r="D100" s="260">
        <v>1113</v>
      </c>
      <c r="E100" s="260">
        <f t="shared" si="12"/>
        <v>-348</v>
      </c>
      <c r="F100" s="259">
        <f t="shared" si="13"/>
        <v>-0.23819301848049282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99964240</v>
      </c>
      <c r="D101" s="263">
        <f>+D92+D94</f>
        <v>83885300</v>
      </c>
      <c r="E101" s="263">
        <f t="shared" si="12"/>
        <v>-16078940</v>
      </c>
      <c r="F101" s="264">
        <f t="shared" si="13"/>
        <v>-0.1608469188581837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28479599</v>
      </c>
      <c r="D102" s="263">
        <f>+D93+D95</f>
        <v>21129502</v>
      </c>
      <c r="E102" s="263">
        <f t="shared" si="12"/>
        <v>-7350097</v>
      </c>
      <c r="F102" s="264">
        <f t="shared" si="13"/>
        <v>-0.25808288241698907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10669449</v>
      </c>
      <c r="D105" s="258">
        <v>12537273</v>
      </c>
      <c r="E105" s="258">
        <f t="shared" ref="E105:E115" si="14">D105-C105</f>
        <v>1867824</v>
      </c>
      <c r="F105" s="259">
        <f t="shared" ref="F105:F115" si="15">IF(C105=0,0,E105/C105)</f>
        <v>0.17506283595338429</v>
      </c>
    </row>
    <row r="106" spans="1:6" ht="20.25" customHeight="1" x14ac:dyDescent="0.3">
      <c r="A106" s="256">
        <v>2</v>
      </c>
      <c r="B106" s="257" t="s">
        <v>442</v>
      </c>
      <c r="C106" s="258">
        <v>2629807</v>
      </c>
      <c r="D106" s="258">
        <v>2572419</v>
      </c>
      <c r="E106" s="258">
        <f t="shared" si="14"/>
        <v>-57388</v>
      </c>
      <c r="F106" s="259">
        <f t="shared" si="15"/>
        <v>-2.1822133715516005E-2</v>
      </c>
    </row>
    <row r="107" spans="1:6" ht="20.25" customHeight="1" x14ac:dyDescent="0.3">
      <c r="A107" s="256">
        <v>3</v>
      </c>
      <c r="B107" s="257" t="s">
        <v>443</v>
      </c>
      <c r="C107" s="258">
        <v>4263098</v>
      </c>
      <c r="D107" s="258">
        <v>5224156</v>
      </c>
      <c r="E107" s="258">
        <f t="shared" si="14"/>
        <v>961058</v>
      </c>
      <c r="F107" s="259">
        <f t="shared" si="15"/>
        <v>0.22543652526871302</v>
      </c>
    </row>
    <row r="108" spans="1:6" ht="20.25" customHeight="1" x14ac:dyDescent="0.3">
      <c r="A108" s="256">
        <v>4</v>
      </c>
      <c r="B108" s="257" t="s">
        <v>444</v>
      </c>
      <c r="C108" s="258">
        <v>845549</v>
      </c>
      <c r="D108" s="258">
        <v>1026140</v>
      </c>
      <c r="E108" s="258">
        <f t="shared" si="14"/>
        <v>180591</v>
      </c>
      <c r="F108" s="259">
        <f t="shared" si="15"/>
        <v>0.21357839699414227</v>
      </c>
    </row>
    <row r="109" spans="1:6" ht="20.25" customHeight="1" x14ac:dyDescent="0.3">
      <c r="A109" s="256">
        <v>5</v>
      </c>
      <c r="B109" s="257" t="s">
        <v>381</v>
      </c>
      <c r="C109" s="260">
        <v>235</v>
      </c>
      <c r="D109" s="260">
        <v>273</v>
      </c>
      <c r="E109" s="260">
        <f t="shared" si="14"/>
        <v>38</v>
      </c>
      <c r="F109" s="259">
        <f t="shared" si="15"/>
        <v>0.16170212765957448</v>
      </c>
    </row>
    <row r="110" spans="1:6" ht="20.25" customHeight="1" x14ac:dyDescent="0.3">
      <c r="A110" s="256">
        <v>6</v>
      </c>
      <c r="B110" s="257" t="s">
        <v>380</v>
      </c>
      <c r="C110" s="260">
        <v>1516</v>
      </c>
      <c r="D110" s="260">
        <v>1773</v>
      </c>
      <c r="E110" s="260">
        <f t="shared" si="14"/>
        <v>257</v>
      </c>
      <c r="F110" s="259">
        <f t="shared" si="15"/>
        <v>0.16952506596306069</v>
      </c>
    </row>
    <row r="111" spans="1:6" ht="20.25" customHeight="1" x14ac:dyDescent="0.3">
      <c r="A111" s="256">
        <v>7</v>
      </c>
      <c r="B111" s="257" t="s">
        <v>445</v>
      </c>
      <c r="C111" s="260">
        <v>1392</v>
      </c>
      <c r="D111" s="260">
        <v>1784</v>
      </c>
      <c r="E111" s="260">
        <f t="shared" si="14"/>
        <v>392</v>
      </c>
      <c r="F111" s="259">
        <f t="shared" si="15"/>
        <v>0.28160919540229884</v>
      </c>
    </row>
    <row r="112" spans="1:6" ht="20.25" customHeight="1" x14ac:dyDescent="0.3">
      <c r="A112" s="256">
        <v>8</v>
      </c>
      <c r="B112" s="257" t="s">
        <v>446</v>
      </c>
      <c r="C112" s="260">
        <v>524</v>
      </c>
      <c r="D112" s="260">
        <v>791</v>
      </c>
      <c r="E112" s="260">
        <f t="shared" si="14"/>
        <v>267</v>
      </c>
      <c r="F112" s="259">
        <f t="shared" si="15"/>
        <v>0.50954198473282442</v>
      </c>
    </row>
    <row r="113" spans="1:6" ht="20.25" customHeight="1" x14ac:dyDescent="0.3">
      <c r="A113" s="256">
        <v>9</v>
      </c>
      <c r="B113" s="257" t="s">
        <v>447</v>
      </c>
      <c r="C113" s="260">
        <v>200</v>
      </c>
      <c r="D113" s="260">
        <v>246</v>
      </c>
      <c r="E113" s="260">
        <f t="shared" si="14"/>
        <v>46</v>
      </c>
      <c r="F113" s="259">
        <f t="shared" si="15"/>
        <v>0.23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14932547</v>
      </c>
      <c r="D114" s="263">
        <f>+D105+D107</f>
        <v>17761429</v>
      </c>
      <c r="E114" s="263">
        <f t="shared" si="14"/>
        <v>2828882</v>
      </c>
      <c r="F114" s="264">
        <f t="shared" si="15"/>
        <v>0.18944403791262135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3475356</v>
      </c>
      <c r="D115" s="263">
        <f>+D106+D108</f>
        <v>3598559</v>
      </c>
      <c r="E115" s="263">
        <f t="shared" si="14"/>
        <v>123203</v>
      </c>
      <c r="F115" s="264">
        <f t="shared" si="15"/>
        <v>3.5450468959151236E-2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30701978</v>
      </c>
      <c r="D118" s="258">
        <v>22583872</v>
      </c>
      <c r="E118" s="258">
        <f t="shared" ref="E118:E128" si="16">D118-C118</f>
        <v>-8118106</v>
      </c>
      <c r="F118" s="259">
        <f t="shared" ref="F118:F128" si="17">IF(C118=0,0,E118/C118)</f>
        <v>-0.26441638385644078</v>
      </c>
    </row>
    <row r="119" spans="1:6" ht="20.25" customHeight="1" x14ac:dyDescent="0.3">
      <c r="A119" s="256">
        <v>2</v>
      </c>
      <c r="B119" s="257" t="s">
        <v>442</v>
      </c>
      <c r="C119" s="258">
        <v>7946578</v>
      </c>
      <c r="D119" s="258">
        <v>6139451</v>
      </c>
      <c r="E119" s="258">
        <f t="shared" si="16"/>
        <v>-1807127</v>
      </c>
      <c r="F119" s="259">
        <f t="shared" si="17"/>
        <v>-0.22740945851157568</v>
      </c>
    </row>
    <row r="120" spans="1:6" ht="20.25" customHeight="1" x14ac:dyDescent="0.3">
      <c r="A120" s="256">
        <v>3</v>
      </c>
      <c r="B120" s="257" t="s">
        <v>443</v>
      </c>
      <c r="C120" s="258">
        <v>9564170</v>
      </c>
      <c r="D120" s="258">
        <v>9589702</v>
      </c>
      <c r="E120" s="258">
        <f t="shared" si="16"/>
        <v>25532</v>
      </c>
      <c r="F120" s="259">
        <f t="shared" si="17"/>
        <v>2.6695468608358068E-3</v>
      </c>
    </row>
    <row r="121" spans="1:6" ht="20.25" customHeight="1" x14ac:dyDescent="0.3">
      <c r="A121" s="256">
        <v>4</v>
      </c>
      <c r="B121" s="257" t="s">
        <v>444</v>
      </c>
      <c r="C121" s="258">
        <v>2277666</v>
      </c>
      <c r="D121" s="258">
        <v>1907647</v>
      </c>
      <c r="E121" s="258">
        <f t="shared" si="16"/>
        <v>-370019</v>
      </c>
      <c r="F121" s="259">
        <f t="shared" si="17"/>
        <v>-0.16245533805219906</v>
      </c>
    </row>
    <row r="122" spans="1:6" ht="20.25" customHeight="1" x14ac:dyDescent="0.3">
      <c r="A122" s="256">
        <v>5</v>
      </c>
      <c r="B122" s="257" t="s">
        <v>381</v>
      </c>
      <c r="C122" s="260">
        <v>643</v>
      </c>
      <c r="D122" s="260">
        <v>459</v>
      </c>
      <c r="E122" s="260">
        <f t="shared" si="16"/>
        <v>-184</v>
      </c>
      <c r="F122" s="259">
        <f t="shared" si="17"/>
        <v>-0.28615863141524106</v>
      </c>
    </row>
    <row r="123" spans="1:6" ht="20.25" customHeight="1" x14ac:dyDescent="0.3">
      <c r="A123" s="256">
        <v>6</v>
      </c>
      <c r="B123" s="257" t="s">
        <v>380</v>
      </c>
      <c r="C123" s="260">
        <v>4252</v>
      </c>
      <c r="D123" s="260">
        <v>2968</v>
      </c>
      <c r="E123" s="260">
        <f t="shared" si="16"/>
        <v>-1284</v>
      </c>
      <c r="F123" s="259">
        <f t="shared" si="17"/>
        <v>-0.30197554092191908</v>
      </c>
    </row>
    <row r="124" spans="1:6" ht="20.25" customHeight="1" x14ac:dyDescent="0.3">
      <c r="A124" s="256">
        <v>7</v>
      </c>
      <c r="B124" s="257" t="s">
        <v>445</v>
      </c>
      <c r="C124" s="260">
        <v>3578</v>
      </c>
      <c r="D124" s="260">
        <v>3290</v>
      </c>
      <c r="E124" s="260">
        <f t="shared" si="16"/>
        <v>-288</v>
      </c>
      <c r="F124" s="259">
        <f t="shared" si="17"/>
        <v>-8.0491894913359424E-2</v>
      </c>
    </row>
    <row r="125" spans="1:6" ht="20.25" customHeight="1" x14ac:dyDescent="0.3">
      <c r="A125" s="256">
        <v>8</v>
      </c>
      <c r="B125" s="257" t="s">
        <v>446</v>
      </c>
      <c r="C125" s="260">
        <v>573</v>
      </c>
      <c r="D125" s="260">
        <v>557</v>
      </c>
      <c r="E125" s="260">
        <f t="shared" si="16"/>
        <v>-16</v>
      </c>
      <c r="F125" s="259">
        <f t="shared" si="17"/>
        <v>-2.7923211169284468E-2</v>
      </c>
    </row>
    <row r="126" spans="1:6" ht="20.25" customHeight="1" x14ac:dyDescent="0.3">
      <c r="A126" s="256">
        <v>9</v>
      </c>
      <c r="B126" s="257" t="s">
        <v>447</v>
      </c>
      <c r="C126" s="260">
        <v>507</v>
      </c>
      <c r="D126" s="260">
        <v>340</v>
      </c>
      <c r="E126" s="260">
        <f t="shared" si="16"/>
        <v>-167</v>
      </c>
      <c r="F126" s="259">
        <f t="shared" si="17"/>
        <v>-0.32938856015779094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40266148</v>
      </c>
      <c r="D127" s="263">
        <f>+D118+D120</f>
        <v>32173574</v>
      </c>
      <c r="E127" s="263">
        <f t="shared" si="16"/>
        <v>-8092574</v>
      </c>
      <c r="F127" s="264">
        <f t="shared" si="17"/>
        <v>-0.20097710861242551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10224244</v>
      </c>
      <c r="D128" s="263">
        <f>+D119+D121</f>
        <v>8047098</v>
      </c>
      <c r="E128" s="263">
        <f t="shared" si="16"/>
        <v>-2177146</v>
      </c>
      <c r="F128" s="264">
        <f t="shared" si="17"/>
        <v>-0.21293955817173377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780887</v>
      </c>
      <c r="D131" s="258">
        <v>436481</v>
      </c>
      <c r="E131" s="258">
        <f t="shared" ref="E131:E141" si="18">D131-C131</f>
        <v>-344406</v>
      </c>
      <c r="F131" s="259">
        <f t="shared" ref="F131:F141" si="19">IF(C131=0,0,E131/C131)</f>
        <v>-0.44104460696618075</v>
      </c>
    </row>
    <row r="132" spans="1:6" ht="20.25" customHeight="1" x14ac:dyDescent="0.3">
      <c r="A132" s="256">
        <v>2</v>
      </c>
      <c r="B132" s="257" t="s">
        <v>442</v>
      </c>
      <c r="C132" s="258">
        <v>188828</v>
      </c>
      <c r="D132" s="258">
        <v>100926</v>
      </c>
      <c r="E132" s="258">
        <f t="shared" si="18"/>
        <v>-87902</v>
      </c>
      <c r="F132" s="259">
        <f t="shared" si="19"/>
        <v>-0.46551358908636431</v>
      </c>
    </row>
    <row r="133" spans="1:6" ht="20.25" customHeight="1" x14ac:dyDescent="0.3">
      <c r="A133" s="256">
        <v>3</v>
      </c>
      <c r="B133" s="257" t="s">
        <v>443</v>
      </c>
      <c r="C133" s="258">
        <v>346727</v>
      </c>
      <c r="D133" s="258">
        <v>230230</v>
      </c>
      <c r="E133" s="258">
        <f t="shared" si="18"/>
        <v>-116497</v>
      </c>
      <c r="F133" s="259">
        <f t="shared" si="19"/>
        <v>-0.33599056318083104</v>
      </c>
    </row>
    <row r="134" spans="1:6" ht="20.25" customHeight="1" x14ac:dyDescent="0.3">
      <c r="A134" s="256">
        <v>4</v>
      </c>
      <c r="B134" s="257" t="s">
        <v>444</v>
      </c>
      <c r="C134" s="258">
        <v>83358</v>
      </c>
      <c r="D134" s="258">
        <v>120849</v>
      </c>
      <c r="E134" s="258">
        <f t="shared" si="18"/>
        <v>37491</v>
      </c>
      <c r="F134" s="259">
        <f t="shared" si="19"/>
        <v>0.44975887137407328</v>
      </c>
    </row>
    <row r="135" spans="1:6" ht="20.25" customHeight="1" x14ac:dyDescent="0.3">
      <c r="A135" s="256">
        <v>5</v>
      </c>
      <c r="B135" s="257" t="s">
        <v>381</v>
      </c>
      <c r="C135" s="260">
        <v>17</v>
      </c>
      <c r="D135" s="260">
        <v>11</v>
      </c>
      <c r="E135" s="260">
        <f t="shared" si="18"/>
        <v>-6</v>
      </c>
      <c r="F135" s="259">
        <f t="shared" si="19"/>
        <v>-0.35294117647058826</v>
      </c>
    </row>
    <row r="136" spans="1:6" ht="20.25" customHeight="1" x14ac:dyDescent="0.3">
      <c r="A136" s="256">
        <v>6</v>
      </c>
      <c r="B136" s="257" t="s">
        <v>380</v>
      </c>
      <c r="C136" s="260">
        <v>116</v>
      </c>
      <c r="D136" s="260">
        <v>66</v>
      </c>
      <c r="E136" s="260">
        <f t="shared" si="18"/>
        <v>-50</v>
      </c>
      <c r="F136" s="259">
        <f t="shared" si="19"/>
        <v>-0.43103448275862066</v>
      </c>
    </row>
    <row r="137" spans="1:6" ht="20.25" customHeight="1" x14ac:dyDescent="0.3">
      <c r="A137" s="256">
        <v>7</v>
      </c>
      <c r="B137" s="257" t="s">
        <v>445</v>
      </c>
      <c r="C137" s="260">
        <v>106</v>
      </c>
      <c r="D137" s="260">
        <v>61</v>
      </c>
      <c r="E137" s="260">
        <f t="shared" si="18"/>
        <v>-45</v>
      </c>
      <c r="F137" s="259">
        <f t="shared" si="19"/>
        <v>-0.42452830188679247</v>
      </c>
    </row>
    <row r="138" spans="1:6" ht="20.25" customHeight="1" x14ac:dyDescent="0.3">
      <c r="A138" s="256">
        <v>8</v>
      </c>
      <c r="B138" s="257" t="s">
        <v>446</v>
      </c>
      <c r="C138" s="260">
        <v>35</v>
      </c>
      <c r="D138" s="260">
        <v>20</v>
      </c>
      <c r="E138" s="260">
        <f t="shared" si="18"/>
        <v>-15</v>
      </c>
      <c r="F138" s="259">
        <f t="shared" si="19"/>
        <v>-0.42857142857142855</v>
      </c>
    </row>
    <row r="139" spans="1:6" ht="20.25" customHeight="1" x14ac:dyDescent="0.3">
      <c r="A139" s="256">
        <v>9</v>
      </c>
      <c r="B139" s="257" t="s">
        <v>447</v>
      </c>
      <c r="C139" s="260">
        <v>17</v>
      </c>
      <c r="D139" s="260">
        <v>7</v>
      </c>
      <c r="E139" s="260">
        <f t="shared" si="18"/>
        <v>-10</v>
      </c>
      <c r="F139" s="259">
        <f t="shared" si="19"/>
        <v>-0.58823529411764708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1127614</v>
      </c>
      <c r="D140" s="263">
        <f>+D131+D133</f>
        <v>666711</v>
      </c>
      <c r="E140" s="263">
        <f t="shared" si="18"/>
        <v>-460903</v>
      </c>
      <c r="F140" s="264">
        <f t="shared" si="19"/>
        <v>-0.40874182122605784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272186</v>
      </c>
      <c r="D141" s="263">
        <f>+D132+D134</f>
        <v>221775</v>
      </c>
      <c r="E141" s="263">
        <f t="shared" si="18"/>
        <v>-50411</v>
      </c>
      <c r="F141" s="264">
        <f t="shared" si="19"/>
        <v>-0.18520790929731876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1024199</v>
      </c>
      <c r="D183" s="258">
        <v>524528</v>
      </c>
      <c r="E183" s="258">
        <f t="shared" ref="E183:E193" si="26">D183-C183</f>
        <v>-499671</v>
      </c>
      <c r="F183" s="259">
        <f t="shared" ref="F183:F193" si="27">IF(C183=0,0,E183/C183)</f>
        <v>-0.4878651512059668</v>
      </c>
    </row>
    <row r="184" spans="1:6" ht="20.25" customHeight="1" x14ac:dyDescent="0.3">
      <c r="A184" s="256">
        <v>2</v>
      </c>
      <c r="B184" s="257" t="s">
        <v>442</v>
      </c>
      <c r="C184" s="258">
        <v>300399</v>
      </c>
      <c r="D184" s="258">
        <v>130278</v>
      </c>
      <c r="E184" s="258">
        <f t="shared" si="26"/>
        <v>-170121</v>
      </c>
      <c r="F184" s="259">
        <f t="shared" si="27"/>
        <v>-0.56631679865778517</v>
      </c>
    </row>
    <row r="185" spans="1:6" ht="20.25" customHeight="1" x14ac:dyDescent="0.3">
      <c r="A185" s="256">
        <v>3</v>
      </c>
      <c r="B185" s="257" t="s">
        <v>443</v>
      </c>
      <c r="C185" s="258">
        <v>239969</v>
      </c>
      <c r="D185" s="258">
        <v>177491</v>
      </c>
      <c r="E185" s="258">
        <f t="shared" si="26"/>
        <v>-62478</v>
      </c>
      <c r="F185" s="259">
        <f t="shared" si="27"/>
        <v>-0.26035862965633061</v>
      </c>
    </row>
    <row r="186" spans="1:6" ht="20.25" customHeight="1" x14ac:dyDescent="0.3">
      <c r="A186" s="256">
        <v>4</v>
      </c>
      <c r="B186" s="257" t="s">
        <v>444</v>
      </c>
      <c r="C186" s="258">
        <v>42334</v>
      </c>
      <c r="D186" s="258">
        <v>23187</v>
      </c>
      <c r="E186" s="258">
        <f t="shared" si="26"/>
        <v>-19147</v>
      </c>
      <c r="F186" s="259">
        <f t="shared" si="27"/>
        <v>-0.45228421599659846</v>
      </c>
    </row>
    <row r="187" spans="1:6" ht="20.25" customHeight="1" x14ac:dyDescent="0.3">
      <c r="A187" s="256">
        <v>5</v>
      </c>
      <c r="B187" s="257" t="s">
        <v>381</v>
      </c>
      <c r="C187" s="260">
        <v>22</v>
      </c>
      <c r="D187" s="260">
        <v>4</v>
      </c>
      <c r="E187" s="260">
        <f t="shared" si="26"/>
        <v>-18</v>
      </c>
      <c r="F187" s="259">
        <f t="shared" si="27"/>
        <v>-0.81818181818181823</v>
      </c>
    </row>
    <row r="188" spans="1:6" ht="20.25" customHeight="1" x14ac:dyDescent="0.3">
      <c r="A188" s="256">
        <v>6</v>
      </c>
      <c r="B188" s="257" t="s">
        <v>380</v>
      </c>
      <c r="C188" s="260">
        <v>152</v>
      </c>
      <c r="D188" s="260">
        <v>21</v>
      </c>
      <c r="E188" s="260">
        <f t="shared" si="26"/>
        <v>-131</v>
      </c>
      <c r="F188" s="259">
        <f t="shared" si="27"/>
        <v>-0.86184210526315785</v>
      </c>
    </row>
    <row r="189" spans="1:6" ht="20.25" customHeight="1" x14ac:dyDescent="0.3">
      <c r="A189" s="256">
        <v>7</v>
      </c>
      <c r="B189" s="257" t="s">
        <v>445</v>
      </c>
      <c r="C189" s="260">
        <v>81</v>
      </c>
      <c r="D189" s="260">
        <v>34</v>
      </c>
      <c r="E189" s="260">
        <f t="shared" si="26"/>
        <v>-47</v>
      </c>
      <c r="F189" s="259">
        <f t="shared" si="27"/>
        <v>-0.58024691358024694</v>
      </c>
    </row>
    <row r="190" spans="1:6" ht="20.25" customHeight="1" x14ac:dyDescent="0.3">
      <c r="A190" s="256">
        <v>8</v>
      </c>
      <c r="B190" s="257" t="s">
        <v>446</v>
      </c>
      <c r="C190" s="260">
        <v>17</v>
      </c>
      <c r="D190" s="260">
        <v>8</v>
      </c>
      <c r="E190" s="260">
        <f t="shared" si="26"/>
        <v>-9</v>
      </c>
      <c r="F190" s="259">
        <f t="shared" si="27"/>
        <v>-0.52941176470588236</v>
      </c>
    </row>
    <row r="191" spans="1:6" ht="20.25" customHeight="1" x14ac:dyDescent="0.3">
      <c r="A191" s="256">
        <v>9</v>
      </c>
      <c r="B191" s="257" t="s">
        <v>447</v>
      </c>
      <c r="C191" s="260">
        <v>20</v>
      </c>
      <c r="D191" s="260">
        <v>7</v>
      </c>
      <c r="E191" s="260">
        <f t="shared" si="26"/>
        <v>-13</v>
      </c>
      <c r="F191" s="259">
        <f t="shared" si="27"/>
        <v>-0.65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1264168</v>
      </c>
      <c r="D192" s="263">
        <f>+D183+D185</f>
        <v>702019</v>
      </c>
      <c r="E192" s="263">
        <f t="shared" si="26"/>
        <v>-562149</v>
      </c>
      <c r="F192" s="264">
        <f t="shared" si="27"/>
        <v>-0.44467903000234144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342733</v>
      </c>
      <c r="D193" s="263">
        <f>+D184+D186</f>
        <v>153465</v>
      </c>
      <c r="E193" s="263">
        <f t="shared" si="26"/>
        <v>-189268</v>
      </c>
      <c r="F193" s="264">
        <f t="shared" si="27"/>
        <v>-0.55223162053260122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143995290</v>
      </c>
      <c r="D198" s="263">
        <f t="shared" si="28"/>
        <v>128326299</v>
      </c>
      <c r="E198" s="263">
        <f t="shared" ref="E198:E208" si="29">D198-C198</f>
        <v>-15668991</v>
      </c>
      <c r="F198" s="273">
        <f t="shared" ref="F198:F208" si="30">IF(C198=0,0,E198/C198)</f>
        <v>-0.10881599668989173</v>
      </c>
    </row>
    <row r="199" spans="1:9" ht="20.25" customHeight="1" x14ac:dyDescent="0.3">
      <c r="A199" s="271"/>
      <c r="B199" s="272" t="s">
        <v>466</v>
      </c>
      <c r="C199" s="263">
        <f t="shared" si="28"/>
        <v>41197548</v>
      </c>
      <c r="D199" s="263">
        <f t="shared" si="28"/>
        <v>32983724</v>
      </c>
      <c r="E199" s="263">
        <f t="shared" si="29"/>
        <v>-8213824</v>
      </c>
      <c r="F199" s="273">
        <f t="shared" si="30"/>
        <v>-0.19937652600101347</v>
      </c>
    </row>
    <row r="200" spans="1:9" ht="20.25" customHeight="1" x14ac:dyDescent="0.3">
      <c r="A200" s="271"/>
      <c r="B200" s="272" t="s">
        <v>467</v>
      </c>
      <c r="C200" s="263">
        <f t="shared" si="28"/>
        <v>46902652</v>
      </c>
      <c r="D200" s="263">
        <f t="shared" si="28"/>
        <v>45866214</v>
      </c>
      <c r="E200" s="263">
        <f t="shared" si="29"/>
        <v>-1036438</v>
      </c>
      <c r="F200" s="273">
        <f t="shared" si="30"/>
        <v>-2.2097641728233194E-2</v>
      </c>
    </row>
    <row r="201" spans="1:9" ht="20.25" customHeight="1" x14ac:dyDescent="0.3">
      <c r="A201" s="271"/>
      <c r="B201" s="272" t="s">
        <v>468</v>
      </c>
      <c r="C201" s="263">
        <f t="shared" si="28"/>
        <v>11576518</v>
      </c>
      <c r="D201" s="263">
        <f t="shared" si="28"/>
        <v>9696584</v>
      </c>
      <c r="E201" s="263">
        <f t="shared" si="29"/>
        <v>-1879934</v>
      </c>
      <c r="F201" s="273">
        <f t="shared" si="30"/>
        <v>-0.16239200768313927</v>
      </c>
    </row>
    <row r="202" spans="1:9" ht="20.25" customHeight="1" x14ac:dyDescent="0.3">
      <c r="A202" s="271"/>
      <c r="B202" s="272" t="s">
        <v>138</v>
      </c>
      <c r="C202" s="274">
        <f t="shared" si="28"/>
        <v>3175</v>
      </c>
      <c r="D202" s="274">
        <f t="shared" si="28"/>
        <v>2654</v>
      </c>
      <c r="E202" s="274">
        <f t="shared" si="29"/>
        <v>-521</v>
      </c>
      <c r="F202" s="273">
        <f t="shared" si="30"/>
        <v>-0.16409448818897637</v>
      </c>
    </row>
    <row r="203" spans="1:9" ht="20.25" customHeight="1" x14ac:dyDescent="0.3">
      <c r="A203" s="271"/>
      <c r="B203" s="272" t="s">
        <v>140</v>
      </c>
      <c r="C203" s="274">
        <f t="shared" si="28"/>
        <v>19742</v>
      </c>
      <c r="D203" s="274">
        <f t="shared" si="28"/>
        <v>16724</v>
      </c>
      <c r="E203" s="274">
        <f t="shared" si="29"/>
        <v>-3018</v>
      </c>
      <c r="F203" s="273">
        <f t="shared" si="30"/>
        <v>-0.15287204943774693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16566</v>
      </c>
      <c r="D204" s="274">
        <f t="shared" si="28"/>
        <v>15897</v>
      </c>
      <c r="E204" s="274">
        <f t="shared" si="29"/>
        <v>-669</v>
      </c>
      <c r="F204" s="273">
        <f t="shared" si="30"/>
        <v>-4.0383918869974646E-2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3386</v>
      </c>
      <c r="D205" s="274">
        <f t="shared" si="28"/>
        <v>3447</v>
      </c>
      <c r="E205" s="274">
        <f t="shared" si="29"/>
        <v>61</v>
      </c>
      <c r="F205" s="273">
        <f t="shared" si="30"/>
        <v>1.8015357353809804E-2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2581</v>
      </c>
      <c r="D206" s="274">
        <f t="shared" si="28"/>
        <v>2203</v>
      </c>
      <c r="E206" s="274">
        <f t="shared" si="29"/>
        <v>-378</v>
      </c>
      <c r="F206" s="273">
        <f t="shared" si="30"/>
        <v>-0.14645486245641223</v>
      </c>
    </row>
    <row r="207" spans="1:9" ht="20.25" customHeight="1" x14ac:dyDescent="0.3">
      <c r="A207" s="271"/>
      <c r="B207" s="262" t="s">
        <v>471</v>
      </c>
      <c r="C207" s="263">
        <f>+C198+C200</f>
        <v>190897942</v>
      </c>
      <c r="D207" s="263">
        <f>+D198+D200</f>
        <v>174192513</v>
      </c>
      <c r="E207" s="263">
        <f t="shared" si="29"/>
        <v>-16705429</v>
      </c>
      <c r="F207" s="273">
        <f t="shared" si="30"/>
        <v>-8.750973858062859E-2</v>
      </c>
    </row>
    <row r="208" spans="1:9" ht="20.25" customHeight="1" x14ac:dyDescent="0.3">
      <c r="A208" s="271"/>
      <c r="B208" s="262" t="s">
        <v>472</v>
      </c>
      <c r="C208" s="263">
        <f>+C199+C201</f>
        <v>52774066</v>
      </c>
      <c r="D208" s="263">
        <f>+D199+D201</f>
        <v>42680308</v>
      </c>
      <c r="E208" s="263">
        <f t="shared" si="29"/>
        <v>-10093758</v>
      </c>
      <c r="F208" s="273">
        <f t="shared" si="30"/>
        <v>-0.19126360284614038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FILING&amp;RSAINT VINCENT`S MEDICAL CENTER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FILING&amp;RSAINT VINCENT`S MEDICAL CENTER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5001000</v>
      </c>
      <c r="D13" s="22">
        <v>3300000</v>
      </c>
      <c r="E13" s="22">
        <f t="shared" ref="E13:E22" si="0">D13-C13</f>
        <v>-1701000</v>
      </c>
      <c r="F13" s="306">
        <f t="shared" ref="F13:F22" si="1">IF(C13=0,0,E13/C13)</f>
        <v>-0.34013197360527897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56043000</v>
      </c>
      <c r="D15" s="22">
        <v>67589000</v>
      </c>
      <c r="E15" s="22">
        <f t="shared" si="0"/>
        <v>11546000</v>
      </c>
      <c r="F15" s="306">
        <f t="shared" si="1"/>
        <v>0.20602037721035632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4877000</v>
      </c>
      <c r="D19" s="22">
        <v>4264000</v>
      </c>
      <c r="E19" s="22">
        <f t="shared" si="0"/>
        <v>-613000</v>
      </c>
      <c r="F19" s="306">
        <f t="shared" si="1"/>
        <v>-0.12569202378511379</v>
      </c>
    </row>
    <row r="20" spans="1:11" ht="24" customHeight="1" x14ac:dyDescent="0.2">
      <c r="A20" s="304">
        <v>8</v>
      </c>
      <c r="B20" s="305" t="s">
        <v>23</v>
      </c>
      <c r="C20" s="22">
        <v>3244000</v>
      </c>
      <c r="D20" s="22">
        <v>3691000</v>
      </c>
      <c r="E20" s="22">
        <f t="shared" si="0"/>
        <v>447000</v>
      </c>
      <c r="F20" s="306">
        <f t="shared" si="1"/>
        <v>0.13779284833538841</v>
      </c>
    </row>
    <row r="21" spans="1:11" ht="24" customHeight="1" x14ac:dyDescent="0.2">
      <c r="A21" s="304">
        <v>9</v>
      </c>
      <c r="B21" s="305" t="s">
        <v>24</v>
      </c>
      <c r="C21" s="22">
        <v>11601000</v>
      </c>
      <c r="D21" s="22">
        <v>13622000</v>
      </c>
      <c r="E21" s="22">
        <f t="shared" si="0"/>
        <v>2021000</v>
      </c>
      <c r="F21" s="306">
        <f t="shared" si="1"/>
        <v>0.17420911990345661</v>
      </c>
    </row>
    <row r="22" spans="1:11" ht="24" customHeight="1" x14ac:dyDescent="0.25">
      <c r="A22" s="307"/>
      <c r="B22" s="308" t="s">
        <v>25</v>
      </c>
      <c r="C22" s="309">
        <f>SUM(C13:C21)</f>
        <v>80766000</v>
      </c>
      <c r="D22" s="309">
        <f>SUM(D13:D21)</f>
        <v>92466000</v>
      </c>
      <c r="E22" s="309">
        <f t="shared" si="0"/>
        <v>11700000</v>
      </c>
      <c r="F22" s="310">
        <f t="shared" si="1"/>
        <v>0.14486293737463785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0</v>
      </c>
      <c r="D25" s="22">
        <v>0</v>
      </c>
      <c r="E25" s="22">
        <f>D25-C25</f>
        <v>0</v>
      </c>
      <c r="F25" s="306">
        <f>IF(C25=0,0,E25/C25)</f>
        <v>0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41679000</v>
      </c>
      <c r="D28" s="22">
        <v>43490000</v>
      </c>
      <c r="E28" s="22">
        <f>D28-C28</f>
        <v>1811000</v>
      </c>
      <c r="F28" s="306">
        <f>IF(C28=0,0,E28/C28)</f>
        <v>4.3451138463014946E-2</v>
      </c>
    </row>
    <row r="29" spans="1:11" ht="35.1" customHeight="1" x14ac:dyDescent="0.25">
      <c r="A29" s="307"/>
      <c r="B29" s="308" t="s">
        <v>32</v>
      </c>
      <c r="C29" s="309">
        <f>SUM(C25:C28)</f>
        <v>41679000</v>
      </c>
      <c r="D29" s="309">
        <f>SUM(D25:D28)</f>
        <v>43490000</v>
      </c>
      <c r="E29" s="309">
        <f>D29-C29</f>
        <v>1811000</v>
      </c>
      <c r="F29" s="310">
        <f>IF(C29=0,0,E29/C29)</f>
        <v>4.3451138463014946E-2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375348000</v>
      </c>
      <c r="D32" s="22">
        <v>385447000</v>
      </c>
      <c r="E32" s="22">
        <f>D32-C32</f>
        <v>10099000</v>
      </c>
      <c r="F32" s="306">
        <f>IF(C32=0,0,E32/C32)</f>
        <v>2.6905698178756779E-2</v>
      </c>
    </row>
    <row r="33" spans="1:8" ht="24" customHeight="1" x14ac:dyDescent="0.2">
      <c r="A33" s="304">
        <v>7</v>
      </c>
      <c r="B33" s="305" t="s">
        <v>35</v>
      </c>
      <c r="C33" s="22">
        <v>24235000</v>
      </c>
      <c r="D33" s="22">
        <v>43092000</v>
      </c>
      <c r="E33" s="22">
        <f>D33-C33</f>
        <v>18857000</v>
      </c>
      <c r="F33" s="306">
        <f>IF(C33=0,0,E33/C33)</f>
        <v>0.77808953992160101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470677000</v>
      </c>
      <c r="D36" s="22">
        <v>480748000</v>
      </c>
      <c r="E36" s="22">
        <f>D36-C36</f>
        <v>10071000</v>
      </c>
      <c r="F36" s="306">
        <f>IF(C36=0,0,E36/C36)</f>
        <v>2.1396839021239619E-2</v>
      </c>
    </row>
    <row r="37" spans="1:8" ht="24" customHeight="1" x14ac:dyDescent="0.2">
      <c r="A37" s="304">
        <v>2</v>
      </c>
      <c r="B37" s="305" t="s">
        <v>39</v>
      </c>
      <c r="C37" s="22">
        <v>253094000</v>
      </c>
      <c r="D37" s="22">
        <v>275790000</v>
      </c>
      <c r="E37" s="22">
        <f>D37-C37</f>
        <v>22696000</v>
      </c>
      <c r="F37" s="22">
        <f>IF(C37=0,0,E37/C37)</f>
        <v>8.9674192197365402E-2</v>
      </c>
    </row>
    <row r="38" spans="1:8" ht="24" customHeight="1" x14ac:dyDescent="0.25">
      <c r="A38" s="307"/>
      <c r="B38" s="308" t="s">
        <v>40</v>
      </c>
      <c r="C38" s="309">
        <f>C36-C37</f>
        <v>217583000</v>
      </c>
      <c r="D38" s="309">
        <f>D36-D37</f>
        <v>204958000</v>
      </c>
      <c r="E38" s="309">
        <f>D38-C38</f>
        <v>-12625000</v>
      </c>
      <c r="F38" s="310">
        <f>IF(C38=0,0,E38/C38)</f>
        <v>-5.8023834582665003E-2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3172000</v>
      </c>
      <c r="D40" s="22">
        <v>2391000</v>
      </c>
      <c r="E40" s="22">
        <f>D40-C40</f>
        <v>-781000</v>
      </c>
      <c r="F40" s="306">
        <f>IF(C40=0,0,E40/C40)</f>
        <v>-0.24621689785624212</v>
      </c>
    </row>
    <row r="41" spans="1:8" ht="24" customHeight="1" x14ac:dyDescent="0.25">
      <c r="A41" s="307"/>
      <c r="B41" s="308" t="s">
        <v>42</v>
      </c>
      <c r="C41" s="309">
        <f>+C38+C40</f>
        <v>220755000</v>
      </c>
      <c r="D41" s="309">
        <f>+D38+D40</f>
        <v>207349000</v>
      </c>
      <c r="E41" s="309">
        <f>D41-C41</f>
        <v>-13406000</v>
      </c>
      <c r="F41" s="310">
        <f>IF(C41=0,0,E41/C41)</f>
        <v>-6.0727956331679919E-2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742783000</v>
      </c>
      <c r="D43" s="309">
        <f>D22+D29+D31+D32+D33+D41</f>
        <v>771844000</v>
      </c>
      <c r="E43" s="309">
        <f>D43-C43</f>
        <v>29061000</v>
      </c>
      <c r="F43" s="310">
        <f>IF(C43=0,0,E43/C43)</f>
        <v>3.912448184732284E-2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33261000</v>
      </c>
      <c r="D49" s="22">
        <v>26124000</v>
      </c>
      <c r="E49" s="22">
        <f t="shared" ref="E49:E56" si="2">D49-C49</f>
        <v>-7137000</v>
      </c>
      <c r="F49" s="306">
        <f t="shared" ref="F49:F56" si="3">IF(C49=0,0,E49/C49)</f>
        <v>-0.21457562911517994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27155000</v>
      </c>
      <c r="D50" s="22">
        <v>29153000</v>
      </c>
      <c r="E50" s="22">
        <f t="shared" si="2"/>
        <v>1998000</v>
      </c>
      <c r="F50" s="306">
        <f t="shared" si="3"/>
        <v>7.3577610016571537E-2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5681000</v>
      </c>
      <c r="D51" s="22">
        <v>10642000</v>
      </c>
      <c r="E51" s="22">
        <f t="shared" si="2"/>
        <v>4961000</v>
      </c>
      <c r="F51" s="306">
        <f t="shared" si="3"/>
        <v>0.87326174969195569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4483000</v>
      </c>
      <c r="E52" s="22">
        <f t="shared" si="2"/>
        <v>4483000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737000</v>
      </c>
      <c r="D53" s="22">
        <v>885000</v>
      </c>
      <c r="E53" s="22">
        <f t="shared" si="2"/>
        <v>148000</v>
      </c>
      <c r="F53" s="306">
        <f t="shared" si="3"/>
        <v>0.20081411126187246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1075000</v>
      </c>
      <c r="D54" s="22">
        <v>0</v>
      </c>
      <c r="E54" s="22">
        <f t="shared" si="2"/>
        <v>-1075000</v>
      </c>
      <c r="F54" s="306">
        <f t="shared" si="3"/>
        <v>-1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340000</v>
      </c>
      <c r="D55" s="22">
        <v>335000</v>
      </c>
      <c r="E55" s="22">
        <f t="shared" si="2"/>
        <v>-5000</v>
      </c>
      <c r="F55" s="306">
        <f t="shared" si="3"/>
        <v>-1.4705882352941176E-2</v>
      </c>
    </row>
    <row r="56" spans="1:6" ht="24" customHeight="1" x14ac:dyDescent="0.25">
      <c r="A56" s="307"/>
      <c r="B56" s="308" t="s">
        <v>54</v>
      </c>
      <c r="C56" s="309">
        <f>SUM(C49:C55)</f>
        <v>68249000</v>
      </c>
      <c r="D56" s="309">
        <f>SUM(D49:D55)</f>
        <v>71622000</v>
      </c>
      <c r="E56" s="309">
        <f t="shared" si="2"/>
        <v>3373000</v>
      </c>
      <c r="F56" s="310">
        <f t="shared" si="3"/>
        <v>4.9421969552667436E-2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57489000</v>
      </c>
      <c r="D59" s="22">
        <v>56503000</v>
      </c>
      <c r="E59" s="22">
        <f>D59-C59</f>
        <v>-986000</v>
      </c>
      <c r="F59" s="306">
        <f>IF(C59=0,0,E59/C59)</f>
        <v>-1.7151107168327854E-2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57489000</v>
      </c>
      <c r="D61" s="309">
        <f>SUM(D59:D60)</f>
        <v>56503000</v>
      </c>
      <c r="E61" s="309">
        <f>D61-C61</f>
        <v>-986000</v>
      </c>
      <c r="F61" s="310">
        <f>IF(C61=0,0,E61/C61)</f>
        <v>-1.7151107168327854E-2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8531000</v>
      </c>
      <c r="D63" s="22">
        <v>5194000</v>
      </c>
      <c r="E63" s="22">
        <f>D63-C63</f>
        <v>-3337000</v>
      </c>
      <c r="F63" s="306">
        <f>IF(C63=0,0,E63/C63)</f>
        <v>-0.39116164576251317</v>
      </c>
    </row>
    <row r="64" spans="1:6" ht="24" customHeight="1" x14ac:dyDescent="0.2">
      <c r="A64" s="304">
        <v>4</v>
      </c>
      <c r="B64" s="305" t="s">
        <v>60</v>
      </c>
      <c r="C64" s="22">
        <v>12391000</v>
      </c>
      <c r="D64" s="22">
        <v>13607000</v>
      </c>
      <c r="E64" s="22">
        <f>D64-C64</f>
        <v>1216000</v>
      </c>
      <c r="F64" s="306">
        <f>IF(C64=0,0,E64/C64)</f>
        <v>9.8135743684932608E-2</v>
      </c>
    </row>
    <row r="65" spans="1:6" ht="24" customHeight="1" x14ac:dyDescent="0.25">
      <c r="A65" s="307"/>
      <c r="B65" s="308" t="s">
        <v>61</v>
      </c>
      <c r="C65" s="309">
        <f>SUM(C61:C64)</f>
        <v>78411000</v>
      </c>
      <c r="D65" s="309">
        <f>SUM(D61:D64)</f>
        <v>75304000</v>
      </c>
      <c r="E65" s="309">
        <f>D65-C65</f>
        <v>-3107000</v>
      </c>
      <c r="F65" s="310">
        <f>IF(C65=0,0,E65/C65)</f>
        <v>-3.9624542474907855E-2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569055000</v>
      </c>
      <c r="D70" s="22">
        <v>596405000</v>
      </c>
      <c r="E70" s="22">
        <f>D70-C70</f>
        <v>27350000</v>
      </c>
      <c r="F70" s="306">
        <f>IF(C70=0,0,E70/C70)</f>
        <v>4.8062138106158454E-2</v>
      </c>
    </row>
    <row r="71" spans="1:6" ht="24" customHeight="1" x14ac:dyDescent="0.2">
      <c r="A71" s="304">
        <v>2</v>
      </c>
      <c r="B71" s="305" t="s">
        <v>65</v>
      </c>
      <c r="C71" s="22">
        <v>14844000</v>
      </c>
      <c r="D71" s="22">
        <v>15750000</v>
      </c>
      <c r="E71" s="22">
        <f>D71-C71</f>
        <v>906000</v>
      </c>
      <c r="F71" s="306">
        <f>IF(C71=0,0,E71/C71)</f>
        <v>6.1034761519805983E-2</v>
      </c>
    </row>
    <row r="72" spans="1:6" ht="24" customHeight="1" x14ac:dyDescent="0.2">
      <c r="A72" s="304">
        <v>3</v>
      </c>
      <c r="B72" s="305" t="s">
        <v>66</v>
      </c>
      <c r="C72" s="22">
        <v>12224000</v>
      </c>
      <c r="D72" s="22">
        <v>12763000</v>
      </c>
      <c r="E72" s="22">
        <f>D72-C72</f>
        <v>539000</v>
      </c>
      <c r="F72" s="306">
        <f>IF(C72=0,0,E72/C72)</f>
        <v>4.4093586387434554E-2</v>
      </c>
    </row>
    <row r="73" spans="1:6" ht="24" customHeight="1" x14ac:dyDescent="0.25">
      <c r="A73" s="304"/>
      <c r="B73" s="308" t="s">
        <v>67</v>
      </c>
      <c r="C73" s="309">
        <f>SUM(C70:C72)</f>
        <v>596123000</v>
      </c>
      <c r="D73" s="309">
        <f>SUM(D70:D72)</f>
        <v>624918000</v>
      </c>
      <c r="E73" s="309">
        <f>D73-C73</f>
        <v>28795000</v>
      </c>
      <c r="F73" s="310">
        <f>IF(C73=0,0,E73/C73)</f>
        <v>4.8303789654148555E-2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742783000</v>
      </c>
      <c r="D75" s="309">
        <f>D56+D65+D67+D73</f>
        <v>771844000</v>
      </c>
      <c r="E75" s="309">
        <f>D75-C75</f>
        <v>29061000</v>
      </c>
      <c r="F75" s="310">
        <f>IF(C75=0,0,E75/C75)</f>
        <v>3.912448184732284E-2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FILING&amp;RST VINCENTS HEALTH SERVICES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1280211000</v>
      </c>
      <c r="D11" s="76">
        <v>1285467000</v>
      </c>
      <c r="E11" s="76">
        <f t="shared" ref="E11:E20" si="0">D11-C11</f>
        <v>5256000</v>
      </c>
      <c r="F11" s="77">
        <f t="shared" ref="F11:F20" si="1">IF(C11=0,0,E11/C11)</f>
        <v>4.1055732219142001E-3</v>
      </c>
    </row>
    <row r="12" spans="1:7" ht="23.1" customHeight="1" x14ac:dyDescent="0.2">
      <c r="A12" s="74">
        <v>2</v>
      </c>
      <c r="B12" s="75" t="s">
        <v>72</v>
      </c>
      <c r="C12" s="76">
        <v>804184000</v>
      </c>
      <c r="D12" s="76">
        <v>802402000</v>
      </c>
      <c r="E12" s="76">
        <f t="shared" si="0"/>
        <v>-1782000</v>
      </c>
      <c r="F12" s="77">
        <f t="shared" si="1"/>
        <v>-2.2159107865861545E-3</v>
      </c>
    </row>
    <row r="13" spans="1:7" ht="23.1" customHeight="1" x14ac:dyDescent="0.2">
      <c r="A13" s="74">
        <v>3</v>
      </c>
      <c r="B13" s="75" t="s">
        <v>73</v>
      </c>
      <c r="C13" s="76">
        <v>14991000</v>
      </c>
      <c r="D13" s="76">
        <v>17265000</v>
      </c>
      <c r="E13" s="76">
        <f t="shared" si="0"/>
        <v>2274000</v>
      </c>
      <c r="F13" s="77">
        <f t="shared" si="1"/>
        <v>0.15169101460876525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461036000</v>
      </c>
      <c r="D15" s="79">
        <f>D11-D12-D13-D14</f>
        <v>465800000</v>
      </c>
      <c r="E15" s="79">
        <f t="shared" si="0"/>
        <v>4764000</v>
      </c>
      <c r="F15" s="80">
        <f t="shared" si="1"/>
        <v>1.033324946425008E-2</v>
      </c>
    </row>
    <row r="16" spans="1:7" ht="23.1" customHeight="1" x14ac:dyDescent="0.2">
      <c r="A16" s="74">
        <v>5</v>
      </c>
      <c r="B16" s="75" t="s">
        <v>76</v>
      </c>
      <c r="C16" s="76">
        <v>27679000</v>
      </c>
      <c r="D16" s="76">
        <v>34098000</v>
      </c>
      <c r="E16" s="76">
        <f t="shared" si="0"/>
        <v>6419000</v>
      </c>
      <c r="F16" s="77">
        <f t="shared" si="1"/>
        <v>0.23190866722063658</v>
      </c>
      <c r="G16" s="65"/>
    </row>
    <row r="17" spans="1:7" ht="31.5" customHeight="1" x14ac:dyDescent="0.25">
      <c r="A17" s="71"/>
      <c r="B17" s="81" t="s">
        <v>77</v>
      </c>
      <c r="C17" s="79">
        <f>C15-C16</f>
        <v>433357000</v>
      </c>
      <c r="D17" s="79">
        <f>D15-D16</f>
        <v>431702000</v>
      </c>
      <c r="E17" s="79">
        <f t="shared" si="0"/>
        <v>-1655000</v>
      </c>
      <c r="F17" s="80">
        <f t="shared" si="1"/>
        <v>-3.8190221918649059E-3</v>
      </c>
    </row>
    <row r="18" spans="1:7" ht="23.1" customHeight="1" x14ac:dyDescent="0.2">
      <c r="A18" s="74">
        <v>6</v>
      </c>
      <c r="B18" s="75" t="s">
        <v>78</v>
      </c>
      <c r="C18" s="76">
        <v>39575000</v>
      </c>
      <c r="D18" s="76">
        <v>47142000</v>
      </c>
      <c r="E18" s="76">
        <f t="shared" si="0"/>
        <v>7567000</v>
      </c>
      <c r="F18" s="77">
        <f t="shared" si="1"/>
        <v>0.19120656980416931</v>
      </c>
      <c r="G18" s="65"/>
    </row>
    <row r="19" spans="1:7" ht="33" customHeight="1" x14ac:dyDescent="0.2">
      <c r="A19" s="74">
        <v>7</v>
      </c>
      <c r="B19" s="82" t="s">
        <v>79</v>
      </c>
      <c r="C19" s="76">
        <v>1685000</v>
      </c>
      <c r="D19" s="76">
        <v>1614000</v>
      </c>
      <c r="E19" s="76">
        <f t="shared" si="0"/>
        <v>-71000</v>
      </c>
      <c r="F19" s="77">
        <f t="shared" si="1"/>
        <v>-4.2136498516320474E-2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474617000</v>
      </c>
      <c r="D20" s="79">
        <f>SUM(D17:D19)</f>
        <v>480458000</v>
      </c>
      <c r="E20" s="79">
        <f t="shared" si="0"/>
        <v>5841000</v>
      </c>
      <c r="F20" s="80">
        <f t="shared" si="1"/>
        <v>1.2306765244397061E-2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207998000</v>
      </c>
      <c r="D23" s="76">
        <v>206029000</v>
      </c>
      <c r="E23" s="76">
        <f t="shared" ref="E23:E32" si="2">D23-C23</f>
        <v>-1969000</v>
      </c>
      <c r="F23" s="77">
        <f t="shared" ref="F23:F32" si="3">IF(C23=0,0,E23/C23)</f>
        <v>-9.4664371772805508E-3</v>
      </c>
    </row>
    <row r="24" spans="1:7" ht="23.1" customHeight="1" x14ac:dyDescent="0.2">
      <c r="A24" s="74">
        <v>2</v>
      </c>
      <c r="B24" s="75" t="s">
        <v>83</v>
      </c>
      <c r="C24" s="76">
        <v>55142000</v>
      </c>
      <c r="D24" s="76">
        <v>55142000</v>
      </c>
      <c r="E24" s="76">
        <f t="shared" si="2"/>
        <v>0</v>
      </c>
      <c r="F24" s="77">
        <f t="shared" si="3"/>
        <v>0</v>
      </c>
    </row>
    <row r="25" spans="1:7" ht="23.1" customHeight="1" x14ac:dyDescent="0.2">
      <c r="A25" s="74">
        <v>3</v>
      </c>
      <c r="B25" s="75" t="s">
        <v>84</v>
      </c>
      <c r="C25" s="76">
        <v>13282000</v>
      </c>
      <c r="D25" s="76">
        <v>17610000</v>
      </c>
      <c r="E25" s="76">
        <f t="shared" si="2"/>
        <v>4328000</v>
      </c>
      <c r="F25" s="77">
        <f t="shared" si="3"/>
        <v>0.32585453997891883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43043000</v>
      </c>
      <c r="D26" s="76">
        <v>50105000</v>
      </c>
      <c r="E26" s="76">
        <f t="shared" si="2"/>
        <v>7062000</v>
      </c>
      <c r="F26" s="77">
        <f t="shared" si="3"/>
        <v>0.16406848964988499</v>
      </c>
    </row>
    <row r="27" spans="1:7" ht="23.1" customHeight="1" x14ac:dyDescent="0.2">
      <c r="A27" s="74">
        <v>5</v>
      </c>
      <c r="B27" s="75" t="s">
        <v>86</v>
      </c>
      <c r="C27" s="76">
        <v>26417000</v>
      </c>
      <c r="D27" s="76">
        <v>28822000</v>
      </c>
      <c r="E27" s="76">
        <f t="shared" si="2"/>
        <v>2405000</v>
      </c>
      <c r="F27" s="77">
        <f t="shared" si="3"/>
        <v>9.1039860695764085E-2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1954000</v>
      </c>
      <c r="D29" s="76">
        <v>1818000</v>
      </c>
      <c r="E29" s="76">
        <f t="shared" si="2"/>
        <v>-136000</v>
      </c>
      <c r="F29" s="77">
        <f t="shared" si="3"/>
        <v>-6.9600818833162742E-2</v>
      </c>
    </row>
    <row r="30" spans="1:7" ht="23.1" customHeight="1" x14ac:dyDescent="0.2">
      <c r="A30" s="74">
        <v>8</v>
      </c>
      <c r="B30" s="75" t="s">
        <v>89</v>
      </c>
      <c r="C30" s="76">
        <v>4634000</v>
      </c>
      <c r="D30" s="76">
        <v>3290000</v>
      </c>
      <c r="E30" s="76">
        <f t="shared" si="2"/>
        <v>-1344000</v>
      </c>
      <c r="F30" s="77">
        <f t="shared" si="3"/>
        <v>-0.29003021148036257</v>
      </c>
    </row>
    <row r="31" spans="1:7" ht="23.1" customHeight="1" x14ac:dyDescent="0.2">
      <c r="A31" s="74">
        <v>9</v>
      </c>
      <c r="B31" s="75" t="s">
        <v>90</v>
      </c>
      <c r="C31" s="76">
        <v>104231000</v>
      </c>
      <c r="D31" s="76">
        <v>101241000</v>
      </c>
      <c r="E31" s="76">
        <f t="shared" si="2"/>
        <v>-2990000</v>
      </c>
      <c r="F31" s="77">
        <f t="shared" si="3"/>
        <v>-2.8686283351402175E-2</v>
      </c>
    </row>
    <row r="32" spans="1:7" ht="23.1" customHeight="1" x14ac:dyDescent="0.25">
      <c r="A32" s="71"/>
      <c r="B32" s="78" t="s">
        <v>91</v>
      </c>
      <c r="C32" s="79">
        <f>SUM(C23:C31)</f>
        <v>456701000</v>
      </c>
      <c r="D32" s="79">
        <f>SUM(D23:D31)</f>
        <v>464057000</v>
      </c>
      <c r="E32" s="79">
        <f t="shared" si="2"/>
        <v>7356000</v>
      </c>
      <c r="F32" s="80">
        <f t="shared" si="3"/>
        <v>1.6106818246511393E-2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17916000</v>
      </c>
      <c r="D34" s="79">
        <f>+D20-D32</f>
        <v>16401000</v>
      </c>
      <c r="E34" s="79">
        <f>D34-C34</f>
        <v>-1515000</v>
      </c>
      <c r="F34" s="80">
        <f>IF(C34=0,0,E34/C34)</f>
        <v>-8.4561286001339581E-2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28742000</v>
      </c>
      <c r="D37" s="76">
        <v>26670000</v>
      </c>
      <c r="E37" s="76">
        <f>D37-C37</f>
        <v>-2072000</v>
      </c>
      <c r="F37" s="77">
        <f>IF(C37=0,0,E37/C37)</f>
        <v>-7.2089624939113486E-2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-1563000</v>
      </c>
      <c r="D39" s="76">
        <v>-1630000</v>
      </c>
      <c r="E39" s="76">
        <f>D39-C39</f>
        <v>-67000</v>
      </c>
      <c r="F39" s="77">
        <f>IF(C39=0,0,E39/C39)</f>
        <v>4.2866282789507361E-2</v>
      </c>
    </row>
    <row r="40" spans="1:6" ht="23.1" customHeight="1" x14ac:dyDescent="0.25">
      <c r="A40" s="83"/>
      <c r="B40" s="78" t="s">
        <v>97</v>
      </c>
      <c r="C40" s="79">
        <f>SUM(C37:C39)</f>
        <v>27179000</v>
      </c>
      <c r="D40" s="79">
        <f>SUM(D37:D39)</f>
        <v>25040000</v>
      </c>
      <c r="E40" s="79">
        <f>D40-C40</f>
        <v>-2139000</v>
      </c>
      <c r="F40" s="80">
        <f>IF(C40=0,0,E40/C40)</f>
        <v>-7.8700467272526581E-2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45095000</v>
      </c>
      <c r="D42" s="79">
        <f>D34+D40</f>
        <v>41441000</v>
      </c>
      <c r="E42" s="79">
        <f>D42-C42</f>
        <v>-3654000</v>
      </c>
      <c r="F42" s="80">
        <f>IF(C42=0,0,E42/C42)</f>
        <v>-8.1028938906752418E-2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45095000</v>
      </c>
      <c r="D49" s="79">
        <f>D42+D47</f>
        <v>41441000</v>
      </c>
      <c r="E49" s="79">
        <f>D49-C49</f>
        <v>-3654000</v>
      </c>
      <c r="F49" s="80">
        <f>IF(C49=0,0,E49/C49)</f>
        <v>-8.1028938906752418E-2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FILING&amp;R&amp;8ST VINCENTS HEALTH SERVICES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2015-07-08T14:04:10Z</cp:lastPrinted>
  <dcterms:created xsi:type="dcterms:W3CDTF">2015-07-08T14:00:48Z</dcterms:created>
  <dcterms:modified xsi:type="dcterms:W3CDTF">2015-07-08T14:04:42Z</dcterms:modified>
</cp:coreProperties>
</file>