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355" windowHeight="10560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Report485!$A$11:$F$30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45621"/>
</workbook>
</file>

<file path=xl/calcChain.xml><?xml version="1.0" encoding="utf-8"?>
<calcChain xmlns="http://schemas.openxmlformats.org/spreadsheetml/2006/main">
  <c r="E97" i="22" l="1"/>
  <c r="D97" i="22"/>
  <c r="C97" i="22"/>
  <c r="E96" i="22"/>
  <c r="E98" i="22" s="1"/>
  <c r="D96" i="22"/>
  <c r="D98" i="22" s="1"/>
  <c r="C96" i="22"/>
  <c r="C98" i="22"/>
  <c r="E92" i="22"/>
  <c r="E93" i="22" s="1"/>
  <c r="D92" i="22"/>
  <c r="D93" i="22" s="1"/>
  <c r="C92" i="22"/>
  <c r="E91" i="22"/>
  <c r="D91" i="22"/>
  <c r="C91" i="22"/>
  <c r="C93" i="22" s="1"/>
  <c r="E87" i="22"/>
  <c r="D87" i="22"/>
  <c r="C87" i="22"/>
  <c r="E86" i="22"/>
  <c r="D86" i="22"/>
  <c r="D88" i="22"/>
  <c r="C86" i="22"/>
  <c r="C88" i="22" s="1"/>
  <c r="E83" i="22"/>
  <c r="E102" i="22" s="1"/>
  <c r="D83" i="22"/>
  <c r="C83" i="22"/>
  <c r="C101" i="22"/>
  <c r="E76" i="22"/>
  <c r="D76" i="22"/>
  <c r="D102" i="22" s="1"/>
  <c r="C76" i="22"/>
  <c r="E75" i="22"/>
  <c r="E77" i="22"/>
  <c r="D75" i="22"/>
  <c r="D77" i="22"/>
  <c r="C75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34" i="22"/>
  <c r="E28" i="22"/>
  <c r="D28" i="22"/>
  <c r="C28" i="22"/>
  <c r="E27" i="22"/>
  <c r="D27" i="22"/>
  <c r="C27" i="22"/>
  <c r="E21" i="22"/>
  <c r="D21" i="22"/>
  <c r="C21" i="22"/>
  <c r="E12" i="22"/>
  <c r="D12" i="22"/>
  <c r="D22" i="22" s="1"/>
  <c r="C12" i="22"/>
  <c r="C34" i="22" s="1"/>
  <c r="C33" i="22"/>
  <c r="D21" i="21"/>
  <c r="C21" i="21"/>
  <c r="D19" i="21"/>
  <c r="E19" i="21" s="1"/>
  <c r="C19" i="21"/>
  <c r="F17" i="21"/>
  <c r="E17" i="21"/>
  <c r="E15" i="21"/>
  <c r="F15" i="21" s="1"/>
  <c r="D45" i="20"/>
  <c r="E45" i="20"/>
  <c r="C45" i="20"/>
  <c r="F45" i="20" s="1"/>
  <c r="D44" i="20"/>
  <c r="E44" i="20" s="1"/>
  <c r="C44" i="20"/>
  <c r="D43" i="20"/>
  <c r="C43" i="20"/>
  <c r="D36" i="20"/>
  <c r="D40" i="20" s="1"/>
  <c r="C36" i="20"/>
  <c r="F35" i="20"/>
  <c r="E35" i="20"/>
  <c r="E34" i="20"/>
  <c r="E33" i="20"/>
  <c r="F33" i="20" s="1"/>
  <c r="F30" i="20"/>
  <c r="E30" i="20"/>
  <c r="E29" i="20"/>
  <c r="F29" i="20" s="1"/>
  <c r="E28" i="20"/>
  <c r="F28" i="20" s="1"/>
  <c r="F27" i="20"/>
  <c r="E27" i="20"/>
  <c r="D25" i="20"/>
  <c r="D39" i="20" s="1"/>
  <c r="C25" i="20"/>
  <c r="C39" i="20"/>
  <c r="E39" i="20" s="1"/>
  <c r="E24" i="20"/>
  <c r="F24" i="20" s="1"/>
  <c r="F23" i="20"/>
  <c r="E23" i="20"/>
  <c r="E25" i="20" s="1"/>
  <c r="F25" i="20" s="1"/>
  <c r="F22" i="20"/>
  <c r="E22" i="20"/>
  <c r="D19" i="20"/>
  <c r="D20" i="20"/>
  <c r="C19" i="20"/>
  <c r="E18" i="20"/>
  <c r="F18" i="20" s="1"/>
  <c r="D16" i="20"/>
  <c r="E16" i="20" s="1"/>
  <c r="C16" i="20"/>
  <c r="E15" i="20"/>
  <c r="F15" i="20" s="1"/>
  <c r="E13" i="20"/>
  <c r="F13" i="20" s="1"/>
  <c r="F12" i="20"/>
  <c r="E12" i="20"/>
  <c r="C137" i="19"/>
  <c r="C139" i="19"/>
  <c r="C143" i="19" s="1"/>
  <c r="C115" i="19"/>
  <c r="C105" i="19"/>
  <c r="C96" i="19"/>
  <c r="C95" i="19"/>
  <c r="C89" i="19"/>
  <c r="C88" i="19"/>
  <c r="C83" i="19"/>
  <c r="C77" i="19"/>
  <c r="C78" i="19"/>
  <c r="C63" i="19"/>
  <c r="C60" i="19"/>
  <c r="C59" i="19"/>
  <c r="C48" i="19"/>
  <c r="C36" i="19"/>
  <c r="C32" i="19"/>
  <c r="C33" i="19"/>
  <c r="C21" i="19"/>
  <c r="C37" i="19" s="1"/>
  <c r="E328" i="18"/>
  <c r="E325" i="18"/>
  <c r="D324" i="18"/>
  <c r="D326" i="18" s="1"/>
  <c r="C324" i="18"/>
  <c r="C326" i="18"/>
  <c r="E318" i="18"/>
  <c r="E315" i="18"/>
  <c r="D314" i="18"/>
  <c r="D316" i="18"/>
  <c r="C314" i="18"/>
  <c r="C316" i="18" s="1"/>
  <c r="C320" i="18"/>
  <c r="E308" i="18"/>
  <c r="E305" i="18"/>
  <c r="D301" i="18"/>
  <c r="C301" i="18"/>
  <c r="D293" i="18"/>
  <c r="E293" i="18" s="1"/>
  <c r="C293" i="18"/>
  <c r="D292" i="18"/>
  <c r="C292" i="18"/>
  <c r="E292" i="18"/>
  <c r="D291" i="18"/>
  <c r="C291" i="18"/>
  <c r="E291" i="18" s="1"/>
  <c r="D290" i="18"/>
  <c r="C290" i="18"/>
  <c r="E290" i="18"/>
  <c r="D288" i="18"/>
  <c r="C288" i="18"/>
  <c r="D287" i="18"/>
  <c r="E287" i="18"/>
  <c r="C287" i="18"/>
  <c r="D282" i="18"/>
  <c r="C282" i="18"/>
  <c r="E282" i="18" s="1"/>
  <c r="D281" i="18"/>
  <c r="E281" i="18" s="1"/>
  <c r="C281" i="18"/>
  <c r="D280" i="18"/>
  <c r="E280" i="18" s="1"/>
  <c r="C280" i="18"/>
  <c r="D279" i="18"/>
  <c r="C279" i="18"/>
  <c r="D278" i="18"/>
  <c r="C278" i="18"/>
  <c r="E278" i="18"/>
  <c r="D277" i="18"/>
  <c r="C277" i="18"/>
  <c r="D276" i="18"/>
  <c r="E276" i="18" s="1"/>
  <c r="C276" i="18"/>
  <c r="E270" i="18"/>
  <c r="D265" i="18"/>
  <c r="C265" i="18"/>
  <c r="C302" i="18" s="1"/>
  <c r="D262" i="18"/>
  <c r="C262" i="18"/>
  <c r="E262" i="18"/>
  <c r="D251" i="18"/>
  <c r="E251" i="18" s="1"/>
  <c r="C251" i="18"/>
  <c r="C242" i="18"/>
  <c r="E242" i="18" s="1"/>
  <c r="D233" i="18"/>
  <c r="E233" i="18" s="1"/>
  <c r="C233" i="18"/>
  <c r="D232" i="18"/>
  <c r="E232" i="18"/>
  <c r="C232" i="18"/>
  <c r="D231" i="18"/>
  <c r="C231" i="18"/>
  <c r="D230" i="18"/>
  <c r="E230" i="18" s="1"/>
  <c r="C230" i="18"/>
  <c r="D228" i="18"/>
  <c r="E228" i="18"/>
  <c r="C228" i="18"/>
  <c r="D227" i="18"/>
  <c r="C227" i="18"/>
  <c r="E227" i="18"/>
  <c r="D221" i="18"/>
  <c r="E221" i="18" s="1"/>
  <c r="C221" i="18"/>
  <c r="C245" i="18"/>
  <c r="D220" i="18"/>
  <c r="D244" i="18" s="1"/>
  <c r="C220" i="18"/>
  <c r="E220" i="18"/>
  <c r="D219" i="18"/>
  <c r="C219" i="18"/>
  <c r="C243" i="18"/>
  <c r="D218" i="18"/>
  <c r="D242" i="18" s="1"/>
  <c r="C218" i="18"/>
  <c r="C217" i="18" s="1"/>
  <c r="C241" i="18" s="1"/>
  <c r="D216" i="18"/>
  <c r="D240" i="18" s="1"/>
  <c r="C216" i="18"/>
  <c r="C240" i="18"/>
  <c r="D215" i="18"/>
  <c r="E215" i="18" s="1"/>
  <c r="C215" i="18"/>
  <c r="C239" i="18"/>
  <c r="E209" i="18"/>
  <c r="E208" i="18"/>
  <c r="E207" i="18"/>
  <c r="E206" i="18"/>
  <c r="D205" i="18"/>
  <c r="D210" i="18" s="1"/>
  <c r="D229" i="18"/>
  <c r="C205" i="18"/>
  <c r="C210" i="18" s="1"/>
  <c r="E204" i="18"/>
  <c r="E203" i="18"/>
  <c r="E197" i="18"/>
  <c r="E196" i="18"/>
  <c r="D195" i="18"/>
  <c r="C195" i="18"/>
  <c r="C260" i="18" s="1"/>
  <c r="E194" i="18"/>
  <c r="E193" i="18"/>
  <c r="E192" i="18"/>
  <c r="E191" i="18"/>
  <c r="E190" i="18"/>
  <c r="D188" i="18"/>
  <c r="D261" i="18" s="1"/>
  <c r="E261" i="18" s="1"/>
  <c r="C188" i="18"/>
  <c r="E186" i="18"/>
  <c r="E185" i="18"/>
  <c r="D179" i="18"/>
  <c r="C179" i="18"/>
  <c r="E179" i="18"/>
  <c r="D178" i="18"/>
  <c r="C178" i="18"/>
  <c r="E178" i="18" s="1"/>
  <c r="D177" i="18"/>
  <c r="C177" i="18"/>
  <c r="E177" i="18"/>
  <c r="D176" i="18"/>
  <c r="E176" i="18"/>
  <c r="C176" i="18"/>
  <c r="D174" i="18"/>
  <c r="E174" i="18" s="1"/>
  <c r="C174" i="18"/>
  <c r="D173" i="18"/>
  <c r="C173" i="18"/>
  <c r="E173" i="18" s="1"/>
  <c r="D167" i="18"/>
  <c r="C167" i="18"/>
  <c r="E167" i="18" s="1"/>
  <c r="D166" i="18"/>
  <c r="C166" i="18"/>
  <c r="E166" i="18"/>
  <c r="D165" i="18"/>
  <c r="E165" i="18"/>
  <c r="C165" i="18"/>
  <c r="D164" i="18"/>
  <c r="C164" i="18"/>
  <c r="D162" i="18"/>
  <c r="C162" i="18"/>
  <c r="E162" i="18" s="1"/>
  <c r="D161" i="18"/>
  <c r="E161" i="18" s="1"/>
  <c r="C161" i="18"/>
  <c r="D156" i="18"/>
  <c r="D157" i="18" s="1"/>
  <c r="E155" i="18"/>
  <c r="E154" i="18"/>
  <c r="E153" i="18"/>
  <c r="E152" i="18"/>
  <c r="D151" i="18"/>
  <c r="C151" i="18"/>
  <c r="E151" i="18"/>
  <c r="E150" i="18"/>
  <c r="E149" i="18"/>
  <c r="E143" i="18"/>
  <c r="E142" i="18"/>
  <c r="E141" i="18"/>
  <c r="E140" i="18"/>
  <c r="D139" i="18"/>
  <c r="D163" i="18" s="1"/>
  <c r="C139" i="18"/>
  <c r="C175" i="18" s="1"/>
  <c r="E138" i="18"/>
  <c r="E137" i="18"/>
  <c r="D75" i="18"/>
  <c r="E75" i="18" s="1"/>
  <c r="C75" i="18"/>
  <c r="D74" i="18"/>
  <c r="E74" i="18"/>
  <c r="C74" i="18"/>
  <c r="D73" i="18"/>
  <c r="E73" i="18" s="1"/>
  <c r="C73" i="18"/>
  <c r="D72" i="18"/>
  <c r="E72" i="18" s="1"/>
  <c r="C72" i="18"/>
  <c r="C71" i="18"/>
  <c r="C76" i="18" s="1"/>
  <c r="C77" i="18" s="1"/>
  <c r="D70" i="18"/>
  <c r="E70" i="18"/>
  <c r="C70" i="18"/>
  <c r="D69" i="18"/>
  <c r="C69" i="18"/>
  <c r="C65" i="18"/>
  <c r="C66" i="18"/>
  <c r="E66" i="18" s="1"/>
  <c r="E64" i="18"/>
  <c r="E63" i="18"/>
  <c r="E62" i="18"/>
  <c r="E61" i="18"/>
  <c r="D60" i="18"/>
  <c r="C60" i="18"/>
  <c r="C289" i="18"/>
  <c r="E59" i="18"/>
  <c r="E58" i="18"/>
  <c r="D54" i="18"/>
  <c r="C54" i="18"/>
  <c r="C55" i="18" s="1"/>
  <c r="E53" i="18"/>
  <c r="E52" i="18"/>
  <c r="E51" i="18"/>
  <c r="E50" i="18"/>
  <c r="E49" i="18"/>
  <c r="E48" i="18"/>
  <c r="E47" i="18"/>
  <c r="D42" i="18"/>
  <c r="C42" i="18"/>
  <c r="E42" i="18" s="1"/>
  <c r="D41" i="18"/>
  <c r="C41" i="18"/>
  <c r="D40" i="18"/>
  <c r="E40" i="18" s="1"/>
  <c r="C40" i="18"/>
  <c r="D39" i="18"/>
  <c r="E39" i="18" s="1"/>
  <c r="C39" i="18"/>
  <c r="D38" i="18"/>
  <c r="C38" i="18"/>
  <c r="D37" i="18"/>
  <c r="C37" i="18"/>
  <c r="E37" i="18"/>
  <c r="D36" i="18"/>
  <c r="C36" i="18"/>
  <c r="E36" i="18" s="1"/>
  <c r="D32" i="18"/>
  <c r="C32" i="18"/>
  <c r="E31" i="18"/>
  <c r="E30" i="18"/>
  <c r="E29" i="18"/>
  <c r="E28" i="18"/>
  <c r="E27" i="18"/>
  <c r="E26" i="18"/>
  <c r="E25" i="18"/>
  <c r="D21" i="18"/>
  <c r="C21" i="18"/>
  <c r="E20" i="18"/>
  <c r="E19" i="18"/>
  <c r="E18" i="18"/>
  <c r="E17" i="18"/>
  <c r="E16" i="18"/>
  <c r="E15" i="18"/>
  <c r="E14" i="18"/>
  <c r="E335" i="17"/>
  <c r="F335" i="17" s="1"/>
  <c r="F334" i="17"/>
  <c r="E334" i="17"/>
  <c r="E333" i="17"/>
  <c r="F333" i="17" s="1"/>
  <c r="E332" i="17"/>
  <c r="F332" i="17" s="1"/>
  <c r="E331" i="17"/>
  <c r="F331" i="17" s="1"/>
  <c r="F330" i="17"/>
  <c r="E330" i="17"/>
  <c r="E329" i="17"/>
  <c r="F329" i="17" s="1"/>
  <c r="F316" i="17"/>
  <c r="E316" i="17"/>
  <c r="D311" i="17"/>
  <c r="E311" i="17"/>
  <c r="C311" i="17"/>
  <c r="F311" i="17" s="1"/>
  <c r="E308" i="17"/>
  <c r="F308" i="17"/>
  <c r="D307" i="17"/>
  <c r="E307" i="17" s="1"/>
  <c r="C307" i="17"/>
  <c r="D299" i="17"/>
  <c r="C299" i="17"/>
  <c r="D298" i="17"/>
  <c r="C298" i="17"/>
  <c r="E298" i="17" s="1"/>
  <c r="D297" i="17"/>
  <c r="C297" i="17"/>
  <c r="D296" i="17"/>
  <c r="C296" i="17"/>
  <c r="D295" i="17"/>
  <c r="C295" i="17"/>
  <c r="D294" i="17"/>
  <c r="C294" i="17"/>
  <c r="D250" i="17"/>
  <c r="D306" i="17"/>
  <c r="C250" i="17"/>
  <c r="C306" i="17"/>
  <c r="F249" i="17"/>
  <c r="E249" i="17"/>
  <c r="E248" i="17"/>
  <c r="F248" i="17" s="1"/>
  <c r="F245" i="17"/>
  <c r="E245" i="17"/>
  <c r="E244" i="17"/>
  <c r="F244" i="17" s="1"/>
  <c r="F243" i="17"/>
  <c r="E243" i="17"/>
  <c r="D238" i="17"/>
  <c r="D239" i="17" s="1"/>
  <c r="C238" i="17"/>
  <c r="E238" i="17" s="1"/>
  <c r="D237" i="17"/>
  <c r="C237" i="17"/>
  <c r="E234" i="17"/>
  <c r="F234" i="17" s="1"/>
  <c r="E233" i="17"/>
  <c r="F233" i="17" s="1"/>
  <c r="D230" i="17"/>
  <c r="E230" i="17"/>
  <c r="F230" i="17"/>
  <c r="C230" i="17"/>
  <c r="D229" i="17"/>
  <c r="E229" i="17"/>
  <c r="C229" i="17"/>
  <c r="F229" i="17" s="1"/>
  <c r="E228" i="17"/>
  <c r="F228" i="17"/>
  <c r="D226" i="17"/>
  <c r="E226" i="17" s="1"/>
  <c r="C226" i="17"/>
  <c r="C227" i="17"/>
  <c r="E225" i="17"/>
  <c r="F225" i="17" s="1"/>
  <c r="E224" i="17"/>
  <c r="F224" i="17"/>
  <c r="D223" i="17"/>
  <c r="C223" i="17"/>
  <c r="E223" i="17" s="1"/>
  <c r="E222" i="17"/>
  <c r="F222" i="17" s="1"/>
  <c r="E221" i="17"/>
  <c r="F221" i="17"/>
  <c r="D204" i="17"/>
  <c r="C204" i="17"/>
  <c r="C285" i="17"/>
  <c r="D203" i="17"/>
  <c r="C203" i="17"/>
  <c r="C283" i="17" s="1"/>
  <c r="D198" i="17"/>
  <c r="C198" i="17"/>
  <c r="D191" i="17"/>
  <c r="C191" i="17"/>
  <c r="C280" i="17"/>
  <c r="D189" i="17"/>
  <c r="C189" i="17"/>
  <c r="C278" i="17"/>
  <c r="D188" i="17"/>
  <c r="C188" i="17"/>
  <c r="C277" i="17"/>
  <c r="D180" i="17"/>
  <c r="E180" i="17"/>
  <c r="C180" i="17"/>
  <c r="F180" i="17" s="1"/>
  <c r="D179" i="17"/>
  <c r="C179" i="17"/>
  <c r="D171" i="17"/>
  <c r="E171" i="17" s="1"/>
  <c r="C171" i="17"/>
  <c r="D170" i="17"/>
  <c r="E170" i="17"/>
  <c r="F170" i="17"/>
  <c r="C170" i="17"/>
  <c r="E169" i="17"/>
  <c r="F169" i="17"/>
  <c r="E168" i="17"/>
  <c r="F168" i="17"/>
  <c r="D165" i="17"/>
  <c r="E165" i="17"/>
  <c r="F165" i="17"/>
  <c r="C165" i="17"/>
  <c r="D164" i="17"/>
  <c r="E164" i="17"/>
  <c r="C164" i="17"/>
  <c r="F164" i="17" s="1"/>
  <c r="E163" i="17"/>
  <c r="F163" i="17" s="1"/>
  <c r="D158" i="17"/>
  <c r="C158" i="17"/>
  <c r="E157" i="17"/>
  <c r="F157" i="17"/>
  <c r="E156" i="17"/>
  <c r="F156" i="17"/>
  <c r="D155" i="17"/>
  <c r="E155" i="17"/>
  <c r="F155" i="17"/>
  <c r="C155" i="17"/>
  <c r="E154" i="17"/>
  <c r="F154" i="17"/>
  <c r="E153" i="17"/>
  <c r="F153" i="17"/>
  <c r="D145" i="17"/>
  <c r="E145" i="17"/>
  <c r="F145" i="17"/>
  <c r="C145" i="17"/>
  <c r="D144" i="17"/>
  <c r="E144" i="17"/>
  <c r="C144" i="17"/>
  <c r="D136" i="17"/>
  <c r="E136" i="17"/>
  <c r="C136" i="17"/>
  <c r="F136" i="17" s="1"/>
  <c r="C137" i="17"/>
  <c r="D135" i="17"/>
  <c r="E135" i="17"/>
  <c r="C135" i="17"/>
  <c r="E134" i="17"/>
  <c r="F134" i="17" s="1"/>
  <c r="E133" i="17"/>
  <c r="F133" i="17"/>
  <c r="D130" i="17"/>
  <c r="E130" i="17"/>
  <c r="F130" i="17" s="1"/>
  <c r="C130" i="17"/>
  <c r="D129" i="17"/>
  <c r="E129" i="17"/>
  <c r="C129" i="17"/>
  <c r="F129" i="17" s="1"/>
  <c r="E128" i="17"/>
  <c r="F128" i="17" s="1"/>
  <c r="D123" i="17"/>
  <c r="D124" i="17" s="1"/>
  <c r="C123" i="17"/>
  <c r="E122" i="17"/>
  <c r="F122" i="17" s="1"/>
  <c r="E121" i="17"/>
  <c r="F121" i="17"/>
  <c r="D120" i="17"/>
  <c r="E120" i="17" s="1"/>
  <c r="C120" i="17"/>
  <c r="E119" i="17"/>
  <c r="F119" i="17" s="1"/>
  <c r="E118" i="17"/>
  <c r="F118" i="17"/>
  <c r="D110" i="17"/>
  <c r="E110" i="17" s="1"/>
  <c r="C110" i="17"/>
  <c r="D109" i="17"/>
  <c r="C109" i="17"/>
  <c r="C111" i="17"/>
  <c r="D101" i="17"/>
  <c r="D102" i="17" s="1"/>
  <c r="C101" i="17"/>
  <c r="C102" i="17"/>
  <c r="D100" i="17"/>
  <c r="F100" i="17"/>
  <c r="C100" i="17"/>
  <c r="E100" i="17" s="1"/>
  <c r="E99" i="17"/>
  <c r="F99" i="17" s="1"/>
  <c r="E98" i="17"/>
  <c r="F98" i="17"/>
  <c r="D95" i="17"/>
  <c r="F95" i="17"/>
  <c r="C95" i="17"/>
  <c r="E95" i="17" s="1"/>
  <c r="D94" i="17"/>
  <c r="E94" i="17" s="1"/>
  <c r="C94" i="17"/>
  <c r="E93" i="17"/>
  <c r="F93" i="17"/>
  <c r="D88" i="17"/>
  <c r="D89" i="17"/>
  <c r="E89" i="17"/>
  <c r="C88" i="17"/>
  <c r="C89" i="17"/>
  <c r="E87" i="17"/>
  <c r="F87" i="17" s="1"/>
  <c r="E86" i="17"/>
  <c r="F86" i="17"/>
  <c r="D85" i="17"/>
  <c r="E85" i="17"/>
  <c r="C85" i="17"/>
  <c r="F85" i="17" s="1"/>
  <c r="E84" i="17"/>
  <c r="F84" i="17" s="1"/>
  <c r="E83" i="17"/>
  <c r="F83" i="17"/>
  <c r="D76" i="17"/>
  <c r="D77" i="17"/>
  <c r="C76" i="17"/>
  <c r="E74" i="17"/>
  <c r="F74" i="17"/>
  <c r="E73" i="17"/>
  <c r="F73" i="17"/>
  <c r="D67" i="17"/>
  <c r="C67" i="17"/>
  <c r="D66" i="17"/>
  <c r="C66" i="17"/>
  <c r="C60" i="17"/>
  <c r="D59" i="17"/>
  <c r="D60" i="17"/>
  <c r="D61" i="17"/>
  <c r="C59" i="17"/>
  <c r="D58" i="17"/>
  <c r="C58" i="17"/>
  <c r="E57" i="17"/>
  <c r="F57" i="17"/>
  <c r="E56" i="17"/>
  <c r="F56" i="17"/>
  <c r="D53" i="17"/>
  <c r="C53" i="17"/>
  <c r="D52" i="17"/>
  <c r="C52" i="17"/>
  <c r="E51" i="17"/>
  <c r="F51" i="17"/>
  <c r="D47" i="17"/>
  <c r="D48" i="17"/>
  <c r="C47" i="17"/>
  <c r="C48" i="17" s="1"/>
  <c r="E46" i="17"/>
  <c r="F46" i="17" s="1"/>
  <c r="E45" i="17"/>
  <c r="F45" i="17"/>
  <c r="D44" i="17"/>
  <c r="C44" i="17"/>
  <c r="E43" i="17"/>
  <c r="F43" i="17"/>
  <c r="E42" i="17"/>
  <c r="F42" i="17" s="1"/>
  <c r="D36" i="17"/>
  <c r="C36" i="17"/>
  <c r="D35" i="17"/>
  <c r="D37" i="17"/>
  <c r="C35" i="17"/>
  <c r="D30" i="17"/>
  <c r="D31" i="17"/>
  <c r="D32" i="17" s="1"/>
  <c r="C30" i="17"/>
  <c r="C31" i="17"/>
  <c r="D29" i="17"/>
  <c r="C29" i="17"/>
  <c r="E28" i="17"/>
  <c r="F28" i="17"/>
  <c r="E27" i="17"/>
  <c r="F27" i="17" s="1"/>
  <c r="D24" i="17"/>
  <c r="C24" i="17"/>
  <c r="D23" i="17"/>
  <c r="C23" i="17"/>
  <c r="E22" i="17"/>
  <c r="F22" i="17"/>
  <c r="D20" i="17"/>
  <c r="C20" i="17"/>
  <c r="E19" i="17"/>
  <c r="F19" i="17"/>
  <c r="E18" i="17"/>
  <c r="F18" i="17"/>
  <c r="D17" i="17"/>
  <c r="C17" i="17"/>
  <c r="E16" i="17"/>
  <c r="F16" i="17"/>
  <c r="E15" i="17"/>
  <c r="F15" i="17"/>
  <c r="D23" i="16"/>
  <c r="E23" i="16"/>
  <c r="F23" i="16"/>
  <c r="C23" i="16"/>
  <c r="E22" i="16"/>
  <c r="F22" i="16" s="1"/>
  <c r="D19" i="16"/>
  <c r="F19" i="16"/>
  <c r="C19" i="16"/>
  <c r="E19" i="16" s="1"/>
  <c r="F18" i="16"/>
  <c r="E18" i="16"/>
  <c r="E17" i="16"/>
  <c r="F17" i="16" s="1"/>
  <c r="D14" i="16"/>
  <c r="C14" i="16"/>
  <c r="F13" i="16"/>
  <c r="E13" i="16"/>
  <c r="E12" i="16"/>
  <c r="F12" i="16" s="1"/>
  <c r="D107" i="15"/>
  <c r="C107" i="15"/>
  <c r="E107" i="15" s="1"/>
  <c r="F106" i="15"/>
  <c r="E106" i="15"/>
  <c r="E105" i="15"/>
  <c r="F105" i="15" s="1"/>
  <c r="E104" i="15"/>
  <c r="F104" i="15" s="1"/>
  <c r="D100" i="15"/>
  <c r="E100" i="15"/>
  <c r="F100" i="15" s="1"/>
  <c r="C100" i="15"/>
  <c r="E99" i="15"/>
  <c r="F99" i="15" s="1"/>
  <c r="E98" i="15"/>
  <c r="F98" i="15" s="1"/>
  <c r="F97" i="15"/>
  <c r="E97" i="15"/>
  <c r="F96" i="15"/>
  <c r="E96" i="15"/>
  <c r="E95" i="15"/>
  <c r="F95" i="15" s="1"/>
  <c r="D92" i="15"/>
  <c r="C92" i="15"/>
  <c r="F91" i="15"/>
  <c r="E91" i="15"/>
  <c r="F90" i="15"/>
  <c r="E90" i="15"/>
  <c r="E89" i="15"/>
  <c r="F89" i="15" s="1"/>
  <c r="F88" i="15"/>
  <c r="E88" i="15"/>
  <c r="F87" i="15"/>
  <c r="E87" i="15"/>
  <c r="E86" i="15"/>
  <c r="F86" i="15" s="1"/>
  <c r="E85" i="15"/>
  <c r="F85" i="15" s="1"/>
  <c r="F84" i="15"/>
  <c r="E84" i="15"/>
  <c r="F83" i="15"/>
  <c r="E83" i="15"/>
  <c r="F82" i="15"/>
  <c r="E82" i="15"/>
  <c r="F81" i="15"/>
  <c r="E81" i="15"/>
  <c r="F80" i="15"/>
  <c r="E80" i="15"/>
  <c r="F79" i="15"/>
  <c r="E79" i="15"/>
  <c r="D75" i="15"/>
  <c r="C75" i="15"/>
  <c r="E74" i="15"/>
  <c r="F74" i="15" s="1"/>
  <c r="E73" i="15"/>
  <c r="F73" i="15" s="1"/>
  <c r="E75" i="15"/>
  <c r="D70" i="15"/>
  <c r="E70" i="15"/>
  <c r="C70" i="15"/>
  <c r="F70" i="15" s="1"/>
  <c r="F69" i="15"/>
  <c r="E69" i="15"/>
  <c r="F68" i="15"/>
  <c r="E68" i="15"/>
  <c r="D65" i="15"/>
  <c r="E65" i="15"/>
  <c r="C65" i="15"/>
  <c r="F64" i="15"/>
  <c r="E64" i="15"/>
  <c r="F63" i="15"/>
  <c r="E63" i="15"/>
  <c r="D60" i="15"/>
  <c r="C60" i="15"/>
  <c r="E59" i="15"/>
  <c r="F59" i="15" s="1"/>
  <c r="E58" i="15"/>
  <c r="D55" i="15"/>
  <c r="E55" i="15"/>
  <c r="C55" i="15"/>
  <c r="F55" i="15" s="1"/>
  <c r="F54" i="15"/>
  <c r="E54" i="15"/>
  <c r="F53" i="15"/>
  <c r="E53" i="15"/>
  <c r="D50" i="15"/>
  <c r="E50" i="15"/>
  <c r="C50" i="15"/>
  <c r="F50" i="15" s="1"/>
  <c r="F49" i="15"/>
  <c r="E49" i="15"/>
  <c r="F48" i="15"/>
  <c r="E48" i="15"/>
  <c r="D45" i="15"/>
  <c r="E45" i="15"/>
  <c r="C45" i="15"/>
  <c r="E44" i="15"/>
  <c r="F44" i="15" s="1"/>
  <c r="F43" i="15"/>
  <c r="E43" i="15"/>
  <c r="D37" i="15"/>
  <c r="E37" i="15"/>
  <c r="C37" i="15"/>
  <c r="F36" i="15"/>
  <c r="E36" i="15"/>
  <c r="F35" i="15"/>
  <c r="E35" i="15"/>
  <c r="E34" i="15"/>
  <c r="F34" i="15" s="1"/>
  <c r="F33" i="15"/>
  <c r="E33" i="15"/>
  <c r="D30" i="15"/>
  <c r="E30" i="15" s="1"/>
  <c r="F30" i="15" s="1"/>
  <c r="C30" i="15"/>
  <c r="F29" i="15"/>
  <c r="E29" i="15"/>
  <c r="F28" i="15"/>
  <c r="E28" i="15"/>
  <c r="F27" i="15"/>
  <c r="E27" i="15"/>
  <c r="F26" i="15"/>
  <c r="E26" i="15"/>
  <c r="D23" i="15"/>
  <c r="E23" i="15"/>
  <c r="C23" i="15"/>
  <c r="F22" i="15"/>
  <c r="E22" i="15"/>
  <c r="F21" i="15"/>
  <c r="E21" i="15"/>
  <c r="E20" i="15"/>
  <c r="F20" i="15" s="1"/>
  <c r="E19" i="15"/>
  <c r="F19" i="15" s="1"/>
  <c r="D16" i="15"/>
  <c r="E16" i="15" s="1"/>
  <c r="F16" i="15" s="1"/>
  <c r="C16" i="15"/>
  <c r="F15" i="15"/>
  <c r="E15" i="15"/>
  <c r="E14" i="15"/>
  <c r="F14" i="15" s="1"/>
  <c r="E13" i="15"/>
  <c r="F13" i="15" s="1"/>
  <c r="F12" i="15"/>
  <c r="E12" i="15"/>
  <c r="I37" i="14"/>
  <c r="H37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G31" i="14" s="1"/>
  <c r="F17" i="14"/>
  <c r="F33" i="14"/>
  <c r="E17" i="14"/>
  <c r="E31" i="14"/>
  <c r="D17" i="14"/>
  <c r="D33" i="14" s="1"/>
  <c r="D36" i="14" s="1"/>
  <c r="D38" i="14" s="1"/>
  <c r="D40" i="14" s="1"/>
  <c r="C17" i="14"/>
  <c r="C31" i="14" s="1"/>
  <c r="I16" i="14"/>
  <c r="H16" i="14"/>
  <c r="I15" i="14"/>
  <c r="H15" i="14"/>
  <c r="I13" i="14"/>
  <c r="H13" i="14"/>
  <c r="I11" i="14"/>
  <c r="H11" i="14"/>
  <c r="E79" i="13"/>
  <c r="D79" i="13"/>
  <c r="C79" i="13"/>
  <c r="E78" i="13"/>
  <c r="E80" i="13" s="1"/>
  <c r="E77" i="13" s="1"/>
  <c r="D78" i="13"/>
  <c r="D80" i="13" s="1"/>
  <c r="D77" i="13" s="1"/>
  <c r="C78" i="13"/>
  <c r="C80" i="13"/>
  <c r="C77" i="13" s="1"/>
  <c r="E73" i="13"/>
  <c r="E75" i="13" s="1"/>
  <c r="D73" i="13"/>
  <c r="D75" i="13"/>
  <c r="C73" i="13"/>
  <c r="C75" i="13" s="1"/>
  <c r="E71" i="13"/>
  <c r="D71" i="13"/>
  <c r="C71" i="13"/>
  <c r="E66" i="13"/>
  <c r="E65" i="13"/>
  <c r="D66" i="13"/>
  <c r="C66" i="13"/>
  <c r="C65" i="13"/>
  <c r="D65" i="13"/>
  <c r="E60" i="13"/>
  <c r="D60" i="13"/>
  <c r="C60" i="13"/>
  <c r="E59" i="13"/>
  <c r="E61" i="13" s="1"/>
  <c r="E57" i="13" s="1"/>
  <c r="E58" i="13"/>
  <c r="D58" i="13"/>
  <c r="C58" i="13"/>
  <c r="E55" i="13"/>
  <c r="D55" i="13"/>
  <c r="D50" i="13" s="1"/>
  <c r="C55" i="13"/>
  <c r="E54" i="13"/>
  <c r="E50" i="13"/>
  <c r="D54" i="13"/>
  <c r="C54" i="13"/>
  <c r="C50" i="13"/>
  <c r="E48" i="13"/>
  <c r="E42" i="13"/>
  <c r="E46" i="13"/>
  <c r="D46" i="13"/>
  <c r="D59" i="13"/>
  <c r="D61" i="13" s="1"/>
  <c r="D57" i="13" s="1"/>
  <c r="C46" i="13"/>
  <c r="E45" i="13"/>
  <c r="D45" i="13"/>
  <c r="C45" i="13"/>
  <c r="E38" i="13"/>
  <c r="D38" i="13"/>
  <c r="C38" i="13"/>
  <c r="E33" i="13"/>
  <c r="E34" i="13"/>
  <c r="D33" i="13"/>
  <c r="D34" i="13"/>
  <c r="E26" i="13"/>
  <c r="D26" i="13"/>
  <c r="C26" i="13"/>
  <c r="C25" i="13"/>
  <c r="C27" i="13"/>
  <c r="E15" i="13"/>
  <c r="E24" i="13" s="1"/>
  <c r="E13" i="13"/>
  <c r="E25" i="13" s="1"/>
  <c r="E27" i="13" s="1"/>
  <c r="E20" i="13" s="1"/>
  <c r="D13" i="13"/>
  <c r="D25" i="13"/>
  <c r="D27" i="13"/>
  <c r="C13" i="13"/>
  <c r="C15" i="13" s="1"/>
  <c r="C24" i="13" s="1"/>
  <c r="D47" i="12"/>
  <c r="C47" i="12"/>
  <c r="E47" i="12" s="1"/>
  <c r="F46" i="12"/>
  <c r="E46" i="12"/>
  <c r="F45" i="12"/>
  <c r="E45" i="12"/>
  <c r="D40" i="12"/>
  <c r="C40" i="12"/>
  <c r="E39" i="12"/>
  <c r="F39" i="12" s="1"/>
  <c r="F38" i="12"/>
  <c r="E38" i="12"/>
  <c r="F37" i="12"/>
  <c r="E37" i="12"/>
  <c r="D32" i="12"/>
  <c r="E32" i="12"/>
  <c r="C32" i="12"/>
  <c r="F32" i="12" s="1"/>
  <c r="E31" i="12"/>
  <c r="F31" i="12" s="1"/>
  <c r="F30" i="12"/>
  <c r="E30" i="12"/>
  <c r="E29" i="12"/>
  <c r="F29" i="12" s="1"/>
  <c r="F28" i="12"/>
  <c r="E28" i="12"/>
  <c r="E27" i="12"/>
  <c r="F27" i="12" s="1"/>
  <c r="F26" i="12"/>
  <c r="E26" i="12"/>
  <c r="E25" i="12"/>
  <c r="F25" i="12" s="1"/>
  <c r="E24" i="12"/>
  <c r="F24" i="12" s="1"/>
  <c r="E23" i="12"/>
  <c r="F23" i="12" s="1"/>
  <c r="F19" i="12"/>
  <c r="E19" i="12"/>
  <c r="E18" i="12"/>
  <c r="F18" i="12" s="1"/>
  <c r="E16" i="12"/>
  <c r="F16" i="12" s="1"/>
  <c r="D15" i="12"/>
  <c r="C15" i="12"/>
  <c r="C17" i="12" s="1"/>
  <c r="F14" i="12"/>
  <c r="E14" i="12"/>
  <c r="E13" i="12"/>
  <c r="F13" i="12" s="1"/>
  <c r="F12" i="12"/>
  <c r="E12" i="12"/>
  <c r="F11" i="12"/>
  <c r="E11" i="12"/>
  <c r="D73" i="11"/>
  <c r="E73" i="11"/>
  <c r="C73" i="11"/>
  <c r="E72" i="11"/>
  <c r="F72" i="11" s="1"/>
  <c r="F71" i="11"/>
  <c r="E71" i="11"/>
  <c r="E70" i="11"/>
  <c r="F70" i="11" s="1"/>
  <c r="F67" i="11"/>
  <c r="E67" i="11"/>
  <c r="E64" i="11"/>
  <c r="F64" i="11" s="1"/>
  <c r="F63" i="11"/>
  <c r="E63" i="11"/>
  <c r="D61" i="11"/>
  <c r="D65" i="11"/>
  <c r="C61" i="11"/>
  <c r="C65" i="11" s="1"/>
  <c r="F60" i="11"/>
  <c r="E60" i="11"/>
  <c r="E59" i="11"/>
  <c r="F59" i="11"/>
  <c r="D56" i="11"/>
  <c r="C56" i="11"/>
  <c r="E55" i="11"/>
  <c r="F55" i="11"/>
  <c r="F54" i="11"/>
  <c r="E54" i="11"/>
  <c r="E53" i="11"/>
  <c r="F53" i="11"/>
  <c r="F52" i="11"/>
  <c r="E52" i="11"/>
  <c r="E51" i="11"/>
  <c r="F51" i="11"/>
  <c r="E50" i="11"/>
  <c r="F50" i="11" s="1"/>
  <c r="A50" i="11"/>
  <c r="A51" i="11"/>
  <c r="A52" i="11"/>
  <c r="A53" i="11" s="1"/>
  <c r="A54" i="11" s="1"/>
  <c r="A55" i="11" s="1"/>
  <c r="E49" i="11"/>
  <c r="F49" i="11"/>
  <c r="E40" i="11"/>
  <c r="F40" i="11" s="1"/>
  <c r="D38" i="11"/>
  <c r="D41" i="11" s="1"/>
  <c r="C38" i="11"/>
  <c r="E37" i="11"/>
  <c r="F37" i="11" s="1"/>
  <c r="E36" i="11"/>
  <c r="F36" i="11"/>
  <c r="E33" i="11"/>
  <c r="F33" i="11"/>
  <c r="E32" i="11"/>
  <c r="F32" i="11"/>
  <c r="F31" i="11"/>
  <c r="E31" i="11"/>
  <c r="D29" i="11"/>
  <c r="C29" i="11"/>
  <c r="E28" i="11"/>
  <c r="F28" i="11"/>
  <c r="F27" i="11"/>
  <c r="E27" i="11"/>
  <c r="F26" i="11"/>
  <c r="E26" i="11"/>
  <c r="E25" i="11"/>
  <c r="F25" i="11"/>
  <c r="D22" i="11"/>
  <c r="D43" i="11"/>
  <c r="C22" i="11"/>
  <c r="E21" i="11"/>
  <c r="F21" i="11"/>
  <c r="E20" i="11"/>
  <c r="F20" i="11"/>
  <c r="E19" i="11"/>
  <c r="F19" i="11" s="1"/>
  <c r="E18" i="11"/>
  <c r="F18" i="11" s="1"/>
  <c r="F17" i="11"/>
  <c r="E17" i="11"/>
  <c r="E16" i="11"/>
  <c r="F16" i="11"/>
  <c r="E15" i="11"/>
  <c r="F15" i="11"/>
  <c r="E14" i="11"/>
  <c r="F14" i="11" s="1"/>
  <c r="E13" i="11"/>
  <c r="F13" i="11"/>
  <c r="D120" i="10"/>
  <c r="C120" i="10"/>
  <c r="F119" i="10"/>
  <c r="D119" i="10"/>
  <c r="C119" i="10"/>
  <c r="E119" i="10" s="1"/>
  <c r="D118" i="10"/>
  <c r="E118" i="10"/>
  <c r="C118" i="10"/>
  <c r="F118" i="10" s="1"/>
  <c r="D117" i="10"/>
  <c r="C117" i="10"/>
  <c r="D116" i="10"/>
  <c r="C116" i="10"/>
  <c r="F115" i="10"/>
  <c r="D115" i="10"/>
  <c r="C115" i="10"/>
  <c r="D114" i="10"/>
  <c r="C114" i="10"/>
  <c r="F113" i="10"/>
  <c r="D113" i="10"/>
  <c r="D122" i="10"/>
  <c r="C113" i="10"/>
  <c r="F112" i="10"/>
  <c r="D112" i="10"/>
  <c r="C112" i="10"/>
  <c r="C121" i="10"/>
  <c r="F121" i="10" s="1"/>
  <c r="D108" i="10"/>
  <c r="E108" i="10" s="1"/>
  <c r="C108" i="10"/>
  <c r="F108" i="10" s="1"/>
  <c r="F107" i="10"/>
  <c r="D107" i="10"/>
  <c r="E107" i="10"/>
  <c r="C107" i="10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F96" i="10"/>
  <c r="D96" i="10"/>
  <c r="E96" i="10" s="1"/>
  <c r="C96" i="10"/>
  <c r="F95" i="10"/>
  <c r="D95" i="10"/>
  <c r="C95" i="10"/>
  <c r="E95" i="10" s="1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F84" i="10"/>
  <c r="D84" i="10"/>
  <c r="E84" i="10"/>
  <c r="C84" i="10"/>
  <c r="D83" i="10"/>
  <c r="C83" i="10"/>
  <c r="F83" i="10" s="1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D72" i="10"/>
  <c r="C72" i="10"/>
  <c r="F71" i="10"/>
  <c r="D71" i="10"/>
  <c r="E71" i="10" s="1"/>
  <c r="C71" i="10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D60" i="10"/>
  <c r="C60" i="10"/>
  <c r="F59" i="10"/>
  <c r="D59" i="10"/>
  <c r="E59" i="10"/>
  <c r="C59" i="10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F48" i="10"/>
  <c r="D48" i="10"/>
  <c r="E48" i="10" s="1"/>
  <c r="C48" i="10"/>
  <c r="D47" i="10"/>
  <c r="C47" i="10"/>
  <c r="E47" i="10" s="1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F36" i="10"/>
  <c r="D36" i="10"/>
  <c r="E36" i="10"/>
  <c r="C36" i="10"/>
  <c r="D35" i="10"/>
  <c r="E35" i="10" s="1"/>
  <c r="C35" i="10"/>
  <c r="F35" i="10" s="1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F24" i="10"/>
  <c r="D24" i="10"/>
  <c r="C24" i="10"/>
  <c r="E24" i="10" s="1"/>
  <c r="F23" i="10"/>
  <c r="D23" i="10"/>
  <c r="E23" i="10" s="1"/>
  <c r="C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C206" i="9"/>
  <c r="D205" i="9"/>
  <c r="E205" i="9"/>
  <c r="F205" i="9"/>
  <c r="C205" i="9"/>
  <c r="D204" i="9"/>
  <c r="E204" i="9"/>
  <c r="C204" i="9"/>
  <c r="D203" i="9"/>
  <c r="E203" i="9"/>
  <c r="F203" i="9"/>
  <c r="C203" i="9"/>
  <c r="D202" i="9"/>
  <c r="C202" i="9"/>
  <c r="D201" i="9"/>
  <c r="E201" i="9"/>
  <c r="F201" i="9"/>
  <c r="C201" i="9"/>
  <c r="D200" i="9"/>
  <c r="C200" i="9"/>
  <c r="D199" i="9"/>
  <c r="D208" i="9"/>
  <c r="E208" i="9"/>
  <c r="C199" i="9"/>
  <c r="C208" i="9"/>
  <c r="D198" i="9"/>
  <c r="D207" i="9" s="1"/>
  <c r="C198" i="9"/>
  <c r="D193" i="9"/>
  <c r="C193" i="9"/>
  <c r="D192" i="9"/>
  <c r="E192" i="9" s="1"/>
  <c r="C192" i="9"/>
  <c r="F191" i="9"/>
  <c r="E191" i="9"/>
  <c r="F190" i="9"/>
  <c r="E190" i="9"/>
  <c r="E189" i="9"/>
  <c r="F189" i="9" s="1"/>
  <c r="F188" i="9"/>
  <c r="E188" i="9"/>
  <c r="F187" i="9"/>
  <c r="E187" i="9"/>
  <c r="E186" i="9"/>
  <c r="F186" i="9" s="1"/>
  <c r="E185" i="9"/>
  <c r="F185" i="9" s="1"/>
  <c r="F184" i="9"/>
  <c r="E184" i="9"/>
  <c r="F183" i="9"/>
  <c r="E183" i="9"/>
  <c r="D180" i="9"/>
  <c r="E180" i="9" s="1"/>
  <c r="C180" i="9"/>
  <c r="F180" i="9" s="1"/>
  <c r="F179" i="9"/>
  <c r="D179" i="9"/>
  <c r="E179" i="9"/>
  <c r="C179" i="9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F167" i="9"/>
  <c r="D167" i="9"/>
  <c r="E167" i="9" s="1"/>
  <c r="C167" i="9"/>
  <c r="F166" i="9"/>
  <c r="D166" i="9"/>
  <c r="E166" i="9"/>
  <c r="C166" i="9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F154" i="9"/>
  <c r="D154" i="9"/>
  <c r="E154" i="9"/>
  <c r="C154" i="9"/>
  <c r="F153" i="9"/>
  <c r="D153" i="9"/>
  <c r="E153" i="9"/>
  <c r="C153" i="9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D141" i="9"/>
  <c r="E141" i="9" s="1"/>
  <c r="F141" i="9"/>
  <c r="C141" i="9"/>
  <c r="D140" i="9"/>
  <c r="E140" i="9"/>
  <c r="C140" i="9"/>
  <c r="F139" i="9"/>
  <c r="E139" i="9"/>
  <c r="E138" i="9"/>
  <c r="F138" i="9" s="1"/>
  <c r="F137" i="9"/>
  <c r="E137" i="9"/>
  <c r="E136" i="9"/>
  <c r="F136" i="9" s="1"/>
  <c r="F135" i="9"/>
  <c r="E135" i="9"/>
  <c r="E134" i="9"/>
  <c r="F134" i="9" s="1"/>
  <c r="E133" i="9"/>
  <c r="F133" i="9" s="1"/>
  <c r="E132" i="9"/>
  <c r="F132" i="9" s="1"/>
  <c r="F131" i="9"/>
  <c r="E131" i="9"/>
  <c r="D128" i="9"/>
  <c r="C128" i="9"/>
  <c r="D127" i="9"/>
  <c r="E127" i="9"/>
  <c r="F127" i="9"/>
  <c r="C127" i="9"/>
  <c r="E126" i="9"/>
  <c r="F126" i="9" s="1"/>
  <c r="E125" i="9"/>
  <c r="F125" i="9" s="1"/>
  <c r="E124" i="9"/>
  <c r="F124" i="9" s="1"/>
  <c r="F123" i="9"/>
  <c r="E123" i="9"/>
  <c r="F122" i="9"/>
  <c r="E122" i="9"/>
  <c r="E121" i="9"/>
  <c r="F121" i="9" s="1"/>
  <c r="E120" i="9"/>
  <c r="F120" i="9" s="1"/>
  <c r="F119" i="9"/>
  <c r="E119" i="9"/>
  <c r="F118" i="9"/>
  <c r="E118" i="9"/>
  <c r="D115" i="9"/>
  <c r="E115" i="9"/>
  <c r="C115" i="9"/>
  <c r="F115" i="9" s="1"/>
  <c r="D114" i="9"/>
  <c r="E114" i="9" s="1"/>
  <c r="F114" i="9"/>
  <c r="C114" i="9"/>
  <c r="F113" i="9"/>
  <c r="E113" i="9"/>
  <c r="E112" i="9"/>
  <c r="F112" i="9" s="1"/>
  <c r="F111" i="9"/>
  <c r="E111" i="9"/>
  <c r="E110" i="9"/>
  <c r="F110" i="9" s="1"/>
  <c r="E109" i="9"/>
  <c r="F109" i="9" s="1"/>
  <c r="E108" i="9"/>
  <c r="F108" i="9" s="1"/>
  <c r="F107" i="9"/>
  <c r="E107" i="9"/>
  <c r="F106" i="9"/>
  <c r="E106" i="9"/>
  <c r="F105" i="9"/>
  <c r="E105" i="9"/>
  <c r="D102" i="9"/>
  <c r="E102" i="9"/>
  <c r="F102" i="9"/>
  <c r="C102" i="9"/>
  <c r="D101" i="9"/>
  <c r="E101" i="9" s="1"/>
  <c r="F101" i="9" s="1"/>
  <c r="C101" i="9"/>
  <c r="E100" i="9"/>
  <c r="F100" i="9" s="1"/>
  <c r="F99" i="9"/>
  <c r="E99" i="9"/>
  <c r="E98" i="9"/>
  <c r="F98" i="9" s="1"/>
  <c r="F97" i="9"/>
  <c r="E97" i="9"/>
  <c r="E96" i="9"/>
  <c r="F96" i="9" s="1"/>
  <c r="F95" i="9"/>
  <c r="E95" i="9"/>
  <c r="E94" i="9"/>
  <c r="F94" i="9" s="1"/>
  <c r="F93" i="9"/>
  <c r="E93" i="9"/>
  <c r="E92" i="9"/>
  <c r="F92" i="9" s="1"/>
  <c r="D89" i="9"/>
  <c r="C89" i="9"/>
  <c r="D88" i="9"/>
  <c r="C88" i="9"/>
  <c r="F87" i="9"/>
  <c r="E87" i="9"/>
  <c r="F86" i="9"/>
  <c r="E86" i="9"/>
  <c r="F85" i="9"/>
  <c r="E85" i="9"/>
  <c r="F84" i="9"/>
  <c r="E84" i="9"/>
  <c r="F83" i="9"/>
  <c r="E83" i="9"/>
  <c r="E82" i="9"/>
  <c r="F82" i="9" s="1"/>
  <c r="F81" i="9"/>
  <c r="E81" i="9"/>
  <c r="F80" i="9"/>
  <c r="E80" i="9"/>
  <c r="F79" i="9"/>
  <c r="E79" i="9"/>
  <c r="D76" i="9"/>
  <c r="E76" i="9"/>
  <c r="F76" i="9" s="1"/>
  <c r="C76" i="9"/>
  <c r="D75" i="9"/>
  <c r="E75" i="9"/>
  <c r="F75" i="9"/>
  <c r="C75" i="9"/>
  <c r="E74" i="9"/>
  <c r="F74" i="9" s="1"/>
  <c r="F73" i="9"/>
  <c r="E73" i="9"/>
  <c r="E72" i="9"/>
  <c r="F72" i="9" s="1"/>
  <c r="F71" i="9"/>
  <c r="E71" i="9"/>
  <c r="F70" i="9"/>
  <c r="E70" i="9"/>
  <c r="F69" i="9"/>
  <c r="E69" i="9"/>
  <c r="E68" i="9"/>
  <c r="F68" i="9" s="1"/>
  <c r="F67" i="9"/>
  <c r="E67" i="9"/>
  <c r="E66" i="9"/>
  <c r="F66" i="9" s="1"/>
  <c r="D63" i="9"/>
  <c r="E63" i="9" s="1"/>
  <c r="C63" i="9"/>
  <c r="F63" i="9" s="1"/>
  <c r="D62" i="9"/>
  <c r="E62" i="9"/>
  <c r="C62" i="9"/>
  <c r="F62" i="9" s="1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E50" i="9"/>
  <c r="F50" i="9" s="1"/>
  <c r="C50" i="9"/>
  <c r="D49" i="9"/>
  <c r="E49" i="9"/>
  <c r="F49" i="9" s="1"/>
  <c r="C49" i="9"/>
  <c r="E48" i="9"/>
  <c r="F48" i="9" s="1"/>
  <c r="F47" i="9"/>
  <c r="E47" i="9"/>
  <c r="E46" i="9"/>
  <c r="F46" i="9" s="1"/>
  <c r="E45" i="9"/>
  <c r="F45" i="9" s="1"/>
  <c r="E44" i="9"/>
  <c r="F44" i="9" s="1"/>
  <c r="F43" i="9"/>
  <c r="E43" i="9"/>
  <c r="E42" i="9"/>
  <c r="F42" i="9" s="1"/>
  <c r="E41" i="9"/>
  <c r="F41" i="9" s="1"/>
  <c r="F40" i="9"/>
  <c r="E40" i="9"/>
  <c r="D37" i="9"/>
  <c r="E37" i="9" s="1"/>
  <c r="F37" i="9" s="1"/>
  <c r="C37" i="9"/>
  <c r="D36" i="9"/>
  <c r="E36" i="9"/>
  <c r="C36" i="9"/>
  <c r="F36" i="9" s="1"/>
  <c r="F35" i="9"/>
  <c r="E35" i="9"/>
  <c r="F34" i="9"/>
  <c r="E34" i="9"/>
  <c r="E33" i="9"/>
  <c r="F33" i="9" s="1"/>
  <c r="F32" i="9"/>
  <c r="E32" i="9"/>
  <c r="F31" i="9"/>
  <c r="E31" i="9"/>
  <c r="F30" i="9"/>
  <c r="E30" i="9"/>
  <c r="E29" i="9"/>
  <c r="F29" i="9" s="1"/>
  <c r="F28" i="9"/>
  <c r="E28" i="9"/>
  <c r="F27" i="9"/>
  <c r="E27" i="9"/>
  <c r="D24" i="9"/>
  <c r="C24" i="9"/>
  <c r="D23" i="9"/>
  <c r="E23" i="9" s="1"/>
  <c r="F23" i="9" s="1"/>
  <c r="C23" i="9"/>
  <c r="F22" i="9"/>
  <c r="E22" i="9"/>
  <c r="E21" i="9"/>
  <c r="F21" i="9" s="1"/>
  <c r="E20" i="9"/>
  <c r="F20" i="9" s="1"/>
  <c r="F19" i="9"/>
  <c r="E19" i="9"/>
  <c r="F18" i="9"/>
  <c r="E18" i="9"/>
  <c r="E17" i="9"/>
  <c r="F17" i="9" s="1"/>
  <c r="F16" i="9"/>
  <c r="E16" i="9"/>
  <c r="F15" i="9"/>
  <c r="E15" i="9"/>
  <c r="F14" i="9"/>
  <c r="E14" i="9"/>
  <c r="E191" i="8"/>
  <c r="D191" i="8"/>
  <c r="C191" i="8"/>
  <c r="E176" i="8"/>
  <c r="D176" i="8"/>
  <c r="C176" i="8"/>
  <c r="E164" i="8"/>
  <c r="D164" i="8"/>
  <c r="D160" i="8"/>
  <c r="D166" i="8"/>
  <c r="C164" i="8"/>
  <c r="C160" i="8" s="1"/>
  <c r="C166" i="8" s="1"/>
  <c r="E162" i="8"/>
  <c r="D162" i="8"/>
  <c r="C162" i="8"/>
  <c r="E161" i="8"/>
  <c r="D161" i="8"/>
  <c r="C161" i="8"/>
  <c r="E160" i="8"/>
  <c r="E166" i="8" s="1"/>
  <c r="E147" i="8"/>
  <c r="E143" i="8" s="1"/>
  <c r="D147" i="8"/>
  <c r="D143" i="8" s="1"/>
  <c r="C147" i="8"/>
  <c r="E145" i="8"/>
  <c r="D145" i="8"/>
  <c r="C145" i="8"/>
  <c r="E144" i="8"/>
  <c r="D144" i="8"/>
  <c r="C144" i="8"/>
  <c r="C143" i="8"/>
  <c r="C149" i="8"/>
  <c r="E126" i="8"/>
  <c r="D126" i="8"/>
  <c r="C126" i="8"/>
  <c r="E119" i="8"/>
  <c r="D119" i="8"/>
  <c r="C119" i="8"/>
  <c r="E108" i="8"/>
  <c r="D108" i="8"/>
  <c r="D109" i="8" s="1"/>
  <c r="C108" i="8"/>
  <c r="E107" i="8"/>
  <c r="E109" i="8" s="1"/>
  <c r="E106" i="8" s="1"/>
  <c r="D107" i="8"/>
  <c r="D106" i="8"/>
  <c r="C107" i="8"/>
  <c r="C109" i="8" s="1"/>
  <c r="C106" i="8" s="1"/>
  <c r="E102" i="8"/>
  <c r="E104" i="8" s="1"/>
  <c r="D102" i="8"/>
  <c r="D104" i="8"/>
  <c r="C102" i="8"/>
  <c r="C104" i="8" s="1"/>
  <c r="E100" i="8"/>
  <c r="D100" i="8"/>
  <c r="C100" i="8"/>
  <c r="E95" i="8"/>
  <c r="E94" i="8"/>
  <c r="D95" i="8"/>
  <c r="D94" i="8" s="1"/>
  <c r="C95" i="8"/>
  <c r="C94" i="8" s="1"/>
  <c r="E89" i="8"/>
  <c r="D89" i="8"/>
  <c r="C89" i="8"/>
  <c r="E88" i="8"/>
  <c r="E90" i="8"/>
  <c r="E86" i="8"/>
  <c r="C88" i="8"/>
  <c r="C90" i="8" s="1"/>
  <c r="C86" i="8" s="1"/>
  <c r="E87" i="8"/>
  <c r="D87" i="8"/>
  <c r="C87" i="8"/>
  <c r="E84" i="8"/>
  <c r="D84" i="8"/>
  <c r="D79" i="8" s="1"/>
  <c r="C84" i="8"/>
  <c r="C79" i="8" s="1"/>
  <c r="E83" i="8"/>
  <c r="E79" i="8"/>
  <c r="D83" i="8"/>
  <c r="C83" i="8"/>
  <c r="E77" i="8"/>
  <c r="E71" i="8"/>
  <c r="C71" i="8"/>
  <c r="E75" i="8"/>
  <c r="D75" i="8"/>
  <c r="D88" i="8"/>
  <c r="D90" i="8"/>
  <c r="D86" i="8" s="1"/>
  <c r="C75" i="8"/>
  <c r="C77" i="8" s="1"/>
  <c r="E74" i="8"/>
  <c r="D74" i="8"/>
  <c r="C74" i="8"/>
  <c r="E67" i="8"/>
  <c r="D67" i="8"/>
  <c r="C67" i="8"/>
  <c r="D53" i="8"/>
  <c r="D43" i="8"/>
  <c r="E38" i="8"/>
  <c r="E57" i="8"/>
  <c r="E62" i="8" s="1"/>
  <c r="D38" i="8"/>
  <c r="D57" i="8"/>
  <c r="D62" i="8"/>
  <c r="C38" i="8"/>
  <c r="E33" i="8"/>
  <c r="E34" i="8" s="1"/>
  <c r="D33" i="8"/>
  <c r="D34" i="8"/>
  <c r="E26" i="8"/>
  <c r="D26" i="8"/>
  <c r="C26" i="8"/>
  <c r="C15" i="8"/>
  <c r="C24" i="8"/>
  <c r="E13" i="8"/>
  <c r="E15" i="8" s="1"/>
  <c r="D13" i="8"/>
  <c r="D25" i="8" s="1"/>
  <c r="D27" i="8" s="1"/>
  <c r="C13" i="8"/>
  <c r="C25" i="8" s="1"/>
  <c r="C27" i="8" s="1"/>
  <c r="E186" i="7"/>
  <c r="F186" i="7" s="1"/>
  <c r="D183" i="7"/>
  <c r="C183" i="7"/>
  <c r="F182" i="7"/>
  <c r="E182" i="7"/>
  <c r="F181" i="7"/>
  <c r="E181" i="7"/>
  <c r="F180" i="7"/>
  <c r="E180" i="7"/>
  <c r="F179" i="7"/>
  <c r="E179" i="7"/>
  <c r="E178" i="7"/>
  <c r="F178" i="7" s="1"/>
  <c r="F177" i="7"/>
  <c r="E177" i="7"/>
  <c r="E176" i="7"/>
  <c r="F176" i="7" s="1"/>
  <c r="F175" i="7"/>
  <c r="E175" i="7"/>
  <c r="E174" i="7"/>
  <c r="F174" i="7" s="1"/>
  <c r="E173" i="7"/>
  <c r="F173" i="7" s="1"/>
  <c r="F172" i="7"/>
  <c r="E172" i="7"/>
  <c r="F171" i="7"/>
  <c r="E171" i="7"/>
  <c r="E170" i="7"/>
  <c r="F170" i="7" s="1"/>
  <c r="D167" i="7"/>
  <c r="C167" i="7"/>
  <c r="F166" i="7"/>
  <c r="E166" i="7"/>
  <c r="F165" i="7"/>
  <c r="E165" i="7"/>
  <c r="F164" i="7"/>
  <c r="E164" i="7"/>
  <c r="F163" i="7"/>
  <c r="E163" i="7"/>
  <c r="F162" i="7"/>
  <c r="E162" i="7"/>
  <c r="F161" i="7"/>
  <c r="E161" i="7"/>
  <c r="F160" i="7"/>
  <c r="E160" i="7"/>
  <c r="E159" i="7"/>
  <c r="F159" i="7" s="1"/>
  <c r="F158" i="7"/>
  <c r="E158" i="7"/>
  <c r="E157" i="7"/>
  <c r="F157" i="7" s="1"/>
  <c r="E156" i="7"/>
  <c r="F156" i="7" s="1"/>
  <c r="E155" i="7"/>
  <c r="F155" i="7" s="1"/>
  <c r="F154" i="7"/>
  <c r="E154" i="7"/>
  <c r="F153" i="7"/>
  <c r="E153" i="7"/>
  <c r="F152" i="7"/>
  <c r="E152" i="7"/>
  <c r="E151" i="7"/>
  <c r="F151" i="7" s="1"/>
  <c r="F150" i="7"/>
  <c r="E150" i="7"/>
  <c r="F149" i="7"/>
  <c r="E149" i="7"/>
  <c r="E148" i="7"/>
  <c r="F148" i="7" s="1"/>
  <c r="E147" i="7"/>
  <c r="F147" i="7" s="1"/>
  <c r="F146" i="7"/>
  <c r="E146" i="7"/>
  <c r="E145" i="7"/>
  <c r="F145" i="7" s="1"/>
  <c r="E144" i="7"/>
  <c r="F144" i="7" s="1"/>
  <c r="F143" i="7"/>
  <c r="E143" i="7"/>
  <c r="F142" i="7"/>
  <c r="E142" i="7"/>
  <c r="E141" i="7"/>
  <c r="F141" i="7" s="1"/>
  <c r="E140" i="7"/>
  <c r="F140" i="7" s="1"/>
  <c r="E139" i="7"/>
  <c r="F139" i="7" s="1"/>
  <c r="F138" i="7"/>
  <c r="E138" i="7"/>
  <c r="E137" i="7"/>
  <c r="F137" i="7" s="1"/>
  <c r="F136" i="7"/>
  <c r="E136" i="7"/>
  <c r="E135" i="7"/>
  <c r="F135" i="7" s="1"/>
  <c r="F134" i="7"/>
  <c r="E134" i="7"/>
  <c r="E133" i="7"/>
  <c r="F133" i="7" s="1"/>
  <c r="D130" i="7"/>
  <c r="C130" i="7"/>
  <c r="F129" i="7"/>
  <c r="E129" i="7"/>
  <c r="E128" i="7"/>
  <c r="F128" i="7" s="1"/>
  <c r="E127" i="7"/>
  <c r="F127" i="7" s="1"/>
  <c r="E126" i="7"/>
  <c r="F126" i="7" s="1"/>
  <c r="F125" i="7"/>
  <c r="E125" i="7"/>
  <c r="E124" i="7"/>
  <c r="F124" i="7" s="1"/>
  <c r="D121" i="7"/>
  <c r="C121" i="7"/>
  <c r="F120" i="7"/>
  <c r="E120" i="7"/>
  <c r="E119" i="7"/>
  <c r="F119" i="7" s="1"/>
  <c r="F118" i="7"/>
  <c r="E118" i="7"/>
  <c r="E117" i="7"/>
  <c r="F117" i="7" s="1"/>
  <c r="F116" i="7"/>
  <c r="E116" i="7"/>
  <c r="E115" i="7"/>
  <c r="F115" i="7" s="1"/>
  <c r="F114" i="7"/>
  <c r="E114" i="7"/>
  <c r="E113" i="7"/>
  <c r="F113" i="7" s="1"/>
  <c r="F112" i="7"/>
  <c r="E112" i="7"/>
  <c r="E111" i="7"/>
  <c r="F111" i="7" s="1"/>
  <c r="E110" i="7"/>
  <c r="F110" i="7" s="1"/>
  <c r="E109" i="7"/>
  <c r="F109" i="7" s="1"/>
  <c r="F108" i="7"/>
  <c r="E108" i="7"/>
  <c r="E107" i="7"/>
  <c r="F107" i="7" s="1"/>
  <c r="E106" i="7"/>
  <c r="F106" i="7" s="1"/>
  <c r="E105" i="7"/>
  <c r="F105" i="7" s="1"/>
  <c r="F104" i="7"/>
  <c r="E104" i="7"/>
  <c r="E103" i="7"/>
  <c r="F103" i="7" s="1"/>
  <c r="F93" i="7"/>
  <c r="E93" i="7"/>
  <c r="D90" i="7"/>
  <c r="C90" i="7"/>
  <c r="F89" i="7"/>
  <c r="E89" i="7"/>
  <c r="F88" i="7"/>
  <c r="E88" i="7"/>
  <c r="F87" i="7"/>
  <c r="E87" i="7"/>
  <c r="E86" i="7"/>
  <c r="F86" i="7" s="1"/>
  <c r="F85" i="7"/>
  <c r="E85" i="7"/>
  <c r="F84" i="7"/>
  <c r="E84" i="7"/>
  <c r="F83" i="7"/>
  <c r="E83" i="7"/>
  <c r="E82" i="7"/>
  <c r="F82" i="7" s="1"/>
  <c r="F81" i="7"/>
  <c r="E81" i="7"/>
  <c r="F80" i="7"/>
  <c r="E80" i="7"/>
  <c r="F79" i="7"/>
  <c r="E79" i="7"/>
  <c r="E78" i="7"/>
  <c r="F78" i="7" s="1"/>
  <c r="F77" i="7"/>
  <c r="E77" i="7"/>
  <c r="F76" i="7"/>
  <c r="E76" i="7"/>
  <c r="F75" i="7"/>
  <c r="E75" i="7"/>
  <c r="E74" i="7"/>
  <c r="F74" i="7" s="1"/>
  <c r="F73" i="7"/>
  <c r="E73" i="7"/>
  <c r="F72" i="7"/>
  <c r="E72" i="7"/>
  <c r="F71" i="7"/>
  <c r="E71" i="7"/>
  <c r="E70" i="7"/>
  <c r="F70" i="7" s="1"/>
  <c r="F69" i="7"/>
  <c r="E69" i="7"/>
  <c r="F68" i="7"/>
  <c r="E68" i="7"/>
  <c r="F67" i="7"/>
  <c r="E67" i="7"/>
  <c r="E66" i="7"/>
  <c r="F66" i="7" s="1"/>
  <c r="E65" i="7"/>
  <c r="F65" i="7" s="1"/>
  <c r="F64" i="7"/>
  <c r="E64" i="7"/>
  <c r="F63" i="7"/>
  <c r="E63" i="7"/>
  <c r="E62" i="7"/>
  <c r="F62" i="7" s="1"/>
  <c r="D59" i="7"/>
  <c r="C59" i="7"/>
  <c r="F58" i="7"/>
  <c r="E58" i="7"/>
  <c r="E57" i="7"/>
  <c r="F57" i="7" s="1"/>
  <c r="E56" i="7"/>
  <c r="F56" i="7" s="1"/>
  <c r="F55" i="7"/>
  <c r="E55" i="7"/>
  <c r="F54" i="7"/>
  <c r="E54" i="7"/>
  <c r="E53" i="7"/>
  <c r="F53" i="7" s="1"/>
  <c r="E50" i="7"/>
  <c r="F50" i="7" s="1"/>
  <c r="F47" i="7"/>
  <c r="E47" i="7"/>
  <c r="F44" i="7"/>
  <c r="E44" i="7"/>
  <c r="D41" i="7"/>
  <c r="C41" i="7"/>
  <c r="F40" i="7"/>
  <c r="E40" i="7"/>
  <c r="F39" i="7"/>
  <c r="E39" i="7"/>
  <c r="E38" i="7"/>
  <c r="F38" i="7" s="1"/>
  <c r="D35" i="7"/>
  <c r="E35" i="7"/>
  <c r="F35" i="7"/>
  <c r="C35" i="7"/>
  <c r="F34" i="7"/>
  <c r="E34" i="7"/>
  <c r="E33" i="7"/>
  <c r="F33" i="7" s="1"/>
  <c r="D30" i="7"/>
  <c r="E30" i="7" s="1"/>
  <c r="F30" i="7" s="1"/>
  <c r="C30" i="7"/>
  <c r="F29" i="7"/>
  <c r="E29" i="7"/>
  <c r="E28" i="7"/>
  <c r="F28" i="7" s="1"/>
  <c r="F27" i="7"/>
  <c r="E27" i="7"/>
  <c r="D24" i="7"/>
  <c r="E24" i="7" s="1"/>
  <c r="F24" i="7"/>
  <c r="C24" i="7"/>
  <c r="E23" i="7"/>
  <c r="F23" i="7" s="1"/>
  <c r="F22" i="7"/>
  <c r="E22" i="7"/>
  <c r="F21" i="7"/>
  <c r="E21" i="7"/>
  <c r="D18" i="7"/>
  <c r="E18" i="7" s="1"/>
  <c r="C18" i="7"/>
  <c r="F18" i="7" s="1"/>
  <c r="E17" i="7"/>
  <c r="F17" i="7" s="1"/>
  <c r="F16" i="7"/>
  <c r="E16" i="7"/>
  <c r="F15" i="7"/>
  <c r="E15" i="7"/>
  <c r="D179" i="6"/>
  <c r="C179" i="6"/>
  <c r="E179" i="6" s="1"/>
  <c r="E178" i="6"/>
  <c r="F178" i="6" s="1"/>
  <c r="F177" i="6"/>
  <c r="E177" i="6"/>
  <c r="F176" i="6"/>
  <c r="E176" i="6"/>
  <c r="E175" i="6"/>
  <c r="F175" i="6" s="1"/>
  <c r="E174" i="6"/>
  <c r="F174" i="6" s="1"/>
  <c r="E173" i="6"/>
  <c r="F173" i="6" s="1"/>
  <c r="F172" i="6"/>
  <c r="E172" i="6"/>
  <c r="F171" i="6"/>
  <c r="E171" i="6"/>
  <c r="E170" i="6"/>
  <c r="F170" i="6" s="1"/>
  <c r="E169" i="6"/>
  <c r="F169" i="6" s="1"/>
  <c r="F168" i="6"/>
  <c r="E168" i="6"/>
  <c r="D166" i="6"/>
  <c r="E166" i="6"/>
  <c r="F166" i="6" s="1"/>
  <c r="C166" i="6"/>
  <c r="E165" i="6"/>
  <c r="F165" i="6" s="1"/>
  <c r="F164" i="6"/>
  <c r="E164" i="6"/>
  <c r="E163" i="6"/>
  <c r="F163" i="6" s="1"/>
  <c r="E162" i="6"/>
  <c r="F162" i="6" s="1"/>
  <c r="E161" i="6"/>
  <c r="F161" i="6" s="1"/>
  <c r="F160" i="6"/>
  <c r="E160" i="6"/>
  <c r="E159" i="6"/>
  <c r="F159" i="6" s="1"/>
  <c r="F158" i="6"/>
  <c r="E158" i="6"/>
  <c r="E157" i="6"/>
  <c r="F157" i="6" s="1"/>
  <c r="F156" i="6"/>
  <c r="E156" i="6"/>
  <c r="E155" i="6"/>
  <c r="F155" i="6" s="1"/>
  <c r="D153" i="6"/>
  <c r="C153" i="6"/>
  <c r="F152" i="6"/>
  <c r="E152" i="6"/>
  <c r="F151" i="6"/>
  <c r="E151" i="6"/>
  <c r="E150" i="6"/>
  <c r="F150" i="6" s="1"/>
  <c r="E149" i="6"/>
  <c r="F149" i="6" s="1"/>
  <c r="F148" i="6"/>
  <c r="E148" i="6"/>
  <c r="E147" i="6"/>
  <c r="F147" i="6" s="1"/>
  <c r="F146" i="6"/>
  <c r="E146" i="6"/>
  <c r="F145" i="6"/>
  <c r="E145" i="6"/>
  <c r="F144" i="6"/>
  <c r="E144" i="6"/>
  <c r="E143" i="6"/>
  <c r="F143" i="6" s="1"/>
  <c r="E142" i="6"/>
  <c r="F142" i="6" s="1"/>
  <c r="D137" i="6"/>
  <c r="E137" i="6"/>
  <c r="F137" i="6" s="1"/>
  <c r="C137" i="6"/>
  <c r="E136" i="6"/>
  <c r="F136" i="6" s="1"/>
  <c r="F135" i="6"/>
  <c r="E135" i="6"/>
  <c r="E134" i="6"/>
  <c r="F134" i="6" s="1"/>
  <c r="F133" i="6"/>
  <c r="E133" i="6"/>
  <c r="E132" i="6"/>
  <c r="F132" i="6" s="1"/>
  <c r="E131" i="6"/>
  <c r="F131" i="6" s="1"/>
  <c r="E130" i="6"/>
  <c r="F130" i="6" s="1"/>
  <c r="F129" i="6"/>
  <c r="E129" i="6"/>
  <c r="E128" i="6"/>
  <c r="F128" i="6" s="1"/>
  <c r="F127" i="6"/>
  <c r="E127" i="6"/>
  <c r="E126" i="6"/>
  <c r="F126" i="6" s="1"/>
  <c r="D124" i="6"/>
  <c r="C124" i="6"/>
  <c r="F123" i="6"/>
  <c r="E123" i="6"/>
  <c r="F122" i="6"/>
  <c r="E122" i="6"/>
  <c r="F121" i="6"/>
  <c r="E121" i="6"/>
  <c r="E120" i="6"/>
  <c r="F120" i="6" s="1"/>
  <c r="F119" i="6"/>
  <c r="E119" i="6"/>
  <c r="E118" i="6"/>
  <c r="F118" i="6" s="1"/>
  <c r="F117" i="6"/>
  <c r="E117" i="6"/>
  <c r="F116" i="6"/>
  <c r="E116" i="6"/>
  <c r="E115" i="6"/>
  <c r="F115" i="6" s="1"/>
  <c r="E114" i="6"/>
  <c r="F114" i="6" s="1"/>
  <c r="F113" i="6"/>
  <c r="E113" i="6"/>
  <c r="D111" i="6"/>
  <c r="C111" i="6"/>
  <c r="E110" i="6"/>
  <c r="F110" i="6" s="1"/>
  <c r="F109" i="6"/>
  <c r="E109" i="6"/>
  <c r="E108" i="6"/>
  <c r="F108" i="6" s="1"/>
  <c r="F107" i="6"/>
  <c r="E107" i="6"/>
  <c r="E106" i="6"/>
  <c r="F106" i="6" s="1"/>
  <c r="F105" i="6"/>
  <c r="E105" i="6"/>
  <c r="E104" i="6"/>
  <c r="F104" i="6" s="1"/>
  <c r="F103" i="6"/>
  <c r="E103" i="6"/>
  <c r="E102" i="6"/>
  <c r="F102" i="6" s="1"/>
  <c r="F101" i="6"/>
  <c r="E101" i="6"/>
  <c r="E100" i="6"/>
  <c r="F100" i="6" s="1"/>
  <c r="D94" i="6"/>
  <c r="E94" i="6"/>
  <c r="C94" i="6"/>
  <c r="D93" i="6"/>
  <c r="C93" i="6"/>
  <c r="D92" i="6"/>
  <c r="C92" i="6"/>
  <c r="D91" i="6"/>
  <c r="C91" i="6"/>
  <c r="D90" i="6"/>
  <c r="E90" i="6"/>
  <c r="C90" i="6"/>
  <c r="D89" i="6"/>
  <c r="C89" i="6"/>
  <c r="D88" i="6"/>
  <c r="E88" i="6" s="1"/>
  <c r="C88" i="6"/>
  <c r="D87" i="6"/>
  <c r="C87" i="6"/>
  <c r="D86" i="6"/>
  <c r="E86" i="6" s="1"/>
  <c r="C86" i="6"/>
  <c r="D85" i="6"/>
  <c r="E85" i="6" s="1"/>
  <c r="C85" i="6"/>
  <c r="D84" i="6"/>
  <c r="C84" i="6"/>
  <c r="D81" i="6"/>
  <c r="C81" i="6"/>
  <c r="E81" i="6" s="1"/>
  <c r="F80" i="6"/>
  <c r="E80" i="6"/>
  <c r="F79" i="6"/>
  <c r="E79" i="6"/>
  <c r="E78" i="6"/>
  <c r="F78" i="6" s="1"/>
  <c r="F77" i="6"/>
  <c r="E77" i="6"/>
  <c r="F76" i="6"/>
  <c r="E76" i="6"/>
  <c r="F75" i="6"/>
  <c r="E75" i="6"/>
  <c r="E74" i="6"/>
  <c r="F74" i="6" s="1"/>
  <c r="F73" i="6"/>
  <c r="E73" i="6"/>
  <c r="F72" i="6"/>
  <c r="E72" i="6"/>
  <c r="F71" i="6"/>
  <c r="E71" i="6"/>
  <c r="E70" i="6"/>
  <c r="F70" i="6" s="1"/>
  <c r="D68" i="6"/>
  <c r="E68" i="6"/>
  <c r="F68" i="6" s="1"/>
  <c r="C68" i="6"/>
  <c r="F67" i="6"/>
  <c r="E67" i="6"/>
  <c r="F66" i="6"/>
  <c r="E66" i="6"/>
  <c r="E65" i="6"/>
  <c r="F65" i="6" s="1"/>
  <c r="F64" i="6"/>
  <c r="E64" i="6"/>
  <c r="F63" i="6"/>
  <c r="E63" i="6"/>
  <c r="E62" i="6"/>
  <c r="F62" i="6" s="1"/>
  <c r="F61" i="6"/>
  <c r="E61" i="6"/>
  <c r="F60" i="6"/>
  <c r="E60" i="6"/>
  <c r="F59" i="6"/>
  <c r="E59" i="6"/>
  <c r="E58" i="6"/>
  <c r="F58" i="6" s="1"/>
  <c r="F57" i="6"/>
  <c r="E57" i="6"/>
  <c r="D51" i="6"/>
  <c r="E51" i="6" s="1"/>
  <c r="F51" i="6"/>
  <c r="C51" i="6"/>
  <c r="D50" i="6"/>
  <c r="C50" i="6"/>
  <c r="D49" i="6"/>
  <c r="E49" i="6" s="1"/>
  <c r="F49" i="6"/>
  <c r="C49" i="6"/>
  <c r="D48" i="6"/>
  <c r="C48" i="6"/>
  <c r="E48" i="6" s="1"/>
  <c r="D47" i="6"/>
  <c r="E47" i="6" s="1"/>
  <c r="F47" i="6"/>
  <c r="C47" i="6"/>
  <c r="D46" i="6"/>
  <c r="C46" i="6"/>
  <c r="E46" i="6" s="1"/>
  <c r="D45" i="6"/>
  <c r="E45" i="6"/>
  <c r="F45" i="6" s="1"/>
  <c r="C45" i="6"/>
  <c r="D44" i="6"/>
  <c r="E44" i="6" s="1"/>
  <c r="C44" i="6"/>
  <c r="F44" i="6" s="1"/>
  <c r="D43" i="6"/>
  <c r="E43" i="6"/>
  <c r="F43" i="6"/>
  <c r="C43" i="6"/>
  <c r="D42" i="6"/>
  <c r="E42" i="6"/>
  <c r="F42" i="6" s="1"/>
  <c r="C42" i="6"/>
  <c r="D41" i="6"/>
  <c r="C41" i="6"/>
  <c r="D38" i="6"/>
  <c r="E38" i="6"/>
  <c r="F38" i="6" s="1"/>
  <c r="C38" i="6"/>
  <c r="E37" i="6"/>
  <c r="F37" i="6" s="1"/>
  <c r="F36" i="6"/>
  <c r="E36" i="6"/>
  <c r="E35" i="6"/>
  <c r="F35" i="6" s="1"/>
  <c r="F34" i="6"/>
  <c r="E34" i="6"/>
  <c r="E33" i="6"/>
  <c r="F33" i="6" s="1"/>
  <c r="F32" i="6"/>
  <c r="E32" i="6"/>
  <c r="E31" i="6"/>
  <c r="F31" i="6" s="1"/>
  <c r="F30" i="6"/>
  <c r="E30" i="6"/>
  <c r="E29" i="6"/>
  <c r="F29" i="6" s="1"/>
  <c r="F28" i="6"/>
  <c r="E28" i="6"/>
  <c r="E27" i="6"/>
  <c r="F27" i="6" s="1"/>
  <c r="D25" i="6"/>
  <c r="C25" i="6"/>
  <c r="F24" i="6"/>
  <c r="E24" i="6"/>
  <c r="F23" i="6"/>
  <c r="E23" i="6"/>
  <c r="F22" i="6"/>
  <c r="E22" i="6"/>
  <c r="E21" i="6"/>
  <c r="F21" i="6" s="1"/>
  <c r="F20" i="6"/>
  <c r="E20" i="6"/>
  <c r="E19" i="6"/>
  <c r="F19" i="6" s="1"/>
  <c r="F18" i="6"/>
  <c r="E18" i="6"/>
  <c r="F17" i="6"/>
  <c r="E17" i="6"/>
  <c r="F16" i="6"/>
  <c r="E16" i="6"/>
  <c r="E15" i="6"/>
  <c r="F15" i="6" s="1"/>
  <c r="F14" i="6"/>
  <c r="E14" i="6"/>
  <c r="E51" i="5"/>
  <c r="F51" i="5"/>
  <c r="D48" i="5"/>
  <c r="C48" i="5"/>
  <c r="E47" i="5"/>
  <c r="F47" i="5"/>
  <c r="E46" i="5"/>
  <c r="F46" i="5" s="1"/>
  <c r="D41" i="5"/>
  <c r="C41" i="5"/>
  <c r="E40" i="5"/>
  <c r="F40" i="5" s="1"/>
  <c r="F39" i="5"/>
  <c r="E39" i="5"/>
  <c r="E38" i="5"/>
  <c r="F38" i="5" s="1"/>
  <c r="D33" i="5"/>
  <c r="C33" i="5"/>
  <c r="E32" i="5"/>
  <c r="F32" i="5" s="1"/>
  <c r="E31" i="5"/>
  <c r="F31" i="5" s="1"/>
  <c r="E30" i="5"/>
  <c r="F30" i="5"/>
  <c r="F29" i="5"/>
  <c r="E29" i="5"/>
  <c r="E28" i="5"/>
  <c r="F28" i="5" s="1"/>
  <c r="E27" i="5"/>
  <c r="F27" i="5"/>
  <c r="E26" i="5"/>
  <c r="F26" i="5" s="1"/>
  <c r="E25" i="5"/>
  <c r="F25" i="5" s="1"/>
  <c r="E24" i="5"/>
  <c r="F24" i="5" s="1"/>
  <c r="E20" i="5"/>
  <c r="F20" i="5"/>
  <c r="E19" i="5"/>
  <c r="F19" i="5"/>
  <c r="E17" i="5"/>
  <c r="F17" i="5"/>
  <c r="D16" i="5"/>
  <c r="D18" i="5" s="1"/>
  <c r="C16" i="5"/>
  <c r="F15" i="5"/>
  <c r="E15" i="5"/>
  <c r="E14" i="5"/>
  <c r="F14" i="5"/>
  <c r="E13" i="5"/>
  <c r="F13" i="5" s="1"/>
  <c r="E12" i="5"/>
  <c r="F12" i="5"/>
  <c r="D73" i="4"/>
  <c r="C73" i="4"/>
  <c r="F72" i="4"/>
  <c r="E72" i="4"/>
  <c r="E71" i="4"/>
  <c r="F71" i="4" s="1"/>
  <c r="F70" i="4"/>
  <c r="E70" i="4"/>
  <c r="F67" i="4"/>
  <c r="E67" i="4"/>
  <c r="F64" i="4"/>
  <c r="E64" i="4"/>
  <c r="E63" i="4"/>
  <c r="F63" i="4" s="1"/>
  <c r="D61" i="4"/>
  <c r="D65" i="4" s="1"/>
  <c r="E65" i="4" s="1"/>
  <c r="F65" i="4" s="1"/>
  <c r="C61" i="4"/>
  <c r="C65" i="4"/>
  <c r="F60" i="4"/>
  <c r="E60" i="4"/>
  <c r="E59" i="4"/>
  <c r="F59" i="4" s="1"/>
  <c r="D56" i="4"/>
  <c r="C56" i="4"/>
  <c r="E56" i="4" s="1"/>
  <c r="E55" i="4"/>
  <c r="F55" i="4" s="1"/>
  <c r="F54" i="4"/>
  <c r="E54" i="4"/>
  <c r="F53" i="4"/>
  <c r="E53" i="4"/>
  <c r="F52" i="4"/>
  <c r="E52" i="4"/>
  <c r="E51" i="4"/>
  <c r="F51" i="4" s="1"/>
  <c r="E50" i="4"/>
  <c r="F50" i="4" s="1"/>
  <c r="A50" i="4"/>
  <c r="A51" i="4" s="1"/>
  <c r="A52" i="4" s="1"/>
  <c r="A53" i="4" s="1"/>
  <c r="A54" i="4" s="1"/>
  <c r="A55" i="4" s="1"/>
  <c r="F49" i="4"/>
  <c r="E49" i="4"/>
  <c r="E40" i="4"/>
  <c r="F40" i="4" s="1"/>
  <c r="D38" i="4"/>
  <c r="D41" i="4" s="1"/>
  <c r="E41" i="4" s="1"/>
  <c r="C38" i="4"/>
  <c r="C41" i="4"/>
  <c r="E37" i="4"/>
  <c r="F37" i="4" s="1"/>
  <c r="E36" i="4"/>
  <c r="F36" i="4" s="1"/>
  <c r="F33" i="4"/>
  <c r="E33" i="4"/>
  <c r="E32" i="4"/>
  <c r="F32" i="4" s="1"/>
  <c r="F31" i="4"/>
  <c r="E31" i="4"/>
  <c r="D29" i="4"/>
  <c r="C29" i="4"/>
  <c r="E28" i="4"/>
  <c r="F28" i="4" s="1"/>
  <c r="F27" i="4"/>
  <c r="E27" i="4"/>
  <c r="F26" i="4"/>
  <c r="E26" i="4"/>
  <c r="E25" i="4"/>
  <c r="F25" i="4" s="1"/>
  <c r="D22" i="4"/>
  <c r="C22" i="4"/>
  <c r="E21" i="4"/>
  <c r="F21" i="4" s="1"/>
  <c r="E20" i="4"/>
  <c r="F20" i="4" s="1"/>
  <c r="E19" i="4"/>
  <c r="F19" i="4" s="1"/>
  <c r="E18" i="4"/>
  <c r="F18" i="4" s="1"/>
  <c r="F17" i="4"/>
  <c r="E17" i="4"/>
  <c r="F16" i="4"/>
  <c r="E16" i="4"/>
  <c r="E15" i="4"/>
  <c r="F15" i="4" s="1"/>
  <c r="F14" i="4"/>
  <c r="E14" i="4"/>
  <c r="E13" i="4"/>
  <c r="F13" i="4" s="1"/>
  <c r="D34" i="22"/>
  <c r="D23" i="22"/>
  <c r="D108" i="22"/>
  <c r="D109" i="22"/>
  <c r="D33" i="22"/>
  <c r="E109" i="22"/>
  <c r="E108" i="22"/>
  <c r="D101" i="22"/>
  <c r="D103" i="22"/>
  <c r="C22" i="22"/>
  <c r="E22" i="22"/>
  <c r="D41" i="20"/>
  <c r="E76" i="17"/>
  <c r="F76" i="17"/>
  <c r="E43" i="20"/>
  <c r="C38" i="19"/>
  <c r="C127" i="19"/>
  <c r="C129" i="19" s="1"/>
  <c r="C133" i="19"/>
  <c r="D206" i="17"/>
  <c r="C22" i="19"/>
  <c r="C126" i="18"/>
  <c r="C124" i="18"/>
  <c r="C122" i="18"/>
  <c r="C128" i="18" s="1"/>
  <c r="C113" i="18"/>
  <c r="C111" i="18"/>
  <c r="C109" i="18"/>
  <c r="C117" i="18"/>
  <c r="C127" i="18"/>
  <c r="C125" i="18"/>
  <c r="C123" i="18"/>
  <c r="C114" i="18"/>
  <c r="C112" i="18"/>
  <c r="C110" i="18"/>
  <c r="C116" i="18"/>
  <c r="D55" i="18"/>
  <c r="E55" i="18" s="1"/>
  <c r="E54" i="18"/>
  <c r="D289" i="18"/>
  <c r="E289" i="18"/>
  <c r="D71" i="18"/>
  <c r="D65" i="18"/>
  <c r="D294" i="18" s="1"/>
  <c r="E60" i="18"/>
  <c r="E69" i="18"/>
  <c r="C283" i="18"/>
  <c r="C22" i="18"/>
  <c r="C284" i="18" s="1"/>
  <c r="D33" i="18"/>
  <c r="C294" i="18"/>
  <c r="E294" i="18" s="1"/>
  <c r="E139" i="18"/>
  <c r="D144" i="18"/>
  <c r="C156" i="18"/>
  <c r="C157" i="18"/>
  <c r="E157" i="18" s="1"/>
  <c r="E156" i="18"/>
  <c r="C234" i="18"/>
  <c r="E205" i="18"/>
  <c r="C211" i="18"/>
  <c r="C235" i="18" s="1"/>
  <c r="E218" i="18"/>
  <c r="C222" i="18"/>
  <c r="C223" i="18" s="1"/>
  <c r="C246" i="18"/>
  <c r="C229" i="18"/>
  <c r="E229" i="18"/>
  <c r="E231" i="18"/>
  <c r="C244" i="18"/>
  <c r="E244" i="18" s="1"/>
  <c r="D245" i="18"/>
  <c r="E245" i="18"/>
  <c r="D302" i="18"/>
  <c r="D303" i="18" s="1"/>
  <c r="E303" i="18" s="1"/>
  <c r="E302" i="18"/>
  <c r="E265" i="18"/>
  <c r="C303" i="18"/>
  <c r="C306" i="18"/>
  <c r="C310" i="18" s="1"/>
  <c r="C261" i="18"/>
  <c r="C189" i="18"/>
  <c r="E188" i="18"/>
  <c r="D260" i="18"/>
  <c r="E195" i="18"/>
  <c r="D239" i="18"/>
  <c r="E239" i="18"/>
  <c r="D320" i="18"/>
  <c r="E320" i="18" s="1"/>
  <c r="E316" i="18"/>
  <c r="D330" i="18"/>
  <c r="D222" i="18"/>
  <c r="C247" i="18"/>
  <c r="E314" i="18"/>
  <c r="E301" i="18"/>
  <c r="E324" i="18"/>
  <c r="C32" i="17"/>
  <c r="C90" i="17"/>
  <c r="E48" i="17"/>
  <c r="F48" i="17"/>
  <c r="C282" i="17"/>
  <c r="C281" i="17" s="1"/>
  <c r="E20" i="17"/>
  <c r="E23" i="17"/>
  <c r="F23" i="17"/>
  <c r="E29" i="17"/>
  <c r="F29" i="17" s="1"/>
  <c r="E35" i="17"/>
  <c r="F35" i="17"/>
  <c r="C37" i="17"/>
  <c r="E44" i="17"/>
  <c r="F44" i="17"/>
  <c r="D125" i="17"/>
  <c r="E53" i="17"/>
  <c r="F53" i="17"/>
  <c r="E59" i="17"/>
  <c r="F59" i="17"/>
  <c r="F67" i="17"/>
  <c r="E67" i="17"/>
  <c r="C77" i="17"/>
  <c r="E77" i="17"/>
  <c r="F89" i="17"/>
  <c r="C103" i="17"/>
  <c r="E17" i="17"/>
  <c r="F17" i="17"/>
  <c r="E24" i="17"/>
  <c r="F24" i="17"/>
  <c r="E30" i="17"/>
  <c r="F30" i="17"/>
  <c r="E36" i="17"/>
  <c r="F36" i="17"/>
  <c r="E47" i="17"/>
  <c r="F47" i="17" s="1"/>
  <c r="E52" i="17"/>
  <c r="F52" i="17"/>
  <c r="E58" i="17"/>
  <c r="F58" i="17"/>
  <c r="C61" i="17"/>
  <c r="E66" i="17"/>
  <c r="F66" i="17" s="1"/>
  <c r="C68" i="17"/>
  <c r="D103" i="17"/>
  <c r="D104" i="17" s="1"/>
  <c r="D21" i="17"/>
  <c r="E88" i="17"/>
  <c r="F88" i="17"/>
  <c r="E101" i="17"/>
  <c r="F101" i="17"/>
  <c r="E109" i="17"/>
  <c r="F109" i="17" s="1"/>
  <c r="C193" i="17"/>
  <c r="C192" i="17"/>
  <c r="E123" i="17"/>
  <c r="F123" i="17"/>
  <c r="C124" i="17"/>
  <c r="C138" i="17"/>
  <c r="C140" i="17" s="1"/>
  <c r="C141" i="17" s="1"/>
  <c r="F141" i="17" s="1"/>
  <c r="D277" i="17"/>
  <c r="D261" i="17"/>
  <c r="E188" i="17"/>
  <c r="F188" i="17" s="1"/>
  <c r="C288" i="17"/>
  <c r="D280" i="17"/>
  <c r="E280" i="17" s="1"/>
  <c r="F280" i="17" s="1"/>
  <c r="D264" i="17"/>
  <c r="E191" i="17"/>
  <c r="F191" i="17" s="1"/>
  <c r="D192" i="17"/>
  <c r="D193" i="17" s="1"/>
  <c r="D282" i="17" s="1"/>
  <c r="E282" i="17" s="1"/>
  <c r="D283" i="17"/>
  <c r="D267" i="17"/>
  <c r="E203" i="17"/>
  <c r="F203" i="17"/>
  <c r="E306" i="17"/>
  <c r="D137" i="17"/>
  <c r="D146" i="17"/>
  <c r="D159" i="17"/>
  <c r="D172" i="17"/>
  <c r="D181" i="17"/>
  <c r="C287" i="17"/>
  <c r="C284" i="17"/>
  <c r="C279" i="17"/>
  <c r="D278" i="17"/>
  <c r="D262" i="17"/>
  <c r="E262" i="17" s="1"/>
  <c r="E189" i="17"/>
  <c r="F189" i="17" s="1"/>
  <c r="D190" i="17"/>
  <c r="D290" i="17"/>
  <c r="D274" i="17"/>
  <c r="E274" i="17" s="1"/>
  <c r="D199" i="17"/>
  <c r="D200" i="17"/>
  <c r="C286" i="17"/>
  <c r="D285" i="17"/>
  <c r="D269" i="17"/>
  <c r="E204" i="17"/>
  <c r="F204" i="17"/>
  <c r="D205" i="17"/>
  <c r="E205" i="17" s="1"/>
  <c r="F205" i="17" s="1"/>
  <c r="D215" i="17"/>
  <c r="D227" i="17"/>
  <c r="E227" i="17"/>
  <c r="C190" i="17"/>
  <c r="C200" i="17"/>
  <c r="C205" i="17"/>
  <c r="C206" i="17"/>
  <c r="C214" i="17"/>
  <c r="C215" i="17"/>
  <c r="E237" i="17"/>
  <c r="F237" i="17" s="1"/>
  <c r="E250" i="17"/>
  <c r="F250" i="17"/>
  <c r="C254" i="17"/>
  <c r="C255" i="17"/>
  <c r="C261" i="17"/>
  <c r="C262" i="17"/>
  <c r="C264" i="17"/>
  <c r="C267" i="17"/>
  <c r="C270" i="17" s="1"/>
  <c r="C269" i="17"/>
  <c r="C274" i="17"/>
  <c r="E296" i="17"/>
  <c r="F296" i="17" s="1"/>
  <c r="E295" i="17"/>
  <c r="F295" i="17"/>
  <c r="E297" i="17"/>
  <c r="F297" i="17" s="1"/>
  <c r="E299" i="17"/>
  <c r="F299" i="17"/>
  <c r="F36" i="14"/>
  <c r="F38" i="14"/>
  <c r="F40" i="14" s="1"/>
  <c r="I31" i="14"/>
  <c r="I17" i="14"/>
  <c r="D31" i="14"/>
  <c r="F31" i="14"/>
  <c r="H31" i="14"/>
  <c r="C33" i="14"/>
  <c r="E33" i="14"/>
  <c r="E36" i="14" s="1"/>
  <c r="E38" i="14" s="1"/>
  <c r="E40" i="14" s="1"/>
  <c r="G33" i="14"/>
  <c r="H17" i="14"/>
  <c r="E21" i="13"/>
  <c r="D21" i="13"/>
  <c r="C20" i="13"/>
  <c r="C21" i="13"/>
  <c r="D15" i="13"/>
  <c r="C17" i="13"/>
  <c r="C28" i="13"/>
  <c r="C70" i="13" s="1"/>
  <c r="C72" i="13" s="1"/>
  <c r="C69" i="13" s="1"/>
  <c r="E17" i="13"/>
  <c r="E28" i="13" s="1"/>
  <c r="E70" i="13" s="1"/>
  <c r="E72" i="13" s="1"/>
  <c r="D48" i="13"/>
  <c r="D42" i="13" s="1"/>
  <c r="C20" i="12"/>
  <c r="F47" i="12"/>
  <c r="D75" i="11"/>
  <c r="F73" i="11"/>
  <c r="F29" i="11"/>
  <c r="F56" i="11"/>
  <c r="E22" i="11"/>
  <c r="F22" i="11"/>
  <c r="E29" i="11"/>
  <c r="E38" i="11"/>
  <c r="F38" i="11" s="1"/>
  <c r="C41" i="11"/>
  <c r="C43" i="11"/>
  <c r="E56" i="11"/>
  <c r="E61" i="11"/>
  <c r="F61" i="11"/>
  <c r="C75" i="11"/>
  <c r="E113" i="10"/>
  <c r="F208" i="9"/>
  <c r="E198" i="9"/>
  <c r="F198" i="9" s="1"/>
  <c r="E199" i="9"/>
  <c r="F199" i="9" s="1"/>
  <c r="D21" i="8"/>
  <c r="C20" i="8"/>
  <c r="C140" i="8"/>
  <c r="C138" i="8"/>
  <c r="C136" i="8"/>
  <c r="C139" i="8"/>
  <c r="C137" i="8"/>
  <c r="C135" i="8"/>
  <c r="C141" i="8"/>
  <c r="C152" i="8"/>
  <c r="D15" i="8"/>
  <c r="C17" i="8"/>
  <c r="C43" i="8"/>
  <c r="E43" i="8"/>
  <c r="D49" i="8"/>
  <c r="C53" i="8"/>
  <c r="E53" i="8"/>
  <c r="D77" i="8"/>
  <c r="D71" i="8" s="1"/>
  <c r="E49" i="8"/>
  <c r="E90" i="7"/>
  <c r="F90" i="7" s="1"/>
  <c r="E183" i="7"/>
  <c r="F183" i="7" s="1"/>
  <c r="F179" i="6"/>
  <c r="E41" i="6"/>
  <c r="F41" i="6"/>
  <c r="E84" i="6"/>
  <c r="F84" i="6"/>
  <c r="D21" i="5"/>
  <c r="D35" i="5" s="1"/>
  <c r="F48" i="5"/>
  <c r="E16" i="5"/>
  <c r="F16" i="5" s="1"/>
  <c r="C18" i="5"/>
  <c r="C21" i="5" s="1"/>
  <c r="C35" i="5" s="1"/>
  <c r="E33" i="5"/>
  <c r="F33" i="5" s="1"/>
  <c r="E41" i="5"/>
  <c r="F41" i="5"/>
  <c r="E48" i="5"/>
  <c r="E22" i="4"/>
  <c r="F22" i="4" s="1"/>
  <c r="E38" i="4"/>
  <c r="F38" i="4" s="1"/>
  <c r="F56" i="4"/>
  <c r="E61" i="4"/>
  <c r="F61" i="4" s="1"/>
  <c r="C53" i="22"/>
  <c r="C45" i="22"/>
  <c r="C39" i="22"/>
  <c r="C35" i="22"/>
  <c r="C29" i="22"/>
  <c r="D36" i="22"/>
  <c r="D30" i="22"/>
  <c r="D113" i="22" s="1"/>
  <c r="E53" i="22"/>
  <c r="E39" i="22"/>
  <c r="E110" i="22"/>
  <c r="D110" i="22"/>
  <c r="D53" i="22"/>
  <c r="D45" i="22"/>
  <c r="D39" i="22"/>
  <c r="D35" i="22"/>
  <c r="D29" i="22"/>
  <c r="D37" i="22" s="1"/>
  <c r="F43" i="20"/>
  <c r="E46" i="20"/>
  <c r="E260" i="18"/>
  <c r="D253" i="18"/>
  <c r="D66" i="18"/>
  <c r="E65" i="18"/>
  <c r="C271" i="17"/>
  <c r="E206" i="17"/>
  <c r="F206" i="17"/>
  <c r="E190" i="17"/>
  <c r="C289" i="17"/>
  <c r="D207" i="17"/>
  <c r="D208" i="17" s="1"/>
  <c r="D209" i="17" s="1"/>
  <c r="D138" i="17"/>
  <c r="E261" i="17"/>
  <c r="F261" i="17" s="1"/>
  <c r="D255" i="17"/>
  <c r="E255" i="17" s="1"/>
  <c r="F255" i="17" s="1"/>
  <c r="E269" i="17"/>
  <c r="F269" i="17" s="1"/>
  <c r="E278" i="17"/>
  <c r="F278" i="17" s="1"/>
  <c r="D173" i="17"/>
  <c r="D270" i="17"/>
  <c r="E270" i="17"/>
  <c r="F270" i="17" s="1"/>
  <c r="E267" i="17"/>
  <c r="F267" i="17"/>
  <c r="D287" i="17"/>
  <c r="D284" i="17"/>
  <c r="E284" i="17"/>
  <c r="F284" i="17" s="1"/>
  <c r="D279" i="17"/>
  <c r="E279" i="17" s="1"/>
  <c r="F279" i="17"/>
  <c r="E277" i="17"/>
  <c r="F277" i="17" s="1"/>
  <c r="C194" i="17"/>
  <c r="C195" i="17" s="1"/>
  <c r="D126" i="17"/>
  <c r="D49" i="17"/>
  <c r="F282" i="17"/>
  <c r="E124" i="17"/>
  <c r="C304" i="17"/>
  <c r="E61" i="17"/>
  <c r="C125" i="17"/>
  <c r="F125" i="17" s="1"/>
  <c r="C300" i="17"/>
  <c r="D272" i="17"/>
  <c r="D286" i="17"/>
  <c r="E286" i="17" s="1"/>
  <c r="F286" i="17" s="1"/>
  <c r="E283" i="17"/>
  <c r="F283" i="17"/>
  <c r="E125" i="17"/>
  <c r="E37" i="17"/>
  <c r="F37" i="17"/>
  <c r="G36" i="14"/>
  <c r="G38" i="14" s="1"/>
  <c r="G40" i="14" s="1"/>
  <c r="H33" i="14"/>
  <c r="H36" i="14" s="1"/>
  <c r="H38" i="14" s="1"/>
  <c r="H40" i="14" s="1"/>
  <c r="D24" i="13"/>
  <c r="D20" i="13"/>
  <c r="D17" i="13"/>
  <c r="D28" i="13"/>
  <c r="D22" i="13" s="1"/>
  <c r="E22" i="13"/>
  <c r="C34" i="12"/>
  <c r="E65" i="11"/>
  <c r="E41" i="11"/>
  <c r="F41" i="11" s="1"/>
  <c r="C112" i="8"/>
  <c r="C111" i="8" s="1"/>
  <c r="C28" i="8"/>
  <c r="C99" i="8" s="1"/>
  <c r="C101" i="8" s="1"/>
  <c r="C98" i="8" s="1"/>
  <c r="E18" i="5"/>
  <c r="F18" i="5"/>
  <c r="D112" i="22"/>
  <c r="D55" i="22"/>
  <c r="D47" i="22"/>
  <c r="D56" i="22"/>
  <c r="D48" i="22"/>
  <c r="D38" i="22"/>
  <c r="C55" i="22"/>
  <c r="C47" i="22"/>
  <c r="C37" i="22"/>
  <c r="D295" i="18"/>
  <c r="E287" i="17"/>
  <c r="D127" i="17"/>
  <c r="D148" i="17" s="1"/>
  <c r="D50" i="17"/>
  <c r="D175" i="17"/>
  <c r="D174" i="17"/>
  <c r="D140" i="17"/>
  <c r="D141" i="17" s="1"/>
  <c r="D322" i="17" s="1"/>
  <c r="D139" i="17"/>
  <c r="D70" i="13"/>
  <c r="D72" i="13"/>
  <c r="D69" i="13" s="1"/>
  <c r="D43" i="5"/>
  <c r="D50" i="5" s="1"/>
  <c r="E35" i="5"/>
  <c r="E140" i="17"/>
  <c r="F140" i="17"/>
  <c r="E141" i="17"/>
  <c r="C20" i="20" l="1"/>
  <c r="E19" i="20"/>
  <c r="F19" i="20"/>
  <c r="C42" i="12"/>
  <c r="E24" i="8"/>
  <c r="E17" i="8"/>
  <c r="E322" i="17"/>
  <c r="F35" i="5"/>
  <c r="C43" i="5"/>
  <c r="C36" i="14"/>
  <c r="C38" i="14" s="1"/>
  <c r="C40" i="14" s="1"/>
  <c r="I33" i="14"/>
  <c r="I36" i="14" s="1"/>
  <c r="I38" i="14" s="1"/>
  <c r="I40" i="14" s="1"/>
  <c r="E156" i="8"/>
  <c r="E154" i="8"/>
  <c r="E155" i="8"/>
  <c r="E157" i="8"/>
  <c r="E153" i="8"/>
  <c r="E152" i="8"/>
  <c r="D271" i="17"/>
  <c r="D263" i="17"/>
  <c r="D268" i="17"/>
  <c r="D161" i="17"/>
  <c r="D160" i="17"/>
  <c r="C265" i="17"/>
  <c r="E75" i="11"/>
  <c r="F75" i="11" s="1"/>
  <c r="C105" i="17"/>
  <c r="E73" i="4"/>
  <c r="F73" i="4" s="1"/>
  <c r="C75" i="4"/>
  <c r="F300" i="17"/>
  <c r="E215" i="17"/>
  <c r="C216" i="17"/>
  <c r="D180" i="18"/>
  <c r="D168" i="18"/>
  <c r="D62" i="17"/>
  <c r="D105" i="17"/>
  <c r="E137" i="17"/>
  <c r="F137" i="17"/>
  <c r="F227" i="17"/>
  <c r="E138" i="17"/>
  <c r="F138" i="17" s="1"/>
  <c r="F215" i="17"/>
  <c r="D194" i="17"/>
  <c r="D145" i="18"/>
  <c r="F262" i="17"/>
  <c r="F124" i="17"/>
  <c r="F61" i="17"/>
  <c r="E31" i="17"/>
  <c r="F31" i="17" s="1"/>
  <c r="E35" i="22"/>
  <c r="E29" i="22"/>
  <c r="E45" i="22"/>
  <c r="E41" i="7"/>
  <c r="F41" i="7"/>
  <c r="C153" i="8"/>
  <c r="C156" i="8"/>
  <c r="C157" i="8"/>
  <c r="C155" i="8"/>
  <c r="C154" i="8"/>
  <c r="C22" i="13"/>
  <c r="E69" i="13"/>
  <c r="C266" i="17"/>
  <c r="F20" i="17"/>
  <c r="C21" i="17"/>
  <c r="E102" i="17"/>
  <c r="F102" i="17"/>
  <c r="C290" i="17"/>
  <c r="E198" i="17"/>
  <c r="F198" i="17" s="1"/>
  <c r="C199" i="17"/>
  <c r="E199" i="17" s="1"/>
  <c r="F238" i="17"/>
  <c r="F25" i="6"/>
  <c r="E43" i="5"/>
  <c r="D210" i="17"/>
  <c r="D306" i="18"/>
  <c r="E43" i="11"/>
  <c r="F43" i="11" s="1"/>
  <c r="D300" i="17"/>
  <c r="E300" i="17" s="1"/>
  <c r="E71" i="18"/>
  <c r="D76" i="18"/>
  <c r="D155" i="8"/>
  <c r="D153" i="8"/>
  <c r="D152" i="8"/>
  <c r="D156" i="8"/>
  <c r="E72" i="10"/>
  <c r="F72" i="10"/>
  <c r="D17" i="12"/>
  <c r="E15" i="12"/>
  <c r="F15" i="12" s="1"/>
  <c r="E14" i="16"/>
  <c r="F14" i="16"/>
  <c r="F298" i="17"/>
  <c r="F287" i="17"/>
  <c r="C291" i="17"/>
  <c r="F87" i="6"/>
  <c r="E87" i="6"/>
  <c r="E124" i="6"/>
  <c r="F124" i="6" s="1"/>
  <c r="F60" i="10"/>
  <c r="E60" i="10"/>
  <c r="E117" i="10"/>
  <c r="F117" i="10"/>
  <c r="F120" i="10"/>
  <c r="E120" i="10"/>
  <c r="F65" i="11"/>
  <c r="F21" i="5"/>
  <c r="E326" i="18"/>
  <c r="C330" i="18"/>
  <c r="E21" i="5"/>
  <c r="F264" i="17"/>
  <c r="D281" i="17"/>
  <c r="E281" i="17" s="1"/>
  <c r="F281" i="17" s="1"/>
  <c r="D266" i="17"/>
  <c r="E266" i="17" s="1"/>
  <c r="C322" i="17"/>
  <c r="C139" i="17"/>
  <c r="E139" i="17" s="1"/>
  <c r="E264" i="17"/>
  <c r="E193" i="17"/>
  <c r="F193" i="17" s="1"/>
  <c r="E290" i="17"/>
  <c r="E33" i="18"/>
  <c r="C62" i="17"/>
  <c r="E192" i="17"/>
  <c r="F192" i="17" s="1"/>
  <c r="C272" i="17"/>
  <c r="D17" i="8"/>
  <c r="D24" i="8"/>
  <c r="D20" i="8" s="1"/>
  <c r="D157" i="8"/>
  <c r="E181" i="17"/>
  <c r="E103" i="17"/>
  <c r="F103" i="17" s="1"/>
  <c r="D46" i="22"/>
  <c r="D40" i="22"/>
  <c r="D54" i="22"/>
  <c r="D111" i="22"/>
  <c r="D43" i="4"/>
  <c r="E29" i="4"/>
  <c r="F29" i="4" s="1"/>
  <c r="C22" i="8"/>
  <c r="C21" i="8"/>
  <c r="F206" i="9"/>
  <c r="E206" i="9"/>
  <c r="F114" i="10"/>
  <c r="E114" i="10"/>
  <c r="E128" i="9"/>
  <c r="F128" i="9" s="1"/>
  <c r="E294" i="17"/>
  <c r="F294" i="17"/>
  <c r="E330" i="18"/>
  <c r="E25" i="6"/>
  <c r="D176" i="17"/>
  <c r="C104" i="17"/>
  <c r="E104" i="17" s="1"/>
  <c r="E32" i="17"/>
  <c r="F32" i="17" s="1"/>
  <c r="D154" i="8"/>
  <c r="F274" i="17"/>
  <c r="F190" i="17"/>
  <c r="E285" i="17"/>
  <c r="F285" i="17" s="1"/>
  <c r="D288" i="17"/>
  <c r="D52" i="6"/>
  <c r="E52" i="6" s="1"/>
  <c r="F50" i="6"/>
  <c r="E50" i="6"/>
  <c r="C95" i="6"/>
  <c r="F88" i="6"/>
  <c r="F41" i="4"/>
  <c r="D95" i="6"/>
  <c r="E95" i="6" s="1"/>
  <c r="E91" i="6"/>
  <c r="F91" i="6" s="1"/>
  <c r="E111" i="6"/>
  <c r="F111" i="6"/>
  <c r="F121" i="7"/>
  <c r="E121" i="7"/>
  <c r="E60" i="17"/>
  <c r="F60" i="17"/>
  <c r="D90" i="17"/>
  <c r="E90" i="17" s="1"/>
  <c r="F90" i="17" s="1"/>
  <c r="D91" i="17"/>
  <c r="D234" i="18"/>
  <c r="E234" i="18" s="1"/>
  <c r="D211" i="18"/>
  <c r="E210" i="18"/>
  <c r="C252" i="18"/>
  <c r="C253" i="18"/>
  <c r="E253" i="18" s="1"/>
  <c r="F85" i="6"/>
  <c r="F92" i="6"/>
  <c r="E92" i="6"/>
  <c r="D95" i="7"/>
  <c r="E59" i="7"/>
  <c r="F59" i="7" s="1"/>
  <c r="C57" i="8"/>
  <c r="C62" i="8" s="1"/>
  <c r="C49" i="8"/>
  <c r="E88" i="9"/>
  <c r="F88" i="9" s="1"/>
  <c r="D121" i="10"/>
  <c r="E121" i="10" s="1"/>
  <c r="E112" i="10"/>
  <c r="C207" i="9"/>
  <c r="E202" i="9"/>
  <c r="F202" i="9" s="1"/>
  <c r="E92" i="15"/>
  <c r="F92" i="15" s="1"/>
  <c r="D43" i="18"/>
  <c r="E41" i="18"/>
  <c r="C40" i="20"/>
  <c r="C268" i="17"/>
  <c r="C263" i="17"/>
  <c r="E200" i="17"/>
  <c r="F200" i="17" s="1"/>
  <c r="E222" i="18"/>
  <c r="D223" i="18"/>
  <c r="D246" i="18"/>
  <c r="E246" i="18" s="1"/>
  <c r="C52" i="6"/>
  <c r="E153" i="6"/>
  <c r="F153" i="6" s="1"/>
  <c r="F167" i="7"/>
  <c r="E167" i="7"/>
  <c r="E200" i="9"/>
  <c r="F200" i="9" s="1"/>
  <c r="D283" i="18"/>
  <c r="E283" i="18" s="1"/>
  <c r="E21" i="18"/>
  <c r="E38" i="18"/>
  <c r="C43" i="18"/>
  <c r="C43" i="4"/>
  <c r="D75" i="4"/>
  <c r="E130" i="7"/>
  <c r="F130" i="7" s="1"/>
  <c r="E149" i="8"/>
  <c r="C59" i="13"/>
  <c r="C61" i="13" s="1"/>
  <c r="C57" i="13" s="1"/>
  <c r="C48" i="13"/>
  <c r="C42" i="13" s="1"/>
  <c r="D22" i="18"/>
  <c r="C33" i="18"/>
  <c r="C295" i="18" s="1"/>
  <c r="E295" i="18" s="1"/>
  <c r="E32" i="18"/>
  <c r="C41" i="20"/>
  <c r="F94" i="6"/>
  <c r="E24" i="9"/>
  <c r="F24" i="9" s="1"/>
  <c r="F204" i="9"/>
  <c r="F116" i="10"/>
  <c r="E116" i="10"/>
  <c r="F110" i="17"/>
  <c r="C159" i="17"/>
  <c r="F158" i="17"/>
  <c r="C239" i="17"/>
  <c r="E279" i="18"/>
  <c r="E240" i="18"/>
  <c r="E277" i="18"/>
  <c r="F86" i="6"/>
  <c r="F89" i="6"/>
  <c r="C188" i="7"/>
  <c r="E83" i="10"/>
  <c r="F179" i="17"/>
  <c r="C181" i="17"/>
  <c r="D46" i="20"/>
  <c r="F39" i="20"/>
  <c r="E216" i="18"/>
  <c r="D175" i="18"/>
  <c r="E175" i="18" s="1"/>
  <c r="F46" i="6"/>
  <c r="F48" i="6"/>
  <c r="F81" i="6"/>
  <c r="E89" i="6"/>
  <c r="F192" i="9"/>
  <c r="F40" i="12"/>
  <c r="E60" i="15"/>
  <c r="F60" i="15" s="1"/>
  <c r="F58" i="15"/>
  <c r="F107" i="15"/>
  <c r="C146" i="17"/>
  <c r="F144" i="17"/>
  <c r="E179" i="17"/>
  <c r="F223" i="17"/>
  <c r="F34" i="20"/>
  <c r="E36" i="20"/>
  <c r="F36" i="20" s="1"/>
  <c r="E23" i="22"/>
  <c r="E33" i="22"/>
  <c r="C77" i="22"/>
  <c r="F90" i="6"/>
  <c r="F93" i="6"/>
  <c r="E93" i="6"/>
  <c r="C95" i="7"/>
  <c r="D188" i="7"/>
  <c r="E188" i="7" s="1"/>
  <c r="D149" i="8"/>
  <c r="C115" i="18"/>
  <c r="C121" i="18"/>
  <c r="C129" i="18" s="1"/>
  <c r="C131" i="18" s="1"/>
  <c r="E25" i="8"/>
  <c r="E27" i="8" s="1"/>
  <c r="E89" i="9"/>
  <c r="F89" i="9" s="1"/>
  <c r="F47" i="10"/>
  <c r="F23" i="15"/>
  <c r="F65" i="15"/>
  <c r="F135" i="17"/>
  <c r="D214" i="17"/>
  <c r="F226" i="17"/>
  <c r="D243" i="18"/>
  <c r="E219" i="18"/>
  <c r="F44" i="20"/>
  <c r="C46" i="20"/>
  <c r="F46" i="20" s="1"/>
  <c r="F19" i="21"/>
  <c r="F193" i="9"/>
  <c r="C122" i="10"/>
  <c r="E115" i="10"/>
  <c r="E40" i="12"/>
  <c r="D68" i="17"/>
  <c r="E68" i="17" s="1"/>
  <c r="F68" i="17" s="1"/>
  <c r="E158" i="17"/>
  <c r="C144" i="18"/>
  <c r="E40" i="20"/>
  <c r="E41" i="20" s="1"/>
  <c r="E21" i="21"/>
  <c r="F21" i="21" s="1"/>
  <c r="C102" i="22"/>
  <c r="C103" i="22" s="1"/>
  <c r="E88" i="22"/>
  <c r="E193" i="9"/>
  <c r="F45" i="15"/>
  <c r="F120" i="17"/>
  <c r="F307" i="17"/>
  <c r="C163" i="18"/>
  <c r="E163" i="18" s="1"/>
  <c r="E164" i="18"/>
  <c r="E288" i="18"/>
  <c r="C64" i="19"/>
  <c r="C65" i="19" s="1"/>
  <c r="C114" i="19" s="1"/>
  <c r="C116" i="19" s="1"/>
  <c r="C119" i="19" s="1"/>
  <c r="C123" i="19" s="1"/>
  <c r="C49" i="19"/>
  <c r="F16" i="20"/>
  <c r="F140" i="9"/>
  <c r="F37" i="15"/>
  <c r="F75" i="15"/>
  <c r="F94" i="17"/>
  <c r="D111" i="17"/>
  <c r="E111" i="17" s="1"/>
  <c r="F111" i="17" s="1"/>
  <c r="C172" i="17"/>
  <c r="F171" i="17"/>
  <c r="C23" i="22"/>
  <c r="E101" i="22"/>
  <c r="E103" i="22" s="1"/>
  <c r="D189" i="18"/>
  <c r="E189" i="18" s="1"/>
  <c r="D217" i="18"/>
  <c r="C160" i="17" l="1"/>
  <c r="E76" i="18"/>
  <c r="D77" i="18"/>
  <c r="E55" i="22"/>
  <c r="E47" i="22"/>
  <c r="E37" i="22"/>
  <c r="E112" i="22"/>
  <c r="E105" i="17"/>
  <c r="F105" i="17" s="1"/>
  <c r="D106" i="17"/>
  <c r="F265" i="17"/>
  <c r="C145" i="18"/>
  <c r="C168" i="18"/>
  <c r="C180" i="18"/>
  <c r="E144" i="18"/>
  <c r="F263" i="17"/>
  <c r="D289" i="17"/>
  <c r="E289" i="17" s="1"/>
  <c r="F289" i="17" s="1"/>
  <c r="E288" i="17"/>
  <c r="F288" i="17" s="1"/>
  <c r="D291" i="17"/>
  <c r="D63" i="17"/>
  <c r="E62" i="17"/>
  <c r="C49" i="12"/>
  <c r="C259" i="18"/>
  <c r="C263" i="18" s="1"/>
  <c r="C44" i="18"/>
  <c r="D112" i="8"/>
  <c r="D111" i="8" s="1"/>
  <c r="D28" i="8"/>
  <c r="D265" i="17"/>
  <c r="E265" i="17" s="1"/>
  <c r="C49" i="17"/>
  <c r="C161" i="17"/>
  <c r="C91" i="17"/>
  <c r="C196" i="17"/>
  <c r="E21" i="17"/>
  <c r="F21" i="17" s="1"/>
  <c r="C126" i="17"/>
  <c r="C106" i="17"/>
  <c r="C111" i="22"/>
  <c r="C30" i="22"/>
  <c r="C54" i="22"/>
  <c r="C46" i="22"/>
  <c r="C40" i="22"/>
  <c r="C36" i="22"/>
  <c r="F181" i="17"/>
  <c r="F52" i="6"/>
  <c r="F40" i="20"/>
  <c r="E207" i="9"/>
  <c r="F207" i="9" s="1"/>
  <c r="C254" i="18"/>
  <c r="F272" i="17"/>
  <c r="C273" i="17"/>
  <c r="E272" i="17"/>
  <c r="E168" i="18"/>
  <c r="E160" i="17"/>
  <c r="E158" i="8"/>
  <c r="F43" i="5"/>
  <c r="C50" i="5"/>
  <c r="E146" i="17"/>
  <c r="F146" i="17"/>
  <c r="E137" i="8"/>
  <c r="E138" i="8"/>
  <c r="E136" i="8"/>
  <c r="E140" i="8"/>
  <c r="E139" i="8"/>
  <c r="E135" i="8"/>
  <c r="E217" i="18"/>
  <c r="D241" i="18"/>
  <c r="E241" i="18" s="1"/>
  <c r="F104" i="17"/>
  <c r="D20" i="12"/>
  <c r="E17" i="12"/>
  <c r="F17" i="12" s="1"/>
  <c r="D196" i="17"/>
  <c r="D195" i="17"/>
  <c r="E195" i="17" s="1"/>
  <c r="F195" i="17" s="1"/>
  <c r="E194" i="17"/>
  <c r="F194" i="17" s="1"/>
  <c r="E271" i="17"/>
  <c r="F271" i="17" s="1"/>
  <c r="D273" i="17"/>
  <c r="D304" i="17"/>
  <c r="F95" i="7"/>
  <c r="E43" i="4"/>
  <c r="F43" i="4" s="1"/>
  <c r="C305" i="17"/>
  <c r="E22" i="18"/>
  <c r="D284" i="18"/>
  <c r="E284" i="18" s="1"/>
  <c r="E243" i="18"/>
  <c r="D252" i="18"/>
  <c r="E20" i="8"/>
  <c r="E21" i="8"/>
  <c r="F95" i="6"/>
  <c r="F139" i="17"/>
  <c r="D158" i="8"/>
  <c r="F266" i="17"/>
  <c r="C158" i="8"/>
  <c r="E180" i="18"/>
  <c r="D162" i="17"/>
  <c r="D247" i="18"/>
  <c r="E247" i="18" s="1"/>
  <c r="E223" i="18"/>
  <c r="F199" i="17"/>
  <c r="F216" i="17"/>
  <c r="E122" i="10"/>
  <c r="F122" i="10"/>
  <c r="E239" i="17"/>
  <c r="F239" i="17" s="1"/>
  <c r="E95" i="7"/>
  <c r="F322" i="17"/>
  <c r="D310" i="18"/>
  <c r="E310" i="18" s="1"/>
  <c r="E306" i="18"/>
  <c r="E268" i="17"/>
  <c r="F268" i="17" s="1"/>
  <c r="E28" i="8"/>
  <c r="E99" i="8" s="1"/>
  <c r="E101" i="8" s="1"/>
  <c r="E98" i="8" s="1"/>
  <c r="E112" i="8"/>
  <c r="E111" i="8" s="1"/>
  <c r="C173" i="17"/>
  <c r="F172" i="17"/>
  <c r="C108" i="22"/>
  <c r="C109" i="22"/>
  <c r="C112" i="22"/>
  <c r="C110" i="22"/>
  <c r="D235" i="18"/>
  <c r="E235" i="18" s="1"/>
  <c r="E211" i="18"/>
  <c r="C207" i="17"/>
  <c r="E159" i="17"/>
  <c r="F159" i="17" s="1"/>
  <c r="D216" i="17"/>
  <c r="E216" i="17" s="1"/>
  <c r="D254" i="17"/>
  <c r="E214" i="17"/>
  <c r="F214" i="17" s="1"/>
  <c r="F188" i="7"/>
  <c r="D44" i="18"/>
  <c r="E43" i="18"/>
  <c r="D259" i="18"/>
  <c r="D139" i="8"/>
  <c r="D137" i="8"/>
  <c r="D135" i="8"/>
  <c r="D138" i="8"/>
  <c r="D140" i="8"/>
  <c r="D136" i="8"/>
  <c r="E30" i="22"/>
  <c r="E36" i="22"/>
  <c r="E40" i="22"/>
  <c r="E54" i="22"/>
  <c r="E111" i="22"/>
  <c r="E46" i="22"/>
  <c r="F41" i="20"/>
  <c r="E75" i="4"/>
  <c r="F75" i="4" s="1"/>
  <c r="E172" i="17"/>
  <c r="D92" i="17"/>
  <c r="C63" i="17"/>
  <c r="F62" i="17"/>
  <c r="D211" i="17"/>
  <c r="F290" i="17"/>
  <c r="D169" i="18"/>
  <c r="D181" i="18"/>
  <c r="E145" i="18"/>
  <c r="E263" i="17"/>
  <c r="E20" i="20"/>
  <c r="F20" i="20"/>
  <c r="C92" i="17" l="1"/>
  <c r="E304" i="17"/>
  <c r="F304" i="17" s="1"/>
  <c r="D141" i="8"/>
  <c r="E254" i="17"/>
  <c r="F254" i="17" s="1"/>
  <c r="E273" i="17"/>
  <c r="F49" i="17"/>
  <c r="C50" i="17"/>
  <c r="E49" i="17"/>
  <c r="F63" i="17"/>
  <c r="D95" i="18"/>
  <c r="D85" i="18"/>
  <c r="D88" i="18"/>
  <c r="D98" i="18"/>
  <c r="E98" i="18" s="1"/>
  <c r="D99" i="18"/>
  <c r="D96" i="18"/>
  <c r="D97" i="18"/>
  <c r="E97" i="18" s="1"/>
  <c r="D86" i="18"/>
  <c r="D258" i="18"/>
  <c r="E44" i="18"/>
  <c r="D84" i="18"/>
  <c r="D89" i="18"/>
  <c r="E89" i="18" s="1"/>
  <c r="D87" i="18"/>
  <c r="D83" i="18"/>
  <c r="D101" i="18"/>
  <c r="D100" i="18"/>
  <c r="E100" i="18" s="1"/>
  <c r="E252" i="18"/>
  <c r="D254" i="18"/>
  <c r="E254" i="18" s="1"/>
  <c r="C38" i="22"/>
  <c r="C48" i="22"/>
  <c r="C113" i="22"/>
  <c r="C56" i="22"/>
  <c r="E20" i="12"/>
  <c r="F20" i="12" s="1"/>
  <c r="D34" i="12"/>
  <c r="F161" i="17"/>
  <c r="C162" i="17"/>
  <c r="E91" i="17"/>
  <c r="F91" i="17" s="1"/>
  <c r="F273" i="17"/>
  <c r="E126" i="17"/>
  <c r="F126" i="17"/>
  <c r="C127" i="17"/>
  <c r="D99" i="8"/>
  <c r="D101" i="8" s="1"/>
  <c r="D98" i="8" s="1"/>
  <c r="D22" i="8"/>
  <c r="D70" i="17"/>
  <c r="E63" i="17"/>
  <c r="C181" i="18"/>
  <c r="E181" i="18" s="1"/>
  <c r="C169" i="18"/>
  <c r="D127" i="18"/>
  <c r="E127" i="18" s="1"/>
  <c r="D122" i="18"/>
  <c r="E77" i="18"/>
  <c r="D124" i="18"/>
  <c r="E124" i="18" s="1"/>
  <c r="D109" i="18"/>
  <c r="D114" i="18"/>
  <c r="E114" i="18" s="1"/>
  <c r="D111" i="18"/>
  <c r="E111" i="18" s="1"/>
  <c r="D112" i="18"/>
  <c r="E112" i="18" s="1"/>
  <c r="D113" i="18"/>
  <c r="E113" i="18" s="1"/>
  <c r="D110" i="18"/>
  <c r="D123" i="18"/>
  <c r="E123" i="18" s="1"/>
  <c r="D125" i="18"/>
  <c r="E125" i="18" s="1"/>
  <c r="D126" i="18"/>
  <c r="E126" i="18" s="1"/>
  <c r="D121" i="18"/>
  <c r="D115" i="18"/>
  <c r="E115" i="18" s="1"/>
  <c r="D113" i="17"/>
  <c r="D324" i="17"/>
  <c r="E92" i="17"/>
  <c r="E259" i="18"/>
  <c r="D263" i="18"/>
  <c r="E263" i="18" s="1"/>
  <c r="F207" i="17"/>
  <c r="C208" i="17"/>
  <c r="E207" i="17"/>
  <c r="C175" i="17"/>
  <c r="E173" i="17"/>
  <c r="F173" i="17" s="1"/>
  <c r="C174" i="17"/>
  <c r="E161" i="17"/>
  <c r="E22" i="8"/>
  <c r="E291" i="17"/>
  <c r="F291" i="17" s="1"/>
  <c r="D305" i="17"/>
  <c r="E169" i="18"/>
  <c r="E38" i="22"/>
  <c r="E113" i="22"/>
  <c r="E56" i="22"/>
  <c r="E48" i="22"/>
  <c r="D183" i="17"/>
  <c r="D323" i="17"/>
  <c r="E162" i="17"/>
  <c r="C309" i="17"/>
  <c r="E141" i="8"/>
  <c r="F50" i="5"/>
  <c r="E50" i="5"/>
  <c r="E106" i="17"/>
  <c r="F106" i="17" s="1"/>
  <c r="F160" i="17"/>
  <c r="D197" i="17"/>
  <c r="E196" i="17"/>
  <c r="F196" i="17"/>
  <c r="C101" i="18"/>
  <c r="C99" i="18"/>
  <c r="C100" i="18"/>
  <c r="C95" i="18"/>
  <c r="C85" i="18"/>
  <c r="C88" i="18"/>
  <c r="C84" i="18"/>
  <c r="C96" i="18"/>
  <c r="C102" i="18" s="1"/>
  <c r="C83" i="18"/>
  <c r="C86" i="18"/>
  <c r="C98" i="18"/>
  <c r="C97" i="18"/>
  <c r="C258" i="18"/>
  <c r="C89" i="18"/>
  <c r="C87" i="18"/>
  <c r="C91" i="18" l="1"/>
  <c r="C105" i="18" s="1"/>
  <c r="E86" i="18"/>
  <c r="C176" i="17"/>
  <c r="E175" i="17"/>
  <c r="F175" i="17" s="1"/>
  <c r="D116" i="18"/>
  <c r="E116" i="18" s="1"/>
  <c r="E110" i="18"/>
  <c r="C90" i="18"/>
  <c r="E113" i="17"/>
  <c r="E83" i="18"/>
  <c r="E96" i="18"/>
  <c r="D102" i="18"/>
  <c r="E102" i="18" s="1"/>
  <c r="E305" i="17"/>
  <c r="F305" i="17" s="1"/>
  <c r="D309" i="17"/>
  <c r="E87" i="18"/>
  <c r="E99" i="18"/>
  <c r="C70" i="17"/>
  <c r="E50" i="17"/>
  <c r="F50" i="17" s="1"/>
  <c r="E34" i="12"/>
  <c r="F34" i="12" s="1"/>
  <c r="D42" i="12"/>
  <c r="C148" i="17"/>
  <c r="C197" i="17"/>
  <c r="E127" i="17"/>
  <c r="F127" i="17"/>
  <c r="C310" i="17"/>
  <c r="D325" i="17"/>
  <c r="E122" i="18"/>
  <c r="D128" i="18"/>
  <c r="E128" i="18" s="1"/>
  <c r="E101" i="18"/>
  <c r="C264" i="18"/>
  <c r="C266" i="18" s="1"/>
  <c r="C267" i="18"/>
  <c r="C210" i="17"/>
  <c r="E208" i="17"/>
  <c r="F208" i="17" s="1"/>
  <c r="C209" i="17"/>
  <c r="C103" i="18"/>
  <c r="E121" i="18"/>
  <c r="E84" i="18"/>
  <c r="D90" i="18"/>
  <c r="E88" i="18"/>
  <c r="E109" i="18"/>
  <c r="C183" i="17"/>
  <c r="C323" i="17"/>
  <c r="F162" i="17"/>
  <c r="E85" i="18"/>
  <c r="C324" i="17"/>
  <c r="E324" i="17" s="1"/>
  <c r="F92" i="17"/>
  <c r="C113" i="17"/>
  <c r="E174" i="17"/>
  <c r="F174" i="17" s="1"/>
  <c r="D264" i="18"/>
  <c r="E258" i="18"/>
  <c r="E95" i="18"/>
  <c r="D103" i="18"/>
  <c r="E103" i="18" s="1"/>
  <c r="E309" i="17" l="1"/>
  <c r="F309" i="17" s="1"/>
  <c r="D310" i="17"/>
  <c r="E90" i="18"/>
  <c r="D266" i="18"/>
  <c r="E264" i="18"/>
  <c r="D129" i="18"/>
  <c r="E129" i="18" s="1"/>
  <c r="E323" i="17"/>
  <c r="F323" i="17" s="1"/>
  <c r="E209" i="17"/>
  <c r="F209" i="17" s="1"/>
  <c r="F324" i="17"/>
  <c r="C325" i="17"/>
  <c r="E148" i="17"/>
  <c r="F148" i="17" s="1"/>
  <c r="E325" i="17"/>
  <c r="D49" i="12"/>
  <c r="E49" i="12" s="1"/>
  <c r="F49" i="12" s="1"/>
  <c r="E42" i="12"/>
  <c r="F42" i="12" s="1"/>
  <c r="E210" i="17"/>
  <c r="F210" i="17" s="1"/>
  <c r="E197" i="17"/>
  <c r="F197" i="17" s="1"/>
  <c r="C269" i="18"/>
  <c r="C268" i="18"/>
  <c r="C312" i="17"/>
  <c r="C211" i="17"/>
  <c r="E176" i="17"/>
  <c r="F176" i="17" s="1"/>
  <c r="E70" i="17"/>
  <c r="F70" i="17" s="1"/>
  <c r="E183" i="17"/>
  <c r="F183" i="17" s="1"/>
  <c r="D91" i="18"/>
  <c r="F113" i="17"/>
  <c r="D117" i="18"/>
  <c r="C271" i="18" l="1"/>
  <c r="F211" i="17"/>
  <c r="E211" i="17"/>
  <c r="D131" i="18"/>
  <c r="E131" i="18" s="1"/>
  <c r="E117" i="18"/>
  <c r="F325" i="17"/>
  <c r="E266" i="18"/>
  <c r="D267" i="18"/>
  <c r="E310" i="17"/>
  <c r="F310" i="17" s="1"/>
  <c r="D312" i="17"/>
  <c r="D105" i="18"/>
  <c r="E105" i="18" s="1"/>
  <c r="E91" i="18"/>
  <c r="C313" i="17"/>
  <c r="C256" i="17" l="1"/>
  <c r="C314" i="17"/>
  <c r="C251" i="17"/>
  <c r="C315" i="17"/>
  <c r="D269" i="18"/>
  <c r="E269" i="18" s="1"/>
  <c r="D268" i="18"/>
  <c r="E267" i="18"/>
  <c r="E312" i="17"/>
  <c r="F312" i="17" s="1"/>
  <c r="D313" i="17"/>
  <c r="C257" i="17" l="1"/>
  <c r="D271" i="18"/>
  <c r="E271" i="18" s="1"/>
  <c r="E268" i="18"/>
  <c r="F315" i="17"/>
  <c r="D251" i="17"/>
  <c r="E251" i="17" s="1"/>
  <c r="F251" i="17" s="1"/>
  <c r="D314" i="17"/>
  <c r="E313" i="17"/>
  <c r="F313" i="17" s="1"/>
  <c r="D315" i="17"/>
  <c r="E315" i="17" s="1"/>
  <c r="D256" i="17"/>
  <c r="C318" i="17"/>
  <c r="D257" i="17" l="1"/>
  <c r="E257" i="17" s="1"/>
  <c r="F257" i="17" s="1"/>
  <c r="E256" i="17"/>
  <c r="F256" i="17" s="1"/>
  <c r="D318" i="17"/>
  <c r="E318" i="17" s="1"/>
  <c r="F318" i="17" s="1"/>
  <c r="E314" i="17"/>
  <c r="F314" i="17" s="1"/>
</calcChain>
</file>

<file path=xl/sharedStrings.xml><?xml version="1.0" encoding="utf-8"?>
<sst xmlns="http://schemas.openxmlformats.org/spreadsheetml/2006/main" count="2335" uniqueCount="1009">
  <si>
    <t>STAMFORD HOSPITAL</t>
  </si>
  <si>
    <t>TWELVE MONTHS ACTUAL FILING</t>
  </si>
  <si>
    <t>FISCAL YEAR 2015</t>
  </si>
  <si>
    <t>REPORT 100 - HOSPITAL BALANCE SHEET INFORMATION</t>
  </si>
  <si>
    <t>FY 2014</t>
  </si>
  <si>
    <t>FY 2015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</si>
  <si>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</si>
  <si>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</si>
  <si>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</si>
  <si>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</si>
  <si>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</si>
  <si>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</si>
  <si>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</si>
  <si>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</si>
  <si>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</si>
  <si>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</si>
  <si>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</si>
  <si>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</si>
  <si>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</si>
  <si>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</si>
  <si>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</si>
  <si>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</si>
  <si>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</si>
  <si>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</si>
  <si>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</si>
  <si>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</si>
  <si>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</si>
  <si>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</si>
  <si>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</si>
  <si>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</si>
  <si>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</si>
  <si>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</si>
  <si>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</si>
  <si>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</si>
  <si>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</si>
  <si>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</si>
  <si>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</si>
  <si>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</si>
  <si>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</si>
  <si>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</si>
  <si>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</si>
  <si>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</si>
  <si>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</si>
  <si>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</si>
  <si>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</si>
  <si>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</si>
  <si>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</si>
  <si>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</si>
  <si>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</si>
  <si>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</si>
  <si>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</si>
  <si>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</si>
  <si>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</si>
  <si>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</si>
  <si>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</si>
  <si>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</si>
  <si>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</si>
  <si>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</si>
  <si>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</si>
  <si>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</si>
  <si>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</si>
  <si>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</si>
  <si>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</si>
  <si>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</si>
  <si>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</si>
  <si>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</si>
  <si>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</si>
  <si>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</si>
  <si>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</si>
  <si>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</si>
  <si>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</si>
  <si>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</si>
  <si>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</si>
  <si>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</si>
  <si>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</si>
  <si>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</si>
  <si>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</si>
  <si>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</si>
  <si>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</si>
  <si>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</si>
  <si>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</si>
  <si>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</si>
  <si>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</si>
  <si>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</si>
  <si>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</si>
  <si>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</si>
  <si>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</si>
  <si>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</si>
  <si>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</si>
  <si>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</si>
  <si>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</si>
  <si>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</si>
  <si>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</si>
  <si>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</si>
  <si>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</si>
  <si>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</si>
  <si>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</si>
  <si>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</si>
  <si>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</si>
  <si>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</si>
  <si>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</si>
  <si>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</si>
  <si>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</si>
  <si>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</si>
  <si>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</si>
  <si>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</si>
  <si>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</si>
  <si>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2014                ACTUAL</t>
  </si>
  <si>
    <t>FY 2015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</si>
  <si>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</si>
  <si>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</si>
  <si>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</si>
  <si>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</si>
  <si>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</si>
  <si>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</si>
  <si>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</si>
  <si>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</si>
  <si>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</si>
  <si>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</si>
  <si>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</si>
  <si>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</si>
  <si>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</si>
  <si>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</si>
  <si>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</si>
  <si>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</si>
  <si>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</si>
  <si>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</si>
  <si>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</si>
  <si>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</si>
  <si>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</si>
  <si>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</si>
  <si>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</si>
  <si>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</si>
  <si>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</si>
  <si>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</si>
  <si>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</si>
  <si>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</si>
  <si>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</si>
  <si>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</si>
  <si>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</si>
  <si>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</si>
  <si>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</si>
  <si>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</si>
  <si>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</si>
  <si>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</si>
  <si>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</si>
  <si>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</si>
  <si>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</si>
  <si>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</si>
  <si>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</si>
  <si>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</si>
  <si>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</si>
  <si>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</si>
  <si>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</si>
  <si>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</si>
  <si>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</si>
  <si>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</si>
  <si>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</si>
  <si>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</si>
  <si>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</si>
  <si>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</si>
  <si>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</si>
  <si>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</si>
  <si>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</si>
  <si>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</si>
  <si>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</si>
  <si>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</si>
  <si>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</si>
  <si>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</si>
  <si>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</si>
  <si>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</si>
  <si>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</si>
  <si>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</si>
  <si>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</si>
  <si>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</si>
  <si>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</si>
  <si>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</si>
  <si>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</si>
  <si>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</si>
  <si>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</si>
  <si>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</si>
  <si>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</si>
  <si>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</si>
  <si>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</si>
  <si>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</si>
  <si>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</si>
  <si>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</si>
  <si>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</si>
  <si>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</si>
  <si>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</si>
  <si>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</si>
  <si>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</si>
  <si>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</si>
  <si>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</si>
  <si>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</si>
  <si>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</si>
  <si>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</si>
  <si>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</si>
  <si>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</si>
  <si>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</si>
  <si>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</si>
  <si>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</si>
  <si>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</si>
  <si>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</si>
  <si>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</si>
  <si>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</si>
  <si>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</si>
  <si>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</si>
  <si>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</si>
  <si>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</si>
  <si>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</si>
  <si>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</si>
  <si>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</si>
  <si>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</si>
  <si>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</si>
  <si>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</si>
  <si>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</si>
  <si>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</si>
  <si>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</si>
  <si>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</si>
  <si>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</si>
  <si>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</si>
  <si>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</si>
  <si>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</si>
  <si>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</si>
  <si>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</si>
  <si>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</si>
  <si>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</si>
  <si>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</si>
  <si>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</si>
  <si>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</si>
  <si>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</si>
  <si>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</si>
  <si>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</si>
  <si>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</si>
  <si>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</si>
  <si>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</si>
  <si>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</si>
  <si>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</si>
  <si>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</si>
  <si>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</si>
  <si>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</si>
  <si>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</si>
  <si>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</si>
  <si>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</si>
  <si>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</si>
  <si>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</si>
  <si>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</si>
  <si>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</si>
  <si>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</si>
  <si>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</si>
  <si>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</si>
  <si>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</si>
  <si>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</si>
  <si>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</si>
  <si>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</si>
  <si>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</si>
  <si>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</si>
  <si>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</si>
  <si>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</si>
  <si>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</si>
  <si>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</si>
  <si>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</si>
  <si>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</si>
  <si>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</si>
  <si>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</si>
  <si>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</si>
  <si>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</si>
  <si>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</si>
  <si>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</si>
  <si>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</si>
  <si>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</si>
  <si>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</si>
  <si>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</si>
  <si>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</si>
  <si>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</si>
  <si>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</si>
  <si>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</si>
  <si>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</si>
  <si>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</si>
  <si>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</si>
  <si>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</si>
  <si>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</si>
  <si>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</si>
  <si>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</si>
  <si>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</si>
  <si>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</si>
  <si>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</si>
  <si>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</si>
  <si>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</si>
  <si>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</si>
  <si>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</si>
  <si>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</si>
  <si>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</si>
  <si>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</si>
  <si>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</si>
  <si>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</si>
  <si>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</si>
  <si>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</si>
  <si>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</si>
  <si>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</si>
  <si>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</si>
  <si>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</si>
  <si>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</si>
  <si>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</si>
  <si>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</si>
  <si>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</si>
  <si>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</si>
  <si>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</si>
  <si>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</si>
  <si>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</si>
  <si>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</si>
  <si>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</si>
  <si>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</si>
  <si>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2015</t>
  </si>
  <si>
    <t>REPORT 185 - HOSPITAL FINANCIAL AND STATISTICAL DATA ANALYSIS</t>
  </si>
  <si>
    <t xml:space="preserve">      FY 2013</t>
  </si>
  <si>
    <t xml:space="preserve">      FY 2014</t>
  </si>
  <si>
    <t xml:space="preserve">      FY 2015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</si>
  <si>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</si>
  <si>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</si>
  <si>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</si>
  <si>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</si>
  <si>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</si>
  <si>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</si>
  <si>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</si>
  <si>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</si>
  <si>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</si>
  <si>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</si>
  <si>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</si>
  <si>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</si>
  <si>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</si>
  <si>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</si>
  <si>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</si>
  <si>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</si>
  <si>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</si>
  <si>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</si>
  <si>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</si>
  <si>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</si>
  <si>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</si>
  <si>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</si>
  <si>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</si>
  <si>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</si>
  <si>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</si>
  <si>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</si>
  <si>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</si>
  <si>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</si>
  <si>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</si>
  <si>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</si>
  <si>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</si>
  <si>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</si>
  <si>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</si>
  <si>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</si>
  <si>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</si>
  <si>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</si>
  <si>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</si>
  <si>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</si>
  <si>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</si>
  <si>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</si>
  <si>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</si>
  <si>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</si>
  <si>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</si>
  <si>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</si>
  <si>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</si>
  <si>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</si>
  <si>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</si>
  <si>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</si>
  <si>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</si>
  <si>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</si>
  <si>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</si>
  <si>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</si>
  <si>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</si>
  <si>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</si>
  <si>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</si>
  <si>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</si>
  <si>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</si>
  <si>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</si>
  <si>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</si>
  <si>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</si>
  <si>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</si>
  <si>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</si>
  <si>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</si>
  <si>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</si>
  <si>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</si>
  <si>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</si>
  <si>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</si>
  <si>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</si>
  <si>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</si>
  <si>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</si>
  <si>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</si>
  <si>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</si>
  <si>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</si>
  <si>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</si>
  <si>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</si>
  <si>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</si>
  <si>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</si>
  <si>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</si>
  <si>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</si>
  <si>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</si>
  <si>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</si>
  <si>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</si>
  <si>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</si>
  <si>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</si>
  <si>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</si>
  <si>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</si>
  <si>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</si>
  <si>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</si>
  <si>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</si>
  <si>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</si>
  <si>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</si>
  <si>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</si>
  <si>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</si>
  <si>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</si>
  <si>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</si>
  <si>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</si>
  <si>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</si>
  <si>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</si>
  <si>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</si>
  <si>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</si>
  <si>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</si>
  <si>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</si>
  <si>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</si>
  <si>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</si>
  <si>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</si>
  <si>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</si>
  <si>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</si>
  <si>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</si>
  <si>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</si>
  <si>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</si>
  <si>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</si>
  <si>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</si>
  <si>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</si>
  <si>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</si>
  <si>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</si>
  <si>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</si>
  <si>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</si>
  <si>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2014 ACTUAL</t>
  </si>
  <si>
    <t>FY 2015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</si>
  <si>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</si>
  <si>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</si>
  <si>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</si>
  <si>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</si>
  <si>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</si>
  <si>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</si>
  <si>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</si>
  <si>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</si>
  <si>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</si>
  <si>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</si>
  <si>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</si>
  <si>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</si>
  <si>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</si>
  <si>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</si>
  <si>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</si>
  <si>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</si>
  <si>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</si>
  <si>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</si>
  <si>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</si>
  <si>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</si>
  <si>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</si>
  <si>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</si>
  <si>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</si>
  <si>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</si>
  <si>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</si>
  <si>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</si>
  <si>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</si>
  <si>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</si>
  <si>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</si>
  <si>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</si>
  <si>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</si>
  <si>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</si>
  <si>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</si>
  <si>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</si>
  <si>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</si>
  <si>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</si>
  <si>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2014 ACTUAL     </t>
  </si>
  <si>
    <t xml:space="preserve">      FY 2015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</si>
  <si>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</si>
  <si>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</si>
  <si>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</si>
  <si>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</si>
  <si>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</si>
  <si>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</si>
  <si>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</si>
  <si>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</si>
  <si>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</si>
  <si>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</si>
  <si>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</si>
  <si>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</si>
  <si>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</si>
  <si>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</si>
  <si>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</si>
  <si>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</si>
  <si>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</si>
  <si>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</si>
  <si>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</si>
  <si>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</si>
  <si>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</si>
  <si>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</si>
  <si>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</si>
  <si>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</si>
  <si>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STAMFORD HEALTH INC (FORMERLY STAMFORD HEALTH SYSTEM, INC)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</si>
  <si>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</si>
  <si>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</si>
  <si>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</si>
  <si>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</si>
  <si>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2013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</si>
  <si>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</si>
  <si>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</si>
  <si>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</si>
  <si>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</si>
  <si>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</si>
  <si>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</si>
  <si>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</si>
  <si>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</si>
  <si>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</si>
  <si>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</si>
  <si>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</si>
  <si>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</si>
  <si>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</si>
  <si>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</si>
  <si>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</si>
  <si>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</si>
  <si>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</si>
  <si>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</si>
  <si>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</si>
  <si>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</si>
  <si>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</si>
  <si>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</si>
  <si>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</si>
  <si>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</si>
  <si>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</si>
  <si>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</si>
  <si>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</si>
  <si>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</si>
  <si>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</si>
  <si>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</si>
  <si>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</si>
  <si>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</si>
  <si>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</si>
  <si>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</si>
  <si>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</si>
  <si>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</si>
  <si>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</si>
  <si>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</si>
  <si>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</si>
  <si>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</si>
  <si>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</si>
  <si>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</si>
  <si>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</si>
  <si>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</si>
  <si>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</si>
  <si>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</si>
  <si>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</si>
  <si>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</si>
  <si>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</si>
  <si>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</si>
  <si>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</si>
  <si>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</si>
  <si>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</si>
  <si>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</si>
  <si>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</si>
  <si>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</si>
  <si>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</si>
  <si>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</si>
  <si>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</si>
  <si>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</si>
  <si>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</si>
  <si>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</si>
  <si>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</si>
  <si>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</si>
  <si>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</si>
  <si>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</si>
  <si>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</si>
  <si>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</si>
  <si>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</si>
  <si>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</si>
  <si>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</si>
  <si>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</si>
  <si>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</si>
  <si>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</si>
  <si>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</si>
  <si>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</si>
  <si>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</si>
  <si>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</si>
  <si>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</si>
  <si>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</si>
  <si>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</si>
  <si>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</si>
  <si>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</si>
  <si>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</si>
  <si>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</si>
  <si>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</si>
  <si>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</si>
  <si>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</si>
  <si>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</si>
  <si>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</si>
  <si>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</si>
  <si>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</si>
  <si>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</si>
  <si>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</si>
  <si>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</si>
  <si>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</si>
  <si>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</si>
  <si>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</si>
  <si>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</si>
  <si>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</si>
  <si>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</si>
  <si>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</si>
  <si>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</si>
  <si>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</si>
  <si>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</si>
  <si>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</si>
  <si>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</si>
  <si>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</si>
  <si>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</si>
  <si>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</si>
  <si>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</si>
  <si>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</si>
  <si>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</si>
  <si>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</si>
  <si>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</si>
  <si>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Stamford Hospital</t>
  </si>
  <si>
    <t>Tully Health Center</t>
  </si>
  <si>
    <t>Total Outpatient Surgical Procedures(A)</t>
  </si>
  <si>
    <t>Total Outpatient Endoscopy Procedures(B)</t>
  </si>
  <si>
    <t>Outpatient Hospital Emergency Room Visits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</si>
  <si>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</si>
  <si>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</si>
  <si>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</si>
  <si>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</si>
  <si>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</si>
  <si>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</si>
  <si>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</si>
  <si>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</si>
  <si>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</si>
  <si>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</si>
  <si>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</si>
  <si>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</si>
  <si>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</si>
  <si>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</si>
  <si>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</si>
  <si>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</si>
  <si>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</si>
  <si>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</si>
  <si>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</si>
  <si>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</si>
  <si>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</si>
  <si>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</si>
  <si>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</si>
  <si>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</si>
  <si>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</si>
  <si>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</si>
  <si>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</si>
  <si>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</si>
  <si>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</si>
  <si>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</si>
  <si>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</si>
  <si>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</si>
  <si>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</si>
  <si>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</si>
  <si>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</si>
  <si>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</si>
  <si>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</si>
  <si>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</si>
  <si>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</si>
  <si>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</si>
  <si>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</si>
  <si>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</si>
  <si>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</si>
  <si>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</si>
  <si>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</si>
  <si>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</si>
  <si>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</si>
  <si>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</si>
  <si>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</si>
  <si>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</si>
  <si>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</si>
  <si>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</si>
  <si>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</si>
  <si>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</si>
  <si>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</si>
  <si>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</si>
  <si>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</si>
  <si>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</si>
  <si>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</si>
  <si>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</si>
  <si>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</si>
  <si>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</si>
  <si>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</si>
  <si>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</si>
  <si>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</si>
  <si>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</si>
  <si>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</si>
  <si>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</si>
  <si>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</si>
  <si>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</si>
  <si>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</si>
  <si>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</si>
  <si>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</si>
  <si>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</si>
  <si>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</si>
  <si>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</si>
  <si>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</si>
  <si>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</si>
  <si>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</si>
  <si>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</si>
  <si>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</si>
  <si>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</si>
  <si>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</si>
  <si>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</si>
  <si>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</si>
  <si>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</si>
  <si>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</si>
  <si>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</si>
  <si>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</si>
  <si>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</si>
  <si>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</si>
  <si>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</si>
  <si>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</si>
  <si>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</si>
  <si>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</si>
  <si>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</si>
  <si>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</si>
  <si>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</si>
  <si>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</si>
  <si>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</si>
  <si>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</si>
  <si>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</si>
  <si>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</si>
  <si>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</si>
  <si>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</si>
  <si>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</si>
  <si>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</si>
  <si>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</si>
  <si>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</si>
  <si>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</si>
  <si>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</si>
  <si>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</si>
  <si>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</si>
  <si>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</si>
  <si>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</si>
  <si>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</si>
  <si>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</si>
  <si>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</si>
  <si>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</si>
  <si>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</si>
  <si>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</si>
  <si>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</si>
  <si>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</si>
  <si>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</si>
  <si>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</si>
  <si>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</si>
  <si>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</si>
  <si>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</si>
  <si>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</si>
  <si>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</si>
  <si>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</si>
  <si>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</si>
  <si>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</si>
  <si>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</si>
  <si>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</si>
  <si>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</si>
  <si>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</si>
  <si>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</si>
  <si>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</si>
  <si>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</si>
  <si>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</si>
  <si>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</si>
  <si>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</si>
  <si>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</si>
  <si>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2015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</si>
  <si>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</si>
  <si>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</si>
  <si>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2014</t>
    </r>
  </si>
  <si>
    <r>
      <t xml:space="preserve">ACTUAL            </t>
    </r>
    <r>
      <rPr>
        <b/>
        <u/>
        <sz val="12"/>
        <rFont val="Arial"/>
        <family val="2"/>
      </rPr>
      <t>FY 2015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</si>
  <si>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</si>
  <si>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</si>
  <si>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</si>
  <si>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</si>
  <si>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</si>
  <si>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</si>
  <si>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</si>
  <si>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</si>
  <si>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</si>
  <si>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</si>
  <si>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</si>
  <si>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</si>
  <si>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</si>
  <si>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</si>
  <si>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</si>
  <si>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</si>
  <si>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</si>
  <si>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</si>
  <si>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</si>
  <si>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</si>
  <si>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</si>
  <si>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</si>
  <si>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</si>
  <si>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</si>
  <si>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</si>
  <si>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</si>
  <si>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</si>
  <si>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</si>
  <si>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</si>
  <si>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</si>
  <si>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</si>
  <si>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</si>
  <si>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</si>
  <si>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</si>
  <si>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</si>
  <si>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</si>
  <si>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</si>
  <si>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</si>
  <si>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</si>
  <si>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</si>
  <si>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</si>
  <si>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</si>
  <si>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</si>
  <si>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</si>
  <si>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</si>
  <si>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</si>
  <si>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</si>
  <si>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</si>
  <si>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</si>
  <si>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</si>
  <si>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</si>
  <si>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</si>
  <si>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</si>
  <si>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</si>
  <si>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</si>
  <si>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</si>
  <si>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</si>
  <si>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</si>
  <si>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</si>
  <si>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</si>
  <si>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</si>
  <si>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</si>
  <si>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</si>
  <si>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</si>
  <si>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</si>
  <si>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</si>
  <si>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</si>
  <si>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</si>
  <si>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</si>
  <si>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</si>
  <si>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</si>
  <si>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</si>
  <si>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</si>
  <si>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</si>
  <si>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</si>
  <si>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</si>
  <si>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</si>
  <si>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</si>
  <si>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</si>
  <si>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</si>
  <si>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</si>
  <si>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</si>
  <si>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</si>
  <si>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</si>
  <si>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</si>
  <si>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</si>
  <si>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</si>
  <si>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</si>
  <si>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</si>
  <si>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</si>
  <si>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</si>
  <si>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</si>
  <si>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</si>
  <si>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</si>
  <si>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</si>
  <si>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</si>
  <si>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</si>
  <si>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2015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</si>
  <si>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</si>
  <si>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</si>
  <si>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</si>
  <si>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</si>
  <si>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</si>
  <si>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</si>
  <si>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</si>
  <si>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</si>
  <si>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</si>
  <si>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</si>
  <si>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</si>
  <si>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</si>
  <si>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</si>
  <si>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</si>
  <si>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</si>
  <si>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</si>
  <si>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</si>
  <si>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</si>
  <si>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</si>
  <si>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</si>
  <si>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</si>
  <si>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</si>
  <si>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</si>
  <si>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</si>
  <si>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</si>
  <si>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</si>
  <si>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</si>
  <si>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</si>
  <si>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</si>
  <si>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</si>
  <si>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</si>
  <si>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</si>
  <si>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</si>
  <si>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</si>
  <si>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</si>
  <si>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</si>
  <si>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</si>
  <si>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</si>
  <si>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</si>
  <si>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</si>
  <si>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</si>
  <si>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</si>
  <si>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</si>
  <si>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</si>
  <si>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</si>
  <si>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</si>
  <si>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</si>
  <si>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</si>
  <si>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</si>
  <si>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</si>
  <si>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</si>
  <si>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</si>
  <si>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</si>
  <si>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</si>
  <si>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</si>
  <si>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2013</t>
    </r>
  </si>
  <si>
    <r>
      <t xml:space="preserve">ACTUAL          </t>
    </r>
    <r>
      <rPr>
        <b/>
        <u/>
        <sz val="14"/>
        <rFont val="Arial"/>
        <family val="2"/>
      </rPr>
      <t>FY 2014</t>
    </r>
  </si>
  <si>
    <r>
      <t xml:space="preserve">ACTUAL          </t>
    </r>
    <r>
      <rPr>
        <b/>
        <u/>
        <sz val="14"/>
        <rFont val="Arial"/>
        <family val="2"/>
      </rPr>
      <t>FY 2015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</si>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</sst>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6" xfId="7" applyFill="1" applyBorder="1" applyAlignment="1">
      <alignment horizontal="center"/>
    </xf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7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4" fillId="0" borderId="12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zoomScale="75" zoomScaleSheetLayoutView="75" workbookViewId="0">
      <selection sqref="A1:F1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101451000</v>
      </c>
      <c r="D13" s="22">
        <v>127288000</v>
      </c>
      <c r="E13" s="22">
        <f t="shared" ref="E13:E22" si="0">D13-C13</f>
        <v>25837000</v>
      </c>
      <c r="F13" s="23">
        <f t="shared" ref="F13:F22" si="1">IF(C13=0,0,E13/C13)</f>
        <v>0.254674670530601</v>
      </c>
    </row>
    <row r="14" spans="1:8" ht="24" customHeight="1" x14ac:dyDescent="0.2">
      <c r="A14" s="20">
        <v>2</v>
      </c>
      <c r="B14" s="21" t="s">
        <v>17</v>
      </c>
      <c r="C14" s="22">
        <v>58000</v>
      </c>
      <c r="D14" s="22">
        <v>53000</v>
      </c>
      <c r="E14" s="22">
        <f t="shared" si="0"/>
        <v>-5000</v>
      </c>
      <c r="F14" s="23">
        <f t="shared" si="1"/>
        <v>-8.6206896551724144E-2</v>
      </c>
    </row>
    <row r="15" spans="1:8" ht="24" customHeight="1" x14ac:dyDescent="0.2">
      <c r="A15" s="20">
        <v>3</v>
      </c>
      <c r="B15" s="21" t="s">
        <v>18</v>
      </c>
      <c r="C15" s="22">
        <v>68967000</v>
      </c>
      <c r="D15" s="22">
        <v>72727000</v>
      </c>
      <c r="E15" s="22">
        <f t="shared" si="0"/>
        <v>3760000</v>
      </c>
      <c r="F15" s="23">
        <f t="shared" si="1"/>
        <v>5.4518827845201331E-2</v>
      </c>
    </row>
    <row r="16" spans="1:8" ht="24" customHeight="1" x14ac:dyDescent="0.2">
      <c r="A16" s="20">
        <v>4</v>
      </c>
      <c r="B16" s="21" t="s">
        <v>19</v>
      </c>
      <c r="C16" s="22">
        <v>113000</v>
      </c>
      <c r="D16" s="22">
        <v>103000</v>
      </c>
      <c r="E16" s="22">
        <f t="shared" si="0"/>
        <v>-10000</v>
      </c>
      <c r="F16" s="23">
        <f t="shared" si="1"/>
        <v>-8.8495575221238937E-2</v>
      </c>
    </row>
    <row r="17" spans="1:11" ht="24" customHeight="1" x14ac:dyDescent="0.2">
      <c r="A17" s="20">
        <v>5</v>
      </c>
      <c r="B17" s="21" t="s">
        <v>20</v>
      </c>
      <c r="C17" s="22">
        <v>0</v>
      </c>
      <c r="D17" s="22">
        <v>0</v>
      </c>
      <c r="E17" s="22">
        <f t="shared" si="0"/>
        <v>0</v>
      </c>
      <c r="F17" s="23">
        <f t="shared" si="1"/>
        <v>0</v>
      </c>
    </row>
    <row r="18" spans="1:11" ht="24" customHeight="1" x14ac:dyDescent="0.2">
      <c r="A18" s="20">
        <v>6</v>
      </c>
      <c r="B18" s="21" t="s">
        <v>21</v>
      </c>
      <c r="C18" s="22">
        <v>2838000</v>
      </c>
      <c r="D18" s="22">
        <v>265000</v>
      </c>
      <c r="E18" s="22">
        <f t="shared" si="0"/>
        <v>-2573000</v>
      </c>
      <c r="F18" s="23">
        <f t="shared" si="1"/>
        <v>-0.90662438336856943</v>
      </c>
    </row>
    <row r="19" spans="1:11" ht="24" customHeight="1" x14ac:dyDescent="0.2">
      <c r="A19" s="20">
        <v>7</v>
      </c>
      <c r="B19" s="21" t="s">
        <v>22</v>
      </c>
      <c r="C19" s="22">
        <v>6403000</v>
      </c>
      <c r="D19" s="22">
        <v>7430000</v>
      </c>
      <c r="E19" s="22">
        <f t="shared" si="0"/>
        <v>1027000</v>
      </c>
      <c r="F19" s="23">
        <f t="shared" si="1"/>
        <v>0.16039356551616429</v>
      </c>
    </row>
    <row r="20" spans="1:11" ht="24" customHeight="1" x14ac:dyDescent="0.2">
      <c r="A20" s="20">
        <v>8</v>
      </c>
      <c r="B20" s="21" t="s">
        <v>23</v>
      </c>
      <c r="C20" s="22">
        <v>6029000</v>
      </c>
      <c r="D20" s="22">
        <v>7573000</v>
      </c>
      <c r="E20" s="22">
        <f t="shared" si="0"/>
        <v>1544000</v>
      </c>
      <c r="F20" s="23">
        <f t="shared" si="1"/>
        <v>0.25609553823187925</v>
      </c>
    </row>
    <row r="21" spans="1:11" ht="24" customHeight="1" x14ac:dyDescent="0.2">
      <c r="A21" s="20">
        <v>9</v>
      </c>
      <c r="B21" s="21" t="s">
        <v>24</v>
      </c>
      <c r="C21" s="22">
        <v>6798000</v>
      </c>
      <c r="D21" s="22">
        <v>10491000</v>
      </c>
      <c r="E21" s="22">
        <f t="shared" si="0"/>
        <v>3693000</v>
      </c>
      <c r="F21" s="23">
        <f t="shared" si="1"/>
        <v>0.54324801412180057</v>
      </c>
    </row>
    <row r="22" spans="1:11" ht="24" customHeight="1" x14ac:dyDescent="0.25">
      <c r="A22" s="24"/>
      <c r="B22" s="25" t="s">
        <v>25</v>
      </c>
      <c r="C22" s="26">
        <f>SUM(C13:C21)</f>
        <v>192657000</v>
      </c>
      <c r="D22" s="26">
        <f>SUM(D13:D21)</f>
        <v>225930000</v>
      </c>
      <c r="E22" s="26">
        <f t="shared" si="0"/>
        <v>33273000</v>
      </c>
      <c r="F22" s="27">
        <f t="shared" si="1"/>
        <v>0.17270589700867345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77128000</v>
      </c>
      <c r="D25" s="22">
        <v>0</v>
      </c>
      <c r="E25" s="22">
        <f>D25-C25</f>
        <v>-77128000</v>
      </c>
      <c r="F25" s="23">
        <f>IF(C25=0,0,E25/C25)</f>
        <v>-1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0</v>
      </c>
      <c r="D26" s="22">
        <v>0</v>
      </c>
      <c r="E26" s="22">
        <f>D26-C26</f>
        <v>0</v>
      </c>
      <c r="F26" s="23">
        <f>IF(C26=0,0,E26/C26)</f>
        <v>0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0</v>
      </c>
      <c r="D27" s="22">
        <v>0</v>
      </c>
      <c r="E27" s="22">
        <f>D27-C27</f>
        <v>0</v>
      </c>
      <c r="F27" s="23">
        <f>IF(C27=0,0,E27/C27)</f>
        <v>0</v>
      </c>
    </row>
    <row r="28" spans="1:11" ht="24" customHeight="1" x14ac:dyDescent="0.2">
      <c r="A28" s="20">
        <v>4</v>
      </c>
      <c r="B28" s="21" t="s">
        <v>31</v>
      </c>
      <c r="C28" s="22">
        <v>26253000</v>
      </c>
      <c r="D28" s="22">
        <v>26337000</v>
      </c>
      <c r="E28" s="22">
        <f>D28-C28</f>
        <v>84000</v>
      </c>
      <c r="F28" s="23">
        <f>IF(C28=0,0,E28/C28)</f>
        <v>3.199634327505428E-3</v>
      </c>
    </row>
    <row r="29" spans="1:11" ht="24" customHeight="1" x14ac:dyDescent="0.25">
      <c r="A29" s="24"/>
      <c r="B29" s="25" t="s">
        <v>32</v>
      </c>
      <c r="C29" s="26">
        <f>SUM(C25:C28)</f>
        <v>103381000</v>
      </c>
      <c r="D29" s="26">
        <f>SUM(D25:D28)</f>
        <v>26337000</v>
      </c>
      <c r="E29" s="26">
        <f>D29-C29</f>
        <v>-77044000</v>
      </c>
      <c r="F29" s="27">
        <f>IF(C29=0,0,E29/C29)</f>
        <v>-0.74524332324121456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0</v>
      </c>
      <c r="D31" s="22">
        <v>0</v>
      </c>
      <c r="E31" s="22">
        <f>D31-C31</f>
        <v>0</v>
      </c>
      <c r="F31" s="23">
        <f>IF(C31=0,0,E31/C31)</f>
        <v>0</v>
      </c>
    </row>
    <row r="32" spans="1:11" ht="24" customHeight="1" x14ac:dyDescent="0.2">
      <c r="A32" s="20">
        <v>6</v>
      </c>
      <c r="B32" s="21" t="s">
        <v>34</v>
      </c>
      <c r="C32" s="22">
        <v>66272000</v>
      </c>
      <c r="D32" s="22">
        <v>83859000</v>
      </c>
      <c r="E32" s="22">
        <f>D32-C32</f>
        <v>17587000</v>
      </c>
      <c r="F32" s="23">
        <f>IF(C32=0,0,E32/C32)</f>
        <v>0.26537602607436023</v>
      </c>
    </row>
    <row r="33" spans="1:8" ht="24" customHeight="1" x14ac:dyDescent="0.2">
      <c r="A33" s="20">
        <v>7</v>
      </c>
      <c r="B33" s="21" t="s">
        <v>35</v>
      </c>
      <c r="C33" s="22">
        <v>33726000</v>
      </c>
      <c r="D33" s="22">
        <v>32063000</v>
      </c>
      <c r="E33" s="22">
        <f>D33-C33</f>
        <v>-1663000</v>
      </c>
      <c r="F33" s="23">
        <f>IF(C33=0,0,E33/C33)</f>
        <v>-4.930913835023424E-2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595321000</v>
      </c>
      <c r="D36" s="22">
        <v>570171000</v>
      </c>
      <c r="E36" s="22">
        <f>D36-C36</f>
        <v>-25150000</v>
      </c>
      <c r="F36" s="23">
        <f>IF(C36=0,0,E36/C36)</f>
        <v>-4.2246115960968958E-2</v>
      </c>
    </row>
    <row r="37" spans="1:8" ht="24" customHeight="1" x14ac:dyDescent="0.2">
      <c r="A37" s="20">
        <v>2</v>
      </c>
      <c r="B37" s="21" t="s">
        <v>39</v>
      </c>
      <c r="C37" s="22">
        <v>385771000</v>
      </c>
      <c r="D37" s="22">
        <v>373304000</v>
      </c>
      <c r="E37" s="22">
        <f>D37-C37</f>
        <v>-12467000</v>
      </c>
      <c r="F37" s="23">
        <f>IF(C37=0,0,E37/C37)</f>
        <v>-3.2317100041216164E-2</v>
      </c>
    </row>
    <row r="38" spans="1:8" ht="24" customHeight="1" x14ac:dyDescent="0.25">
      <c r="A38" s="24"/>
      <c r="B38" s="25" t="s">
        <v>40</v>
      </c>
      <c r="C38" s="26">
        <f>C36-C37</f>
        <v>209550000</v>
      </c>
      <c r="D38" s="26">
        <f>D36-D37</f>
        <v>196867000</v>
      </c>
      <c r="E38" s="26">
        <f>D38-C38</f>
        <v>-12683000</v>
      </c>
      <c r="F38" s="27">
        <f>IF(C38=0,0,E38/C38)</f>
        <v>-6.0524934383202098E-2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205609000</v>
      </c>
      <c r="D40" s="22">
        <v>340910000</v>
      </c>
      <c r="E40" s="22">
        <f>D40-C40</f>
        <v>135301000</v>
      </c>
      <c r="F40" s="23">
        <f>IF(C40=0,0,E40/C40)</f>
        <v>0.65804998808417925</v>
      </c>
    </row>
    <row r="41" spans="1:8" ht="24" customHeight="1" x14ac:dyDescent="0.25">
      <c r="A41" s="24"/>
      <c r="B41" s="25" t="s">
        <v>42</v>
      </c>
      <c r="C41" s="26">
        <f>+C38+C40</f>
        <v>415159000</v>
      </c>
      <c r="D41" s="26">
        <f>+D38+D40</f>
        <v>537777000</v>
      </c>
      <c r="E41" s="26">
        <f>D41-C41</f>
        <v>122618000</v>
      </c>
      <c r="F41" s="27">
        <f>IF(C41=0,0,E41/C41)</f>
        <v>0.29535190131973532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811195000</v>
      </c>
      <c r="D43" s="26">
        <f>D22+D29+D31+D32+D33+D41</f>
        <v>905966000</v>
      </c>
      <c r="E43" s="26">
        <f>D43-C43</f>
        <v>94771000</v>
      </c>
      <c r="F43" s="27">
        <f>IF(C43=0,0,E43/C43)</f>
        <v>0.11682887591762769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74743000</v>
      </c>
      <c r="D49" s="22">
        <v>77183000</v>
      </c>
      <c r="E49" s="22">
        <f t="shared" ref="E49:E56" si="2">D49-C49</f>
        <v>2440000</v>
      </c>
      <c r="F49" s="23">
        <f t="shared" ref="F49:F56" si="3">IF(C49=0,0,E49/C49)</f>
        <v>3.264519754358268E-2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10571000</v>
      </c>
      <c r="D50" s="22">
        <v>11627000</v>
      </c>
      <c r="E50" s="22">
        <f t="shared" si="2"/>
        <v>1056000</v>
      </c>
      <c r="F50" s="23">
        <f t="shared" si="3"/>
        <v>9.9895941727367321E-2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6542000</v>
      </c>
      <c r="D51" s="22">
        <v>7801000</v>
      </c>
      <c r="E51" s="22">
        <f t="shared" si="2"/>
        <v>1259000</v>
      </c>
      <c r="F51" s="23">
        <f t="shared" si="3"/>
        <v>0.19244879241822072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0</v>
      </c>
      <c r="D52" s="22">
        <v>0</v>
      </c>
      <c r="E52" s="22">
        <f t="shared" si="2"/>
        <v>0</v>
      </c>
      <c r="F52" s="23">
        <f t="shared" si="3"/>
        <v>0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5562000</v>
      </c>
      <c r="D53" s="22">
        <v>5693000</v>
      </c>
      <c r="E53" s="22">
        <f t="shared" si="2"/>
        <v>131000</v>
      </c>
      <c r="F53" s="23">
        <f t="shared" si="3"/>
        <v>2.3552678892484719E-2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0</v>
      </c>
      <c r="D54" s="22">
        <v>0</v>
      </c>
      <c r="E54" s="22">
        <f t="shared" si="2"/>
        <v>0</v>
      </c>
      <c r="F54" s="23">
        <f t="shared" si="3"/>
        <v>0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19240000</v>
      </c>
      <c r="D55" s="22">
        <v>19702000</v>
      </c>
      <c r="E55" s="22">
        <f t="shared" si="2"/>
        <v>462000</v>
      </c>
      <c r="F55" s="23">
        <f t="shared" si="3"/>
        <v>2.4012474012474014E-2</v>
      </c>
    </row>
    <row r="56" spans="1:6" ht="24" customHeight="1" x14ac:dyDescent="0.25">
      <c r="A56" s="24"/>
      <c r="B56" s="25" t="s">
        <v>54</v>
      </c>
      <c r="C56" s="26">
        <f>SUM(C49:C55)</f>
        <v>116658000</v>
      </c>
      <c r="D56" s="26">
        <f>SUM(D49:D55)</f>
        <v>122006000</v>
      </c>
      <c r="E56" s="26">
        <f t="shared" si="2"/>
        <v>5348000</v>
      </c>
      <c r="F56" s="27">
        <f t="shared" si="3"/>
        <v>4.5843405510123607E-2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367973000</v>
      </c>
      <c r="D59" s="22">
        <v>362280000</v>
      </c>
      <c r="E59" s="22">
        <f>D59-C59</f>
        <v>-5693000</v>
      </c>
      <c r="F59" s="23">
        <f>IF(C59=0,0,E59/C59)</f>
        <v>-1.5471243814084186E-2</v>
      </c>
    </row>
    <row r="60" spans="1:6" ht="24" customHeight="1" x14ac:dyDescent="0.2">
      <c r="A60" s="20">
        <v>2</v>
      </c>
      <c r="B60" s="21" t="s">
        <v>57</v>
      </c>
      <c r="C60" s="22">
        <v>0</v>
      </c>
      <c r="D60" s="22">
        <v>0</v>
      </c>
      <c r="E60" s="22">
        <f>D60-C60</f>
        <v>0</v>
      </c>
      <c r="F60" s="23">
        <f>IF(C60=0,0,E60/C60)</f>
        <v>0</v>
      </c>
    </row>
    <row r="61" spans="1:6" ht="24" customHeight="1" x14ac:dyDescent="0.25">
      <c r="A61" s="24"/>
      <c r="B61" s="25" t="s">
        <v>58</v>
      </c>
      <c r="C61" s="26">
        <f>SUM(C59:C60)</f>
        <v>367973000</v>
      </c>
      <c r="D61" s="26">
        <f>SUM(D59:D60)</f>
        <v>362280000</v>
      </c>
      <c r="E61" s="26">
        <f>D61-C61</f>
        <v>-5693000</v>
      </c>
      <c r="F61" s="27">
        <f>IF(C61=0,0,E61/C61)</f>
        <v>-1.5471243814084186E-2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73008000</v>
      </c>
      <c r="D63" s="22">
        <v>77424000</v>
      </c>
      <c r="E63" s="22">
        <f>D63-C63</f>
        <v>4416000</v>
      </c>
      <c r="F63" s="23">
        <f>IF(C63=0,0,E63/C63)</f>
        <v>6.0486522024983565E-2</v>
      </c>
    </row>
    <row r="64" spans="1:6" ht="24" customHeight="1" x14ac:dyDescent="0.2">
      <c r="A64" s="20">
        <v>4</v>
      </c>
      <c r="B64" s="21" t="s">
        <v>60</v>
      </c>
      <c r="C64" s="22">
        <v>34750000</v>
      </c>
      <c r="D64" s="22">
        <v>34782000</v>
      </c>
      <c r="E64" s="22">
        <f>D64-C64</f>
        <v>32000</v>
      </c>
      <c r="F64" s="23">
        <f>IF(C64=0,0,E64/C64)</f>
        <v>9.2086330935251795E-4</v>
      </c>
    </row>
    <row r="65" spans="1:6" ht="24" customHeight="1" x14ac:dyDescent="0.25">
      <c r="A65" s="24"/>
      <c r="B65" s="25" t="s">
        <v>61</v>
      </c>
      <c r="C65" s="26">
        <f>SUM(C61:C64)</f>
        <v>475731000</v>
      </c>
      <c r="D65" s="26">
        <f>SUM(D61:D64)</f>
        <v>474486000</v>
      </c>
      <c r="E65" s="26">
        <f>D65-C65</f>
        <v>-1245000</v>
      </c>
      <c r="F65" s="27">
        <f>IF(C65=0,0,E65/C65)</f>
        <v>-2.617025167584202E-3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151392000</v>
      </c>
      <c r="D70" s="22">
        <v>218717000</v>
      </c>
      <c r="E70" s="22">
        <f>D70-C70</f>
        <v>67325000</v>
      </c>
      <c r="F70" s="23">
        <f>IF(C70=0,0,E70/C70)</f>
        <v>0.44470645740858167</v>
      </c>
    </row>
    <row r="71" spans="1:6" ht="24" customHeight="1" x14ac:dyDescent="0.2">
      <c r="A71" s="20">
        <v>2</v>
      </c>
      <c r="B71" s="21" t="s">
        <v>65</v>
      </c>
      <c r="C71" s="22">
        <v>59053000</v>
      </c>
      <c r="D71" s="22">
        <v>82312000</v>
      </c>
      <c r="E71" s="22">
        <f>D71-C71</f>
        <v>23259000</v>
      </c>
      <c r="F71" s="23">
        <f>IF(C71=0,0,E71/C71)</f>
        <v>0.39386652667942357</v>
      </c>
    </row>
    <row r="72" spans="1:6" ht="24" customHeight="1" x14ac:dyDescent="0.2">
      <c r="A72" s="20">
        <v>3</v>
      </c>
      <c r="B72" s="21" t="s">
        <v>66</v>
      </c>
      <c r="C72" s="22">
        <v>8361000</v>
      </c>
      <c r="D72" s="22">
        <v>8445000</v>
      </c>
      <c r="E72" s="22">
        <f>D72-C72</f>
        <v>84000</v>
      </c>
      <c r="F72" s="23">
        <f>IF(C72=0,0,E72/C72)</f>
        <v>1.0046645138141371E-2</v>
      </c>
    </row>
    <row r="73" spans="1:6" ht="24" customHeight="1" x14ac:dyDescent="0.25">
      <c r="A73" s="20"/>
      <c r="B73" s="25" t="s">
        <v>67</v>
      </c>
      <c r="C73" s="26">
        <f>SUM(C70:C72)</f>
        <v>218806000</v>
      </c>
      <c r="D73" s="26">
        <f>SUM(D70:D72)</f>
        <v>309474000</v>
      </c>
      <c r="E73" s="26">
        <f>D73-C73</f>
        <v>90668000</v>
      </c>
      <c r="F73" s="27">
        <f>IF(C73=0,0,E73/C73)</f>
        <v>0.41437620540570186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811195000</v>
      </c>
      <c r="D75" s="26">
        <f>D56+D65+D67+D73</f>
        <v>905966000</v>
      </c>
      <c r="E75" s="26">
        <f>D75-C75</f>
        <v>94771000</v>
      </c>
      <c r="F75" s="27">
        <f>IF(C75=0,0,E75/C75)</f>
        <v>0.11682887591762769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FILING&amp;RSTAMFORD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zoomScale="70" zoomScaleSheetLayoutView="75" workbookViewId="0">
      <selection activeCell="E80" sqref="E80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495861267</v>
      </c>
      <c r="D11" s="76">
        <v>496036287</v>
      </c>
      <c r="E11" s="76">
        <v>521110947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22120448</v>
      </c>
      <c r="D12" s="185">
        <v>25832166</v>
      </c>
      <c r="E12" s="185">
        <v>19319772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517981715</v>
      </c>
      <c r="D13" s="76">
        <f>+D11+D12</f>
        <v>521868453</v>
      </c>
      <c r="E13" s="76">
        <f>+E11+E12</f>
        <v>540430719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513251900</v>
      </c>
      <c r="D14" s="185">
        <v>513310031</v>
      </c>
      <c r="E14" s="185">
        <v>525445808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4729815</v>
      </c>
      <c r="D15" s="76">
        <f>+D13-D14</f>
        <v>8558422</v>
      </c>
      <c r="E15" s="76">
        <f>+E13-E14</f>
        <v>14984911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7750771</v>
      </c>
      <c r="D16" s="185">
        <v>8978023</v>
      </c>
      <c r="E16" s="185">
        <v>-2577936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12480586</v>
      </c>
      <c r="D17" s="76">
        <f>D15+D16</f>
        <v>17536445</v>
      </c>
      <c r="E17" s="76">
        <f>E15+E16</f>
        <v>12406975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8.9966192425856677E-3</v>
      </c>
      <c r="D20" s="189">
        <f>IF(+D27=0,0,+D24/+D27)</f>
        <v>1.6122216849754505E-2</v>
      </c>
      <c r="E20" s="189">
        <f>IF(+E27=0,0,+E24/+E27)</f>
        <v>2.786061813498137E-2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1.4742804004696792E-2</v>
      </c>
      <c r="D21" s="189">
        <f>IF(+D27=0,0,+D26/+D27)</f>
        <v>1.691265442251895E-2</v>
      </c>
      <c r="E21" s="189">
        <f>IF(+E27=0,0,+E26/+E27)</f>
        <v>-4.7930141508629141E-3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2.3739423247282457E-2</v>
      </c>
      <c r="D22" s="189">
        <f>IF(+D27=0,0,+D28/+D27)</f>
        <v>3.3034871272273454E-2</v>
      </c>
      <c r="E22" s="189">
        <f>IF(+E27=0,0,+E28/+E27)</f>
        <v>2.3067603984118456E-2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4729815</v>
      </c>
      <c r="D24" s="76">
        <f>+D15</f>
        <v>8558422</v>
      </c>
      <c r="E24" s="76">
        <f>+E15</f>
        <v>14984911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517981715</v>
      </c>
      <c r="D25" s="76">
        <f>+D13</f>
        <v>521868453</v>
      </c>
      <c r="E25" s="76">
        <f>+E13</f>
        <v>540430719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7750771</v>
      </c>
      <c r="D26" s="76">
        <f>+D16</f>
        <v>8978023</v>
      </c>
      <c r="E26" s="76">
        <f>+E16</f>
        <v>-2577936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525732486</v>
      </c>
      <c r="D27" s="76">
        <f>SUM(D25:D26)</f>
        <v>530846476</v>
      </c>
      <c r="E27" s="76">
        <f>SUM(E25:E26)</f>
        <v>537852783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12480586</v>
      </c>
      <c r="D28" s="76">
        <f>+D17</f>
        <v>17536445</v>
      </c>
      <c r="E28" s="76">
        <f>+E17</f>
        <v>12406975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340828000</v>
      </c>
      <c r="D31" s="76">
        <v>339225000</v>
      </c>
      <c r="E31" s="76">
        <v>344214000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391145000</v>
      </c>
      <c r="D32" s="76">
        <v>409047000</v>
      </c>
      <c r="E32" s="76">
        <v>437379000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82213000</v>
      </c>
      <c r="D33" s="76">
        <f>+D32-C32</f>
        <v>17902000</v>
      </c>
      <c r="E33" s="76">
        <f>+E32-D32</f>
        <v>28332000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1.2661</v>
      </c>
      <c r="D34" s="193">
        <f>IF(C32=0,0,+D33/C32)</f>
        <v>4.5768193380971253E-2</v>
      </c>
      <c r="E34" s="193">
        <f>IF(D32=0,0,+E33/D32)</f>
        <v>6.9263434275278882E-2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1.6124421443368837</v>
      </c>
      <c r="D38" s="338">
        <f>IF(+D40=0,0,+D39/+D40)</f>
        <v>1.4800005713102287</v>
      </c>
      <c r="E38" s="338">
        <f>IF(+E40=0,0,+E39/+E40)</f>
        <v>1.5892501439358344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209374000</v>
      </c>
      <c r="D39" s="341">
        <v>207243000</v>
      </c>
      <c r="E39" s="341">
        <v>240150000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129849000</v>
      </c>
      <c r="D40" s="341">
        <v>140029000</v>
      </c>
      <c r="E40" s="341">
        <v>151109000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84.467315712904252</v>
      </c>
      <c r="D42" s="343">
        <f>IF((D48/365)=0,0,+D45/(D48/365))</f>
        <v>82.070960117745898</v>
      </c>
      <c r="E42" s="343">
        <f>IF((E48/365)=0,0,+E45/(E48/365))</f>
        <v>98.503364802729806</v>
      </c>
    </row>
    <row r="43" spans="1:14" ht="24" customHeight="1" x14ac:dyDescent="0.2">
      <c r="A43" s="339">
        <v>5</v>
      </c>
      <c r="B43" s="344" t="s">
        <v>16</v>
      </c>
      <c r="C43" s="345">
        <v>112710000</v>
      </c>
      <c r="D43" s="345">
        <v>109623000</v>
      </c>
      <c r="E43" s="345">
        <v>134849000</v>
      </c>
    </row>
    <row r="44" spans="1:14" ht="24" customHeight="1" x14ac:dyDescent="0.2">
      <c r="A44" s="339">
        <v>6</v>
      </c>
      <c r="B44" s="346" t="s">
        <v>17</v>
      </c>
      <c r="C44" s="345">
        <v>44000</v>
      </c>
      <c r="D44" s="345">
        <v>58000</v>
      </c>
      <c r="E44" s="345">
        <v>53000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112754000</v>
      </c>
      <c r="D45" s="341">
        <f>+D43+D44</f>
        <v>109681000</v>
      </c>
      <c r="E45" s="341">
        <f>+E43+E44</f>
        <v>134902000</v>
      </c>
    </row>
    <row r="46" spans="1:14" ht="24" customHeight="1" x14ac:dyDescent="0.2">
      <c r="A46" s="339">
        <v>8</v>
      </c>
      <c r="B46" s="340" t="s">
        <v>334</v>
      </c>
      <c r="C46" s="341">
        <f>+C14</f>
        <v>513251900</v>
      </c>
      <c r="D46" s="341">
        <f>+D14</f>
        <v>513310031</v>
      </c>
      <c r="E46" s="341">
        <f>+E14</f>
        <v>525445808</v>
      </c>
    </row>
    <row r="47" spans="1:14" ht="24" customHeight="1" x14ac:dyDescent="0.2">
      <c r="A47" s="339">
        <v>9</v>
      </c>
      <c r="B47" s="340" t="s">
        <v>356</v>
      </c>
      <c r="C47" s="341">
        <v>26019535</v>
      </c>
      <c r="D47" s="341">
        <v>25517943</v>
      </c>
      <c r="E47" s="341">
        <v>25572224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487232365</v>
      </c>
      <c r="D48" s="341">
        <f>+D46-D47</f>
        <v>487792088</v>
      </c>
      <c r="E48" s="341">
        <f>+E46-E47</f>
        <v>499873584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45.218928140237253</v>
      </c>
      <c r="D50" s="350">
        <f>IF((D55/365)=0,0,+D54/(D55/365))</f>
        <v>43.495840053330618</v>
      </c>
      <c r="E50" s="350">
        <f>IF((E55/365)=0,0,+E54/(E55/365))</f>
        <v>42.615358836436037</v>
      </c>
    </row>
    <row r="51" spans="1:5" ht="24" customHeight="1" x14ac:dyDescent="0.2">
      <c r="A51" s="339">
        <v>12</v>
      </c>
      <c r="B51" s="344" t="s">
        <v>359</v>
      </c>
      <c r="C51" s="351">
        <v>72380000</v>
      </c>
      <c r="D51" s="351">
        <v>73832000</v>
      </c>
      <c r="E51" s="351">
        <v>77483000</v>
      </c>
    </row>
    <row r="52" spans="1:5" ht="24" customHeight="1" x14ac:dyDescent="0.2">
      <c r="A52" s="339">
        <v>13</v>
      </c>
      <c r="B52" s="344" t="s">
        <v>21</v>
      </c>
      <c r="C52" s="341">
        <v>3366000</v>
      </c>
      <c r="D52" s="341">
        <v>2838000</v>
      </c>
      <c r="E52" s="341">
        <v>265000</v>
      </c>
    </row>
    <row r="53" spans="1:5" ht="24" customHeight="1" x14ac:dyDescent="0.2">
      <c r="A53" s="339">
        <v>14</v>
      </c>
      <c r="B53" s="344" t="s">
        <v>49</v>
      </c>
      <c r="C53" s="341">
        <v>14315000</v>
      </c>
      <c r="D53" s="341">
        <v>17559000</v>
      </c>
      <c r="E53" s="341">
        <v>16906000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61431000</v>
      </c>
      <c r="D54" s="352">
        <f>+D51+D52-D53</f>
        <v>59111000</v>
      </c>
      <c r="E54" s="352">
        <f>+E51+E52-E53</f>
        <v>60842000</v>
      </c>
    </row>
    <row r="55" spans="1:5" ht="24" customHeight="1" x14ac:dyDescent="0.2">
      <c r="A55" s="339">
        <v>16</v>
      </c>
      <c r="B55" s="340" t="s">
        <v>75</v>
      </c>
      <c r="C55" s="341">
        <f>+C11</f>
        <v>495861267</v>
      </c>
      <c r="D55" s="341">
        <f>+D11</f>
        <v>496036287</v>
      </c>
      <c r="E55" s="341">
        <f>+E11</f>
        <v>521110947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97.273679674378783</v>
      </c>
      <c r="D57" s="355">
        <f>IF((D61/365)=0,0,+D58/(D61/365))</f>
        <v>104.7794465251761</v>
      </c>
      <c r="E57" s="355">
        <f>IF((E61/365)=0,0,+E58/(E61/365))</f>
        <v>110.3374668424167</v>
      </c>
    </row>
    <row r="58" spans="1:5" ht="24" customHeight="1" x14ac:dyDescent="0.2">
      <c r="A58" s="339">
        <v>18</v>
      </c>
      <c r="B58" s="340" t="s">
        <v>54</v>
      </c>
      <c r="C58" s="353">
        <f>+C40</f>
        <v>129849000</v>
      </c>
      <c r="D58" s="353">
        <f>+D40</f>
        <v>140029000</v>
      </c>
      <c r="E58" s="353">
        <f>+E40</f>
        <v>151109000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513251900</v>
      </c>
      <c r="D59" s="353">
        <f t="shared" si="0"/>
        <v>513310031</v>
      </c>
      <c r="E59" s="353">
        <f t="shared" si="0"/>
        <v>525445808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26019535</v>
      </c>
      <c r="D60" s="356">
        <f t="shared" si="0"/>
        <v>25517943</v>
      </c>
      <c r="E60" s="356">
        <f t="shared" si="0"/>
        <v>25572224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487232365</v>
      </c>
      <c r="D61" s="353">
        <f>+D59-D60</f>
        <v>487792088</v>
      </c>
      <c r="E61" s="353">
        <f>+E59-E60</f>
        <v>499873584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38.587738777942313</v>
      </c>
      <c r="D65" s="357">
        <f>IF(D67=0,0,(D66/D67)*100)</f>
        <v>39.289885697819614</v>
      </c>
      <c r="E65" s="357">
        <f>IF(E67=0,0,(E66/E67)*100)</f>
        <v>40.328749490564611</v>
      </c>
    </row>
    <row r="66" spans="1:5" ht="24" customHeight="1" x14ac:dyDescent="0.2">
      <c r="A66" s="339">
        <v>2</v>
      </c>
      <c r="B66" s="340" t="s">
        <v>67</v>
      </c>
      <c r="C66" s="353">
        <f>+C32</f>
        <v>391145000</v>
      </c>
      <c r="D66" s="353">
        <f>+D32</f>
        <v>409047000</v>
      </c>
      <c r="E66" s="353">
        <f>+E32</f>
        <v>437379000</v>
      </c>
    </row>
    <row r="67" spans="1:5" ht="24" customHeight="1" x14ac:dyDescent="0.2">
      <c r="A67" s="339">
        <v>3</v>
      </c>
      <c r="B67" s="340" t="s">
        <v>43</v>
      </c>
      <c r="C67" s="353">
        <v>1013651000</v>
      </c>
      <c r="D67" s="353">
        <v>1041100000</v>
      </c>
      <c r="E67" s="353">
        <v>1084534000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7.5718032832022528</v>
      </c>
      <c r="D69" s="357">
        <f>IF(D75=0,0,(D72/D75)*100)</f>
        <v>8.3945991475622073</v>
      </c>
      <c r="E69" s="357">
        <f>IF(E75=0,0,(E72/E75)*100)</f>
        <v>7.3314812491192578</v>
      </c>
    </row>
    <row r="70" spans="1:5" ht="24" customHeight="1" x14ac:dyDescent="0.2">
      <c r="A70" s="339">
        <v>5</v>
      </c>
      <c r="B70" s="340" t="s">
        <v>366</v>
      </c>
      <c r="C70" s="353">
        <f>+C28</f>
        <v>12480586</v>
      </c>
      <c r="D70" s="353">
        <f>+D28</f>
        <v>17536445</v>
      </c>
      <c r="E70" s="353">
        <f>+E28</f>
        <v>12406975</v>
      </c>
    </row>
    <row r="71" spans="1:5" ht="24" customHeight="1" x14ac:dyDescent="0.2">
      <c r="A71" s="339">
        <v>6</v>
      </c>
      <c r="B71" s="340" t="s">
        <v>356</v>
      </c>
      <c r="C71" s="356">
        <f>+C47</f>
        <v>26019535</v>
      </c>
      <c r="D71" s="356">
        <f>+D47</f>
        <v>25517943</v>
      </c>
      <c r="E71" s="356">
        <f>+E47</f>
        <v>25572224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38500121</v>
      </c>
      <c r="D72" s="353">
        <f>+D70+D71</f>
        <v>43054388</v>
      </c>
      <c r="E72" s="353">
        <f>+E70+E71</f>
        <v>37979199</v>
      </c>
    </row>
    <row r="73" spans="1:5" ht="24" customHeight="1" x14ac:dyDescent="0.2">
      <c r="A73" s="339">
        <v>8</v>
      </c>
      <c r="B73" s="340" t="s">
        <v>54</v>
      </c>
      <c r="C73" s="341">
        <f>+C40</f>
        <v>129849000</v>
      </c>
      <c r="D73" s="341">
        <f>+D40</f>
        <v>140029000</v>
      </c>
      <c r="E73" s="341">
        <f>+E40</f>
        <v>151109000</v>
      </c>
    </row>
    <row r="74" spans="1:5" ht="24" customHeight="1" x14ac:dyDescent="0.2">
      <c r="A74" s="339">
        <v>9</v>
      </c>
      <c r="B74" s="340" t="s">
        <v>58</v>
      </c>
      <c r="C74" s="353">
        <v>378618000</v>
      </c>
      <c r="D74" s="353">
        <v>372853000</v>
      </c>
      <c r="E74" s="353">
        <v>366920000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508467000</v>
      </c>
      <c r="D75" s="341">
        <f>+D73+D74</f>
        <v>512882000</v>
      </c>
      <c r="E75" s="341">
        <f>+E73+E74</f>
        <v>518029000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49.186307993499298</v>
      </c>
      <c r="D77" s="359">
        <f>IF(D80=0,0,(D78/D80)*100)</f>
        <v>47.685509655966236</v>
      </c>
      <c r="E77" s="359">
        <f>IF(E80=0,0,(E78/E80)*100)</f>
        <v>45.619850329292959</v>
      </c>
    </row>
    <row r="78" spans="1:5" ht="24" customHeight="1" x14ac:dyDescent="0.2">
      <c r="A78" s="339">
        <v>12</v>
      </c>
      <c r="B78" s="340" t="s">
        <v>58</v>
      </c>
      <c r="C78" s="341">
        <f>+C74</f>
        <v>378618000</v>
      </c>
      <c r="D78" s="341">
        <f>+D74</f>
        <v>372853000</v>
      </c>
      <c r="E78" s="341">
        <f>+E74</f>
        <v>366920000</v>
      </c>
    </row>
    <row r="79" spans="1:5" ht="24" customHeight="1" x14ac:dyDescent="0.2">
      <c r="A79" s="339">
        <v>13</v>
      </c>
      <c r="B79" s="340" t="s">
        <v>67</v>
      </c>
      <c r="C79" s="341">
        <f>+C32</f>
        <v>391145000</v>
      </c>
      <c r="D79" s="341">
        <f>+D32</f>
        <v>409047000</v>
      </c>
      <c r="E79" s="341">
        <f>+E32</f>
        <v>437379000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769763000</v>
      </c>
      <c r="D80" s="341">
        <f>+D78+D79</f>
        <v>781900000</v>
      </c>
      <c r="E80" s="341">
        <f>+E78+E79</f>
        <v>804299000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73" fitToHeight="0" orientation="portrait" horizontalDpi="1200" verticalDpi="1200" r:id="rId1"/>
  <headerFooter>
    <oddHeader>_x000D_
                &amp;L&amp;8OFFICE OF HEALTH CARE ACCESS&amp;C&amp;8TWELVE MONTHS ACTUAL FILING&amp;R&amp;8STAMFORD HEALTH INC (FORMERLY STAMFORD HEALTH SYSTEM, INC)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75" zoomScaleSheetLayoutView="75" workbookViewId="0">
      <selection activeCell="C8" sqref="C8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43180</v>
      </c>
      <c r="D11" s="376">
        <v>8644</v>
      </c>
      <c r="E11" s="376">
        <v>8826</v>
      </c>
      <c r="F11" s="377">
        <v>141</v>
      </c>
      <c r="G11" s="377">
        <v>186</v>
      </c>
      <c r="H11" s="378">
        <f>IF(F11=0,0,$C11/(F11*365))</f>
        <v>0.83901680753910424</v>
      </c>
      <c r="I11" s="378">
        <f>IF(G11=0,0,$C11/(G11*365))</f>
        <v>0.63602887023125643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1639</v>
      </c>
      <c r="D13" s="376">
        <v>181</v>
      </c>
      <c r="E13" s="376">
        <v>0</v>
      </c>
      <c r="F13" s="377">
        <v>5</v>
      </c>
      <c r="G13" s="377">
        <v>16</v>
      </c>
      <c r="H13" s="378">
        <f>IF(F13=0,0,$C13/(F13*365))</f>
        <v>0.89808219178082194</v>
      </c>
      <c r="I13" s="378">
        <f>IF(G13=0,0,$C13/(G13*365))</f>
        <v>0.28065068493150686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0</v>
      </c>
      <c r="D15" s="376">
        <v>0</v>
      </c>
      <c r="E15" s="376">
        <v>0</v>
      </c>
      <c r="F15" s="377">
        <v>0</v>
      </c>
      <c r="G15" s="377">
        <v>0</v>
      </c>
      <c r="H15" s="378">
        <f t="shared" ref="H15:I17" si="0">IF(F15=0,0,$C15/(F15*365))</f>
        <v>0</v>
      </c>
      <c r="I15" s="378">
        <f t="shared" si="0"/>
        <v>0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5465</v>
      </c>
      <c r="D16" s="376">
        <v>552</v>
      </c>
      <c r="E16" s="376">
        <v>557</v>
      </c>
      <c r="F16" s="377">
        <v>15</v>
      </c>
      <c r="G16" s="377">
        <v>20</v>
      </c>
      <c r="H16" s="378">
        <f t="shared" si="0"/>
        <v>0.9981735159817352</v>
      </c>
      <c r="I16" s="378">
        <f t="shared" si="0"/>
        <v>0.74863013698630132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5465</v>
      </c>
      <c r="D17" s="381">
        <f>SUM(D15:D16)</f>
        <v>552</v>
      </c>
      <c r="E17" s="381">
        <f>SUM(E15:E16)</f>
        <v>557</v>
      </c>
      <c r="F17" s="381">
        <f>SUM(F15:F16)</f>
        <v>15</v>
      </c>
      <c r="G17" s="381">
        <f>SUM(G15:G16)</f>
        <v>20</v>
      </c>
      <c r="H17" s="382">
        <f t="shared" si="0"/>
        <v>0.9981735159817352</v>
      </c>
      <c r="I17" s="382">
        <f t="shared" si="0"/>
        <v>0.74863013698630132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5201</v>
      </c>
      <c r="D19" s="376">
        <v>399</v>
      </c>
      <c r="E19" s="376">
        <v>398</v>
      </c>
      <c r="F19" s="377">
        <v>15</v>
      </c>
      <c r="G19" s="377">
        <v>17</v>
      </c>
      <c r="H19" s="378">
        <f>IF(F19=0,0,$C19/(F19*365))</f>
        <v>0.94995433789954342</v>
      </c>
      <c r="I19" s="378">
        <f>IF(G19=0,0,$C19/(G19*365))</f>
        <v>0.83819500402900882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8123</v>
      </c>
      <c r="D21" s="376">
        <v>2512</v>
      </c>
      <c r="E21" s="376">
        <v>2521</v>
      </c>
      <c r="F21" s="377">
        <v>23</v>
      </c>
      <c r="G21" s="377">
        <v>32</v>
      </c>
      <c r="H21" s="378">
        <f>IF(F21=0,0,$C21/(F21*365))</f>
        <v>0.96759976176295415</v>
      </c>
      <c r="I21" s="378">
        <f>IF(G21=0,0,$C21/(G21*365))</f>
        <v>0.69546232876712333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6191</v>
      </c>
      <c r="D23" s="376">
        <v>2157</v>
      </c>
      <c r="E23" s="376">
        <v>2225</v>
      </c>
      <c r="F23" s="377">
        <v>17</v>
      </c>
      <c r="G23" s="377">
        <v>25</v>
      </c>
      <c r="H23" s="378">
        <f>IF(F23=0,0,$C23/(F23*365))</f>
        <v>0.99774375503626112</v>
      </c>
      <c r="I23" s="378">
        <f>IF(G23=0,0,$C23/(G23*365))</f>
        <v>0.67846575342465754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2502</v>
      </c>
      <c r="D25" s="376">
        <v>202</v>
      </c>
      <c r="E25" s="376">
        <v>0</v>
      </c>
      <c r="F25" s="377">
        <v>7</v>
      </c>
      <c r="G25" s="377">
        <v>16</v>
      </c>
      <c r="H25" s="378">
        <f>IF(F25=0,0,$C25/(F25*365))</f>
        <v>0.97925636007827788</v>
      </c>
      <c r="I25" s="378">
        <f>IF(G25=0,0,$C25/(G25*365))</f>
        <v>0.42842465753424658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901</v>
      </c>
      <c r="D27" s="376">
        <v>381</v>
      </c>
      <c r="E27" s="376">
        <v>378</v>
      </c>
      <c r="F27" s="377">
        <v>3</v>
      </c>
      <c r="G27" s="377">
        <v>13</v>
      </c>
      <c r="H27" s="378">
        <f>IF(F27=0,0,$C27/(F27*365))</f>
        <v>0.82283105022831049</v>
      </c>
      <c r="I27" s="378">
        <f>IF(G27=0,0,$C27/(G27*365))</f>
        <v>0.1898840885142255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67011</v>
      </c>
      <c r="D31" s="384">
        <f>SUM(D10:D29)-D13-D17-D23</f>
        <v>12690</v>
      </c>
      <c r="E31" s="384">
        <f>SUM(E10:E29)-E17-E23</f>
        <v>12680</v>
      </c>
      <c r="F31" s="384">
        <f>SUM(F10:F29)-F17-F23</f>
        <v>209</v>
      </c>
      <c r="G31" s="384">
        <f>SUM(G10:G29)-G17-G23</f>
        <v>300</v>
      </c>
      <c r="H31" s="385">
        <f>IF(F31=0,0,$C31/(F31*365))</f>
        <v>0.87842957331061156</v>
      </c>
      <c r="I31" s="385">
        <f>IF(G31=0,0,$C31/(G31*365))</f>
        <v>0.61197260273972598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73202</v>
      </c>
      <c r="D33" s="384">
        <f>SUM(D10:D29)-D13-D17</f>
        <v>14847</v>
      </c>
      <c r="E33" s="384">
        <f>SUM(E10:E29)-E17</f>
        <v>14905</v>
      </c>
      <c r="F33" s="384">
        <f>SUM(F10:F29)-F17</f>
        <v>226</v>
      </c>
      <c r="G33" s="384">
        <f>SUM(G10:G29)-G17</f>
        <v>325</v>
      </c>
      <c r="H33" s="385">
        <f>IF(F33=0,0,$C33/(F33*365))</f>
        <v>0.88740453388289486</v>
      </c>
      <c r="I33" s="385">
        <f>IF(G33=0,0,$C33/(G33*365))</f>
        <v>0.61708746048472074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73202</v>
      </c>
      <c r="D36" s="384">
        <f t="shared" si="1"/>
        <v>14847</v>
      </c>
      <c r="E36" s="384">
        <f t="shared" si="1"/>
        <v>14905</v>
      </c>
      <c r="F36" s="384">
        <f t="shared" si="1"/>
        <v>226</v>
      </c>
      <c r="G36" s="384">
        <f t="shared" si="1"/>
        <v>325</v>
      </c>
      <c r="H36" s="387">
        <f t="shared" si="1"/>
        <v>0.88740453388289486</v>
      </c>
      <c r="I36" s="387">
        <f t="shared" si="1"/>
        <v>0.61708746048472074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71084</v>
      </c>
      <c r="D37" s="384">
        <v>14848</v>
      </c>
      <c r="E37" s="384">
        <v>14857</v>
      </c>
      <c r="F37" s="386">
        <v>267</v>
      </c>
      <c r="G37" s="386">
        <v>325</v>
      </c>
      <c r="H37" s="385">
        <f>IF(F37=0,0,$C37/(F37*365))</f>
        <v>0.72940331435021288</v>
      </c>
      <c r="I37" s="385">
        <f>IF(G37=0,0,$C37/(G37*365))</f>
        <v>0.59923287671232872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2118</v>
      </c>
      <c r="D38" s="384">
        <f t="shared" si="2"/>
        <v>-1</v>
      </c>
      <c r="E38" s="384">
        <f t="shared" si="2"/>
        <v>48</v>
      </c>
      <c r="F38" s="384">
        <f t="shared" si="2"/>
        <v>-41</v>
      </c>
      <c r="G38" s="384">
        <f t="shared" si="2"/>
        <v>0</v>
      </c>
      <c r="H38" s="387">
        <f t="shared" si="2"/>
        <v>0.15800121953268198</v>
      </c>
      <c r="I38" s="387">
        <f t="shared" si="2"/>
        <v>1.7854583772392019E-2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2.9795734623825332E-2</v>
      </c>
      <c r="D40" s="389">
        <f t="shared" si="3"/>
        <v>-6.7349137931034482E-5</v>
      </c>
      <c r="E40" s="389">
        <f t="shared" si="3"/>
        <v>3.2308002961566936E-3</v>
      </c>
      <c r="F40" s="389">
        <f t="shared" si="3"/>
        <v>-0.15355805243445692</v>
      </c>
      <c r="G40" s="389">
        <f t="shared" si="3"/>
        <v>0</v>
      </c>
      <c r="H40" s="389">
        <f t="shared" si="3"/>
        <v>0.21661708471044852</v>
      </c>
      <c r="I40" s="389">
        <f t="shared" si="3"/>
        <v>2.9795734623825381E-2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330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paperSize="9" scale="71" orientation="landscape" horizontalDpi="1200" verticalDpi="1200" r:id="rId1"/>
  <headerFooter>
    <oddHeader>&amp;LOFFICE OF HEALTH CARE ACCESS&amp;CTWELVE MONTHS ACTUAL FILING&amp;RSTAMFORD HOSPITAL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SheetLayoutView="90" workbookViewId="0">
      <selection activeCell="B13" sqref="B13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0" t="s">
        <v>0</v>
      </c>
      <c r="B1" s="811"/>
      <c r="C1" s="811"/>
      <c r="D1" s="811"/>
      <c r="E1" s="811"/>
      <c r="F1" s="812"/>
    </row>
    <row r="2" spans="1:16" ht="15.75" customHeight="1" x14ac:dyDescent="0.25">
      <c r="A2" s="810" t="s">
        <v>1</v>
      </c>
      <c r="B2" s="811"/>
      <c r="C2" s="811"/>
      <c r="D2" s="811"/>
      <c r="E2" s="811"/>
      <c r="F2" s="812"/>
    </row>
    <row r="3" spans="1:16" ht="15.75" customHeight="1" x14ac:dyDescent="0.25">
      <c r="A3" s="810" t="s">
        <v>2</v>
      </c>
      <c r="B3" s="811"/>
      <c r="C3" s="811"/>
      <c r="D3" s="811"/>
      <c r="E3" s="811"/>
      <c r="F3" s="812"/>
    </row>
    <row r="4" spans="1:16" ht="15.75" customHeight="1" x14ac:dyDescent="0.25">
      <c r="A4" s="810" t="s">
        <v>553</v>
      </c>
      <c r="B4" s="811"/>
      <c r="C4" s="811"/>
      <c r="D4" s="811"/>
      <c r="E4" s="811"/>
      <c r="F4" s="812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8989</v>
      </c>
      <c r="D12" s="409">
        <v>7332</v>
      </c>
      <c r="E12" s="409">
        <f>+D12-C12</f>
        <v>-1657</v>
      </c>
      <c r="F12" s="410">
        <f>IF(C12=0,0,+E12/C12)</f>
        <v>-0.18433641116920682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12688</v>
      </c>
      <c r="D13" s="409">
        <v>10151</v>
      </c>
      <c r="E13" s="409">
        <f>+D13-C13</f>
        <v>-2537</v>
      </c>
      <c r="F13" s="410">
        <f>IF(C13=0,0,+E13/C13)</f>
        <v>-0.19995271122320302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15060</v>
      </c>
      <c r="D14" s="409">
        <v>12962</v>
      </c>
      <c r="E14" s="409">
        <f>+D14-C14</f>
        <v>-2098</v>
      </c>
      <c r="F14" s="410">
        <f>IF(C14=0,0,+E14/C14)</f>
        <v>-0.13930942895086321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36737</v>
      </c>
      <c r="D16" s="401">
        <f>SUM(D12:D15)</f>
        <v>30445</v>
      </c>
      <c r="E16" s="401">
        <f>+D16-C16</f>
        <v>-6292</v>
      </c>
      <c r="F16" s="402">
        <f>IF(C16=0,0,+E16/C16)</f>
        <v>-0.17127147017992758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1583</v>
      </c>
      <c r="D19" s="409">
        <v>2260</v>
      </c>
      <c r="E19" s="409">
        <f>+D19-C19</f>
        <v>677</v>
      </c>
      <c r="F19" s="410">
        <f>IF(C19=0,0,+E19/C19)</f>
        <v>0.42766898294377764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8272</v>
      </c>
      <c r="D20" s="409">
        <v>9999</v>
      </c>
      <c r="E20" s="409">
        <f>+D20-C20</f>
        <v>1727</v>
      </c>
      <c r="F20" s="410">
        <f>IF(C20=0,0,+E20/C20)</f>
        <v>0.20877659574468085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620</v>
      </c>
      <c r="D21" s="409">
        <v>937</v>
      </c>
      <c r="E21" s="409">
        <f>+D21-C21</f>
        <v>317</v>
      </c>
      <c r="F21" s="410">
        <f>IF(C21=0,0,+E21/C21)</f>
        <v>0.51129032258064511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0</v>
      </c>
      <c r="D22" s="409">
        <v>0</v>
      </c>
      <c r="E22" s="409">
        <f>+D22-C22</f>
        <v>0</v>
      </c>
      <c r="F22" s="410">
        <f>IF(C22=0,0,+E22/C22)</f>
        <v>0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10475</v>
      </c>
      <c r="D23" s="401">
        <f>SUM(D19:D22)</f>
        <v>13196</v>
      </c>
      <c r="E23" s="401">
        <f>+D23-C23</f>
        <v>2721</v>
      </c>
      <c r="F23" s="402">
        <f>IF(C23=0,0,+E23/C23)</f>
        <v>0.25976133651551314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0</v>
      </c>
      <c r="D26" s="409">
        <v>0</v>
      </c>
      <c r="E26" s="409">
        <f>+D26-C26</f>
        <v>0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15</v>
      </c>
      <c r="D27" s="409">
        <v>17</v>
      </c>
      <c r="E27" s="409">
        <f>+D27-C27</f>
        <v>2</v>
      </c>
      <c r="F27" s="410">
        <f>IF(C27=0,0,+E27/C27)</f>
        <v>0.13333333333333333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15</v>
      </c>
      <c r="D30" s="401">
        <f>SUM(D26:D29)</f>
        <v>17</v>
      </c>
      <c r="E30" s="401">
        <f>+D30-C30</f>
        <v>2</v>
      </c>
      <c r="F30" s="402">
        <f>IF(C30=0,0,+E30/C30)</f>
        <v>0.13333333333333333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0</v>
      </c>
      <c r="D33" s="409">
        <v>6</v>
      </c>
      <c r="E33" s="409">
        <f>+D33-C33</f>
        <v>6</v>
      </c>
      <c r="F33" s="410">
        <f>IF(C33=0,0,+E33/C33)</f>
        <v>0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383</v>
      </c>
      <c r="D34" s="409">
        <v>478</v>
      </c>
      <c r="E34" s="409">
        <f>+D34-C34</f>
        <v>95</v>
      </c>
      <c r="F34" s="410">
        <f>IF(C34=0,0,+E34/C34)</f>
        <v>0.24804177545691905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383</v>
      </c>
      <c r="D37" s="401">
        <f>SUM(D33:D36)</f>
        <v>484</v>
      </c>
      <c r="E37" s="401">
        <f>+D37-C37</f>
        <v>101</v>
      </c>
      <c r="F37" s="402">
        <f>IF(C37=0,0,+E37/C37)</f>
        <v>0.26370757180156656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3" t="s">
        <v>566</v>
      </c>
      <c r="C39" s="814"/>
      <c r="D39" s="814"/>
      <c r="E39" s="814"/>
      <c r="F39" s="815"/>
    </row>
    <row r="40" spans="1:16" ht="15.75" customHeight="1" x14ac:dyDescent="0.25">
      <c r="A40" s="136"/>
      <c r="B40" s="813" t="s">
        <v>567</v>
      </c>
      <c r="C40" s="814"/>
      <c r="D40" s="814"/>
      <c r="E40" s="814"/>
      <c r="F40" s="815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352</v>
      </c>
      <c r="D43" s="409">
        <v>361</v>
      </c>
      <c r="E43" s="409">
        <f>+D43-C43</f>
        <v>9</v>
      </c>
      <c r="F43" s="410">
        <f>IF(C43=0,0,+E43/C43)</f>
        <v>2.556818181818182E-2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9464</v>
      </c>
      <c r="D44" s="409">
        <v>9319</v>
      </c>
      <c r="E44" s="409">
        <f>+D44-C44</f>
        <v>-145</v>
      </c>
      <c r="F44" s="410">
        <f>IF(C44=0,0,+E44/C44)</f>
        <v>-1.5321217244294168E-2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9816</v>
      </c>
      <c r="D45" s="401">
        <f>SUM(D43:D44)</f>
        <v>9680</v>
      </c>
      <c r="E45" s="401">
        <f>+D45-C45</f>
        <v>-136</v>
      </c>
      <c r="F45" s="402">
        <f>IF(C45=0,0,+E45/C45)</f>
        <v>-1.3854930725346373E-2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318</v>
      </c>
      <c r="D48" s="409">
        <v>288</v>
      </c>
      <c r="E48" s="409">
        <f>+D48-C48</f>
        <v>-30</v>
      </c>
      <c r="F48" s="410">
        <f>IF(C48=0,0,+E48/C48)</f>
        <v>-9.4339622641509441E-2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409</v>
      </c>
      <c r="D49" s="409">
        <v>416</v>
      </c>
      <c r="E49" s="409">
        <f>+D49-C49</f>
        <v>7</v>
      </c>
      <c r="F49" s="410">
        <f>IF(C49=0,0,+E49/C49)</f>
        <v>1.7114914425427872E-2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727</v>
      </c>
      <c r="D50" s="401">
        <f>SUM(D48:D49)</f>
        <v>704</v>
      </c>
      <c r="E50" s="401">
        <f>+D50-C50</f>
        <v>-23</v>
      </c>
      <c r="F50" s="402">
        <f>IF(C50=0,0,+E50/C50)</f>
        <v>-3.1636863823933978E-2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123</v>
      </c>
      <c r="D53" s="409">
        <v>64</v>
      </c>
      <c r="E53" s="409">
        <f>+D53-C53</f>
        <v>-59</v>
      </c>
      <c r="F53" s="410">
        <f>IF(C53=0,0,+E53/C53)</f>
        <v>-0.47967479674796748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321</v>
      </c>
      <c r="D54" s="409">
        <v>379</v>
      </c>
      <c r="E54" s="409">
        <f>+D54-C54</f>
        <v>58</v>
      </c>
      <c r="F54" s="410">
        <f>IF(C54=0,0,+E54/C54)</f>
        <v>0.18068535825545171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444</v>
      </c>
      <c r="D55" s="401">
        <f>SUM(D53:D54)</f>
        <v>443</v>
      </c>
      <c r="E55" s="401">
        <f>+D55-C55</f>
        <v>-1</v>
      </c>
      <c r="F55" s="402">
        <f>IF(C55=0,0,+E55/C55)</f>
        <v>-2.2522522522522522E-3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119</v>
      </c>
      <c r="D58" s="409">
        <v>72</v>
      </c>
      <c r="E58" s="409">
        <f>+D58-C58</f>
        <v>-47</v>
      </c>
      <c r="F58" s="410">
        <f>IF(C58=0,0,+E58/C58)</f>
        <v>-0.3949579831932773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242</v>
      </c>
      <c r="D59" s="409">
        <v>389</v>
      </c>
      <c r="E59" s="409">
        <f>+D59-C59</f>
        <v>147</v>
      </c>
      <c r="F59" s="410">
        <f>IF(C59=0,0,+E59/C59)</f>
        <v>0.6074380165289256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361</v>
      </c>
      <c r="D60" s="401">
        <f>SUM(D58:D59)</f>
        <v>461</v>
      </c>
      <c r="E60" s="401">
        <f>SUM(E58:E59)</f>
        <v>100</v>
      </c>
      <c r="F60" s="402">
        <f>IF(C60=0,0,+E60/C60)</f>
        <v>0.2770083102493075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2408</v>
      </c>
      <c r="D63" s="409">
        <v>2512</v>
      </c>
      <c r="E63" s="409">
        <f>+D63-C63</f>
        <v>104</v>
      </c>
      <c r="F63" s="410">
        <f>IF(C63=0,0,+E63/C63)</f>
        <v>4.3189368770764118E-2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8990</v>
      </c>
      <c r="D64" s="409">
        <v>9492</v>
      </c>
      <c r="E64" s="409">
        <f>+D64-C64</f>
        <v>502</v>
      </c>
      <c r="F64" s="410">
        <f>IF(C64=0,0,+E64/C64)</f>
        <v>5.5839822024471637E-2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11398</v>
      </c>
      <c r="D65" s="401">
        <f>SUM(D63:D64)</f>
        <v>12004</v>
      </c>
      <c r="E65" s="401">
        <f>+D65-C65</f>
        <v>606</v>
      </c>
      <c r="F65" s="402">
        <f>IF(C65=0,0,+E65/C65)</f>
        <v>5.3167222319705214E-2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367</v>
      </c>
      <c r="D68" s="409">
        <v>481</v>
      </c>
      <c r="E68" s="409">
        <f>+D68-C68</f>
        <v>114</v>
      </c>
      <c r="F68" s="410">
        <f>IF(C68=0,0,+E68/C68)</f>
        <v>0.31062670299727518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6105</v>
      </c>
      <c r="D69" s="409">
        <v>6372</v>
      </c>
      <c r="E69" s="409">
        <f>+D69-C69</f>
        <v>267</v>
      </c>
      <c r="F69" s="412">
        <f>IF(C69=0,0,+E69/C69)</f>
        <v>4.3734643734643731E-2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6472</v>
      </c>
      <c r="D70" s="401">
        <f>SUM(D68:D69)</f>
        <v>6853</v>
      </c>
      <c r="E70" s="401">
        <f>+D70-C70</f>
        <v>381</v>
      </c>
      <c r="F70" s="402">
        <f>IF(C70=0,0,+E70/C70)</f>
        <v>5.8868974042027192E-2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7635</v>
      </c>
      <c r="D73" s="376">
        <v>6196</v>
      </c>
      <c r="E73" s="409">
        <f>+D73-C73</f>
        <v>-1439</v>
      </c>
      <c r="F73" s="410">
        <f>IF(C73=0,0,+E73/C73)</f>
        <v>-0.18847413228552717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41417</v>
      </c>
      <c r="D74" s="376">
        <v>41244</v>
      </c>
      <c r="E74" s="409">
        <f>+D74-C74</f>
        <v>-173</v>
      </c>
      <c r="F74" s="410">
        <f>IF(C74=0,0,+E74/C74)</f>
        <v>-4.1770287563077961E-3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49052</v>
      </c>
      <c r="D75" s="401">
        <f>SUM(D73:D74)</f>
        <v>47440</v>
      </c>
      <c r="E75" s="401">
        <f>SUM(E73:E74)</f>
        <v>-1612</v>
      </c>
      <c r="F75" s="402">
        <f>IF(C75=0,0,+E75/C75)</f>
        <v>-3.2863084074043869E-2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0</v>
      </c>
      <c r="D79" s="376">
        <v>0</v>
      </c>
      <c r="E79" s="409">
        <f t="shared" ref="E79:E92" si="0">+D79-C79</f>
        <v>0</v>
      </c>
      <c r="F79" s="410">
        <f t="shared" ref="F79:F92" si="1">IF(C79=0,0,+E79/C79)</f>
        <v>0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0</v>
      </c>
      <c r="D80" s="376">
        <v>0</v>
      </c>
      <c r="E80" s="409">
        <f t="shared" si="0"/>
        <v>0</v>
      </c>
      <c r="F80" s="410">
        <f t="shared" si="1"/>
        <v>0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0</v>
      </c>
      <c r="D81" s="376">
        <v>0</v>
      </c>
      <c r="E81" s="409">
        <f t="shared" si="0"/>
        <v>0</v>
      </c>
      <c r="F81" s="410">
        <f t="shared" si="1"/>
        <v>0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26380</v>
      </c>
      <c r="D84" s="376">
        <v>26304</v>
      </c>
      <c r="E84" s="409">
        <f t="shared" si="0"/>
        <v>-76</v>
      </c>
      <c r="F84" s="410">
        <f t="shared" si="1"/>
        <v>-2.8809704321455646E-3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2633</v>
      </c>
      <c r="D85" s="376">
        <v>3237</v>
      </c>
      <c r="E85" s="409">
        <f t="shared" si="0"/>
        <v>604</v>
      </c>
      <c r="F85" s="410">
        <f t="shared" si="1"/>
        <v>0.22939612609191037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4592</v>
      </c>
      <c r="D86" s="376">
        <v>5049</v>
      </c>
      <c r="E86" s="409">
        <f t="shared" si="0"/>
        <v>457</v>
      </c>
      <c r="F86" s="410">
        <f t="shared" si="1"/>
        <v>9.9520905923344949E-2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52</v>
      </c>
      <c r="D88" s="376">
        <v>70</v>
      </c>
      <c r="E88" s="409">
        <f t="shared" si="0"/>
        <v>18</v>
      </c>
      <c r="F88" s="410">
        <f t="shared" si="1"/>
        <v>0.34615384615384615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132</v>
      </c>
      <c r="D89" s="376">
        <v>87</v>
      </c>
      <c r="E89" s="409">
        <f t="shared" si="0"/>
        <v>-45</v>
      </c>
      <c r="F89" s="410">
        <f t="shared" si="1"/>
        <v>-0.34090909090909088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0</v>
      </c>
      <c r="D90" s="376">
        <v>0</v>
      </c>
      <c r="E90" s="409">
        <f t="shared" si="0"/>
        <v>0</v>
      </c>
      <c r="F90" s="410">
        <f t="shared" si="1"/>
        <v>0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7875</v>
      </c>
      <c r="D91" s="376">
        <v>7810</v>
      </c>
      <c r="E91" s="409">
        <f t="shared" si="0"/>
        <v>-65</v>
      </c>
      <c r="F91" s="410">
        <f t="shared" si="1"/>
        <v>-8.2539682539682548E-3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41664</v>
      </c>
      <c r="D92" s="381">
        <f>SUM(D79:D91)</f>
        <v>42557</v>
      </c>
      <c r="E92" s="401">
        <f t="shared" si="0"/>
        <v>893</v>
      </c>
      <c r="F92" s="402">
        <f t="shared" si="1"/>
        <v>2.1433371735791091E-2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35653</v>
      </c>
      <c r="D95" s="414">
        <v>39286</v>
      </c>
      <c r="E95" s="415">
        <f t="shared" ref="E95:E100" si="2">+D95-C95</f>
        <v>3633</v>
      </c>
      <c r="F95" s="412">
        <f t="shared" ref="F95:F100" si="3">IF(C95=0,0,+E95/C95)</f>
        <v>0.1018988584410849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8153</v>
      </c>
      <c r="D96" s="414">
        <v>9460</v>
      </c>
      <c r="E96" s="409">
        <f t="shared" si="2"/>
        <v>1307</v>
      </c>
      <c r="F96" s="410">
        <f t="shared" si="3"/>
        <v>0.16030908867901386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6403</v>
      </c>
      <c r="D97" s="414">
        <v>6530</v>
      </c>
      <c r="E97" s="409">
        <f t="shared" si="2"/>
        <v>127</v>
      </c>
      <c r="F97" s="410">
        <f t="shared" si="3"/>
        <v>1.983445260034359E-2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6027</v>
      </c>
      <c r="D98" s="414">
        <v>6115</v>
      </c>
      <c r="E98" s="409">
        <f t="shared" si="2"/>
        <v>88</v>
      </c>
      <c r="F98" s="410">
        <f t="shared" si="3"/>
        <v>1.4600962336153973E-2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246008</v>
      </c>
      <c r="D99" s="414">
        <v>261982</v>
      </c>
      <c r="E99" s="409">
        <f t="shared" si="2"/>
        <v>15974</v>
      </c>
      <c r="F99" s="410">
        <f t="shared" si="3"/>
        <v>6.4932847712269523E-2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302244</v>
      </c>
      <c r="D100" s="381">
        <f>SUM(D95:D99)</f>
        <v>323373</v>
      </c>
      <c r="E100" s="401">
        <f t="shared" si="2"/>
        <v>21129</v>
      </c>
      <c r="F100" s="402">
        <f t="shared" si="3"/>
        <v>6.9907094929924168E-2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791.8</v>
      </c>
      <c r="D104" s="416">
        <v>803.7</v>
      </c>
      <c r="E104" s="417">
        <f>+D104-C104</f>
        <v>11.900000000000091</v>
      </c>
      <c r="F104" s="410">
        <f>IF(C104=0,0,+E104/C104)</f>
        <v>1.5029047739328229E-2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113.3</v>
      </c>
      <c r="D105" s="416">
        <v>116.5</v>
      </c>
      <c r="E105" s="417">
        <f>+D105-C105</f>
        <v>3.2000000000000028</v>
      </c>
      <c r="F105" s="410">
        <f>IF(C105=0,0,+E105/C105)</f>
        <v>2.8243601059135065E-2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1051.5999999999999</v>
      </c>
      <c r="D106" s="416">
        <v>1058.5</v>
      </c>
      <c r="E106" s="417">
        <f>+D106-C106</f>
        <v>6.9000000000000909</v>
      </c>
      <c r="F106" s="410">
        <f>IF(C106=0,0,+E106/C106)</f>
        <v>6.5614302015976527E-3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1956.6999999999998</v>
      </c>
      <c r="D107" s="418">
        <f>SUM(D104:D106)</f>
        <v>1978.7</v>
      </c>
      <c r="E107" s="418">
        <f>+D107-C107</f>
        <v>22.000000000000227</v>
      </c>
      <c r="F107" s="402">
        <f>IF(C107=0,0,+E107/C107)</f>
        <v>1.1243420043951669E-2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B40:F40"/>
    <mergeCell ref="A1:F1"/>
    <mergeCell ref="A2:F2"/>
    <mergeCell ref="A3:F3"/>
    <mergeCell ref="A4:F4"/>
    <mergeCell ref="B39:F39"/>
  </mergeCells>
  <printOptions gridLines="1"/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FILING&amp;RSTAMFORD HOSPITAL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opLeftCell="A4" zoomScale="75" zoomScaleSheetLayoutView="90" workbookViewId="0">
      <selection activeCell="B29" sqref="B29:F29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0" t="s">
        <v>0</v>
      </c>
      <c r="B1" s="811"/>
      <c r="C1" s="811"/>
      <c r="D1" s="811"/>
      <c r="E1" s="811"/>
      <c r="F1" s="812"/>
    </row>
    <row r="2" spans="1:6" ht="15.75" customHeight="1" x14ac:dyDescent="0.25">
      <c r="A2" s="810" t="s">
        <v>1</v>
      </c>
      <c r="B2" s="811"/>
      <c r="C2" s="811"/>
      <c r="D2" s="811"/>
      <c r="E2" s="811"/>
      <c r="F2" s="812"/>
    </row>
    <row r="3" spans="1:6" ht="15.75" customHeight="1" x14ac:dyDescent="0.25">
      <c r="A3" s="810" t="s">
        <v>2</v>
      </c>
      <c r="B3" s="811"/>
      <c r="C3" s="811"/>
      <c r="D3" s="811"/>
      <c r="E3" s="811"/>
      <c r="F3" s="812"/>
    </row>
    <row r="4" spans="1:6" ht="15.75" customHeight="1" x14ac:dyDescent="0.25">
      <c r="A4" s="810" t="s">
        <v>620</v>
      </c>
      <c r="B4" s="811"/>
      <c r="C4" s="811"/>
      <c r="D4" s="811"/>
      <c r="E4" s="811"/>
      <c r="F4" s="812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2711</v>
      </c>
      <c r="D12" s="409">
        <v>2810</v>
      </c>
      <c r="E12" s="409">
        <f>+D12-C12</f>
        <v>99</v>
      </c>
      <c r="F12" s="410">
        <f>IF(C12=0,0,+E12/C12)</f>
        <v>3.6517890077462194E-2</v>
      </c>
    </row>
    <row r="13" spans="1:6" ht="15.75" customHeight="1" x14ac:dyDescent="0.2">
      <c r="A13" s="374">
        <v>2</v>
      </c>
      <c r="B13" s="408" t="s">
        <v>622</v>
      </c>
      <c r="C13" s="409">
        <v>6279</v>
      </c>
      <c r="D13" s="409">
        <v>6682</v>
      </c>
      <c r="E13" s="409">
        <f>+D13-C13</f>
        <v>403</v>
      </c>
      <c r="F13" s="410">
        <f>IF(C13=0,0,+E13/C13)</f>
        <v>6.4182194616977231E-2</v>
      </c>
    </row>
    <row r="14" spans="1:6" ht="15.75" customHeight="1" x14ac:dyDescent="0.25">
      <c r="A14" s="374"/>
      <c r="B14" s="399" t="s">
        <v>623</v>
      </c>
      <c r="C14" s="401">
        <f>SUM(C11:C13)</f>
        <v>8990</v>
      </c>
      <c r="D14" s="401">
        <f>SUM(D11:D13)</f>
        <v>9492</v>
      </c>
      <c r="E14" s="401">
        <f>+D14-C14</f>
        <v>502</v>
      </c>
      <c r="F14" s="402">
        <f>IF(C14=0,0,+E14/C14)</f>
        <v>5.5839822024471637E-2</v>
      </c>
    </row>
    <row r="15" spans="1:6" ht="15.75" customHeight="1" x14ac:dyDescent="0.25">
      <c r="A15" s="136"/>
      <c r="B15" s="399"/>
      <c r="C15" s="401"/>
      <c r="D15" s="401"/>
      <c r="E15" s="401"/>
      <c r="F15" s="402"/>
    </row>
    <row r="16" spans="1:6" ht="15.75" customHeight="1" x14ac:dyDescent="0.25">
      <c r="A16" s="136" t="s">
        <v>26</v>
      </c>
      <c r="B16" s="406" t="s">
        <v>588</v>
      </c>
      <c r="C16" s="409"/>
      <c r="D16" s="409"/>
      <c r="E16" s="409"/>
      <c r="F16" s="410"/>
    </row>
    <row r="17" spans="1:6" ht="15.75" customHeight="1" x14ac:dyDescent="0.2">
      <c r="A17" s="374">
        <v>1</v>
      </c>
      <c r="B17" s="408" t="s">
        <v>621</v>
      </c>
      <c r="C17" s="409">
        <v>120</v>
      </c>
      <c r="D17" s="409">
        <v>189</v>
      </c>
      <c r="E17" s="409">
        <f>+D17-C17</f>
        <v>69</v>
      </c>
      <c r="F17" s="410">
        <f>IF(C17=0,0,+E17/C17)</f>
        <v>0.57499999999999996</v>
      </c>
    </row>
    <row r="18" spans="1:6" ht="15.75" customHeight="1" x14ac:dyDescent="0.2">
      <c r="A18" s="374">
        <v>2</v>
      </c>
      <c r="B18" s="408" t="s">
        <v>622</v>
      </c>
      <c r="C18" s="409">
        <v>5985</v>
      </c>
      <c r="D18" s="409">
        <v>6183</v>
      </c>
      <c r="E18" s="409">
        <f>+D18-C18</f>
        <v>198</v>
      </c>
      <c r="F18" s="410">
        <f>IF(C18=0,0,+E18/C18)</f>
        <v>3.308270676691729E-2</v>
      </c>
    </row>
    <row r="19" spans="1:6" ht="15.75" customHeight="1" x14ac:dyDescent="0.25">
      <c r="A19" s="374"/>
      <c r="B19" s="399" t="s">
        <v>624</v>
      </c>
      <c r="C19" s="401">
        <f>SUM(C16:C18)</f>
        <v>6105</v>
      </c>
      <c r="D19" s="401">
        <f>SUM(D16:D18)</f>
        <v>6372</v>
      </c>
      <c r="E19" s="401">
        <f>+D19-C19</f>
        <v>267</v>
      </c>
      <c r="F19" s="402">
        <f>IF(C19=0,0,+E19/C19)</f>
        <v>4.3734643734643731E-2</v>
      </c>
    </row>
    <row r="20" spans="1:6" ht="15.75" customHeight="1" x14ac:dyDescent="0.25">
      <c r="A20" s="136"/>
      <c r="B20" s="399"/>
      <c r="C20" s="401"/>
      <c r="D20" s="401"/>
      <c r="E20" s="401"/>
      <c r="F20" s="402"/>
    </row>
    <row r="21" spans="1:6" ht="15.75" customHeight="1" x14ac:dyDescent="0.25">
      <c r="A21" s="136" t="s">
        <v>36</v>
      </c>
      <c r="B21" s="406" t="s">
        <v>625</v>
      </c>
      <c r="C21" s="409"/>
      <c r="D21" s="409"/>
      <c r="E21" s="409"/>
      <c r="F21" s="410"/>
    </row>
    <row r="22" spans="1:6" ht="15.75" customHeight="1" x14ac:dyDescent="0.2">
      <c r="A22" s="374">
        <v>1</v>
      </c>
      <c r="B22" s="408" t="s">
        <v>621</v>
      </c>
      <c r="C22" s="409">
        <v>41417</v>
      </c>
      <c r="D22" s="409">
        <v>41244</v>
      </c>
      <c r="E22" s="409">
        <f>+D22-C22</f>
        <v>-173</v>
      </c>
      <c r="F22" s="410">
        <f>IF(C22=0,0,+E22/C22)</f>
        <v>-4.1770287563077961E-3</v>
      </c>
    </row>
    <row r="23" spans="1:6" ht="15.75" customHeight="1" x14ac:dyDescent="0.25">
      <c r="A23" s="374"/>
      <c r="B23" s="399" t="s">
        <v>626</v>
      </c>
      <c r="C23" s="401">
        <f>SUM(C21:C22)</f>
        <v>41417</v>
      </c>
      <c r="D23" s="401">
        <f>SUM(D21:D22)</f>
        <v>41244</v>
      </c>
      <c r="E23" s="401">
        <f>+D23-C23</f>
        <v>-173</v>
      </c>
      <c r="F23" s="402">
        <f>IF(C23=0,0,+E23/C23)</f>
        <v>-4.1770287563077961E-3</v>
      </c>
    </row>
    <row r="24" spans="1:6" ht="15.75" customHeight="1" x14ac:dyDescent="0.25">
      <c r="A24" s="136"/>
      <c r="B24" s="399"/>
      <c r="C24" s="401"/>
      <c r="D24" s="401"/>
      <c r="E24" s="401"/>
      <c r="F24" s="402"/>
    </row>
    <row r="25" spans="1:6" ht="15.75" customHeight="1" x14ac:dyDescent="0.25">
      <c r="B25" s="813" t="s">
        <v>627</v>
      </c>
      <c r="C25" s="814"/>
      <c r="D25" s="814"/>
      <c r="E25" s="814"/>
      <c r="F25" s="815"/>
    </row>
    <row r="26" spans="1:6" ht="15.75" customHeight="1" x14ac:dyDescent="0.25">
      <c r="A26" s="392"/>
    </row>
    <row r="27" spans="1:6" ht="15.75" customHeight="1" x14ac:dyDescent="0.25">
      <c r="B27" s="813" t="s">
        <v>628</v>
      </c>
      <c r="C27" s="814"/>
      <c r="D27" s="814"/>
      <c r="E27" s="814"/>
      <c r="F27" s="815"/>
    </row>
    <row r="28" spans="1:6" ht="15.75" customHeight="1" x14ac:dyDescent="0.25">
      <c r="A28" s="392"/>
    </row>
    <row r="29" spans="1:6" ht="15.75" customHeight="1" x14ac:dyDescent="0.25">
      <c r="B29" s="813" t="s">
        <v>629</v>
      </c>
      <c r="C29" s="814"/>
      <c r="D29" s="814"/>
      <c r="E29" s="814"/>
      <c r="F29" s="815"/>
    </row>
    <row r="30" spans="1:6" ht="15.75" customHeight="1" x14ac:dyDescent="0.25">
      <c r="A30" s="392"/>
    </row>
  </sheetData>
  <mergeCells count="7">
    <mergeCell ref="B29:F29"/>
    <mergeCell ref="A1:F1"/>
    <mergeCell ref="A2:F2"/>
    <mergeCell ref="A3:F3"/>
    <mergeCell ref="A4:F4"/>
    <mergeCell ref="B25:F25"/>
    <mergeCell ref="B27:F27"/>
  </mergeCells>
  <printOptions gridLines="1"/>
  <pageMargins left="0.25" right="0.25" top="0.5" bottom="0.5" header="0.25" footer="0.25"/>
  <pageSetup paperSize="9" scale="79" fitToHeight="0" orientation="portrait" horizontalDpi="1200" verticalDpi="1200" r:id="rId1"/>
  <headerFooter>
    <oddHeader>&amp;LOFFICE OF HEALTH CARE ACCESS&amp;CTWELVE MONTHS ACTUAL FILING&amp;RSTAMFORD HOSPITAL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072"/>
  <sheetViews>
    <sheetView topLeftCell="A286" zoomScale="85" zoomScaleSheetLayoutView="80" workbookViewId="0">
      <selection activeCell="B329" sqref="B329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630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631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632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633</v>
      </c>
      <c r="D7" s="426" t="s">
        <v>633</v>
      </c>
      <c r="E7" s="426" t="s">
        <v>634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635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636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637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638</v>
      </c>
      <c r="C15" s="448">
        <v>298425288</v>
      </c>
      <c r="D15" s="448">
        <v>325357024</v>
      </c>
      <c r="E15" s="448">
        <f t="shared" ref="E15:E24" si="0">D15-C15</f>
        <v>26931736</v>
      </c>
      <c r="F15" s="449">
        <f t="shared" ref="F15:F24" si="1">IF(C15=0,0,E15/C15)</f>
        <v>9.0246159031938333E-2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639</v>
      </c>
      <c r="C16" s="448">
        <v>68810902</v>
      </c>
      <c r="D16" s="448">
        <v>78363100</v>
      </c>
      <c r="E16" s="448">
        <f t="shared" si="0"/>
        <v>9552198</v>
      </c>
      <c r="F16" s="449">
        <f t="shared" si="1"/>
        <v>0.1388180901915804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640</v>
      </c>
      <c r="C17" s="453">
        <f>IF(C15=0,0,C16/C15)</f>
        <v>0.23057999696057929</v>
      </c>
      <c r="D17" s="453">
        <f>IF(LN_IA1=0,0,LN_IA2/LN_IA1)</f>
        <v>0.24085264561554387</v>
      </c>
      <c r="E17" s="454">
        <f t="shared" si="0"/>
        <v>1.0272648654964578E-2</v>
      </c>
      <c r="F17" s="449">
        <f t="shared" si="1"/>
        <v>4.4551343526649551E-2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5336</v>
      </c>
      <c r="D18" s="456">
        <v>5492</v>
      </c>
      <c r="E18" s="456">
        <f t="shared" si="0"/>
        <v>156</v>
      </c>
      <c r="F18" s="449">
        <f t="shared" si="1"/>
        <v>2.9235382308845578E-2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641</v>
      </c>
      <c r="C19" s="459">
        <v>1.57169</v>
      </c>
      <c r="D19" s="459">
        <v>1.6163400000000001</v>
      </c>
      <c r="E19" s="460">
        <f t="shared" si="0"/>
        <v>4.4650000000000079E-2</v>
      </c>
      <c r="F19" s="449">
        <f t="shared" si="1"/>
        <v>2.8408910154038059E-2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642</v>
      </c>
      <c r="C20" s="463">
        <f>C18*C19</f>
        <v>8386.5378400000009</v>
      </c>
      <c r="D20" s="463">
        <f>LN_IA4*LN_IA5</f>
        <v>8876.9392800000005</v>
      </c>
      <c r="E20" s="463">
        <f t="shared" si="0"/>
        <v>490.40143999999964</v>
      </c>
      <c r="F20" s="449">
        <f t="shared" si="1"/>
        <v>5.8474837812214485E-2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643</v>
      </c>
      <c r="C21" s="465">
        <f>IF(C20=0,0,C16/C20)</f>
        <v>8204.9235707019707</v>
      </c>
      <c r="D21" s="465">
        <f>IF(LN_IA6=0,0,LN_IA2/LN_IA6)</f>
        <v>8827.7161224425981</v>
      </c>
      <c r="E21" s="465">
        <f t="shared" si="0"/>
        <v>622.79255174062746</v>
      </c>
      <c r="F21" s="449">
        <f t="shared" si="1"/>
        <v>7.5904735293877285E-2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32883</v>
      </c>
      <c r="D22" s="456">
        <v>34268</v>
      </c>
      <c r="E22" s="456">
        <f t="shared" si="0"/>
        <v>1385</v>
      </c>
      <c r="F22" s="449">
        <f t="shared" si="1"/>
        <v>4.2119028069215095E-2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644</v>
      </c>
      <c r="C23" s="465">
        <f>IF(C22=0,0,C16/C22)</f>
        <v>2092.5980597877324</v>
      </c>
      <c r="D23" s="465">
        <f>IF(LN_IA8=0,0,LN_IA2/LN_IA8)</f>
        <v>2286.7719154896695</v>
      </c>
      <c r="E23" s="465">
        <f t="shared" si="0"/>
        <v>194.1738557019371</v>
      </c>
      <c r="F23" s="449">
        <f t="shared" si="1"/>
        <v>9.2790803658507448E-2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645</v>
      </c>
      <c r="C24" s="466">
        <f>IF(C18=0,0,C22/C18)</f>
        <v>6.1624812593703151</v>
      </c>
      <c r="D24" s="466">
        <f>IF(LN_IA4=0,0,LN_IA8/LN_IA4)</f>
        <v>6.2396212672978875</v>
      </c>
      <c r="E24" s="466">
        <f t="shared" si="0"/>
        <v>7.7140007927572363E-2</v>
      </c>
      <c r="F24" s="449">
        <f t="shared" si="1"/>
        <v>1.2517686412478366E-2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646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647</v>
      </c>
      <c r="C27" s="448">
        <v>366217398</v>
      </c>
      <c r="D27" s="448">
        <v>394307677</v>
      </c>
      <c r="E27" s="448">
        <f t="shared" ref="E27:E32" si="2">D27-C27</f>
        <v>28090279</v>
      </c>
      <c r="F27" s="449">
        <f t="shared" ref="F27:F32" si="3">IF(C27=0,0,E27/C27)</f>
        <v>7.6703835354102981E-2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648</v>
      </c>
      <c r="C28" s="448">
        <v>50077793</v>
      </c>
      <c r="D28" s="448">
        <v>53747543</v>
      </c>
      <c r="E28" s="448">
        <f t="shared" si="2"/>
        <v>3669750</v>
      </c>
      <c r="F28" s="449">
        <f t="shared" si="3"/>
        <v>7.3280985046605393E-2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649</v>
      </c>
      <c r="C29" s="453">
        <f>IF(C27=0,0,C28/C27)</f>
        <v>0.13674334773139316</v>
      </c>
      <c r="D29" s="453">
        <f>IF(LN_IA11=0,0,LN_IA12/LN_IA11)</f>
        <v>0.13630863950944583</v>
      </c>
      <c r="E29" s="454">
        <f t="shared" si="2"/>
        <v>-4.347082219473275E-4</v>
      </c>
      <c r="F29" s="449">
        <f t="shared" si="3"/>
        <v>-3.1790081869374066E-3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650</v>
      </c>
      <c r="C30" s="453">
        <f>IF(C15=0,0,C27/C15)</f>
        <v>1.2271661039663635</v>
      </c>
      <c r="D30" s="453">
        <f>IF(LN_IA1=0,0,LN_IA11/LN_IA1)</f>
        <v>1.211923050414919</v>
      </c>
      <c r="E30" s="454">
        <f t="shared" si="2"/>
        <v>-1.5243053551444508E-2</v>
      </c>
      <c r="F30" s="449">
        <f t="shared" si="3"/>
        <v>-1.2421345001444335E-2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651</v>
      </c>
      <c r="C31" s="463">
        <f>C30*C18</f>
        <v>6548.158330764516</v>
      </c>
      <c r="D31" s="463">
        <f>LN_IA14*LN_IA4</f>
        <v>6655.8813928787349</v>
      </c>
      <c r="E31" s="463">
        <f t="shared" si="2"/>
        <v>107.72306211421892</v>
      </c>
      <c r="F31" s="449">
        <f t="shared" si="3"/>
        <v>1.6450894537493866E-2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652</v>
      </c>
      <c r="C32" s="465">
        <f>IF(C31=0,0,C28/C31)</f>
        <v>7647.6148667213547</v>
      </c>
      <c r="D32" s="465">
        <f>IF(LN_IA15=0,0,LN_IA12/LN_IA15)</f>
        <v>8075.1954290389858</v>
      </c>
      <c r="E32" s="465">
        <f t="shared" si="2"/>
        <v>427.58056231763112</v>
      </c>
      <c r="F32" s="449">
        <f t="shared" si="3"/>
        <v>5.5910315800322359E-2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653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654</v>
      </c>
      <c r="C35" s="448">
        <f>C15+C27</f>
        <v>664642686</v>
      </c>
      <c r="D35" s="448">
        <f>LN_IA1+LN_IA11</f>
        <v>719664701</v>
      </c>
      <c r="E35" s="448">
        <f>D35-C35</f>
        <v>55022015</v>
      </c>
      <c r="F35" s="449">
        <f>IF(C35=0,0,E35/C35)</f>
        <v>8.2784353396164509E-2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655</v>
      </c>
      <c r="C36" s="448">
        <f>C16+C28</f>
        <v>118888695</v>
      </c>
      <c r="D36" s="448">
        <f>LN_IA2+LN_IA12</f>
        <v>132110643</v>
      </c>
      <c r="E36" s="448">
        <f>D36-C36</f>
        <v>13221948</v>
      </c>
      <c r="F36" s="449">
        <f>IF(C36=0,0,E36/C36)</f>
        <v>0.11121282809942526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656</v>
      </c>
      <c r="C37" s="448">
        <f>C35-C36</f>
        <v>545753991</v>
      </c>
      <c r="D37" s="448">
        <f>LN_IA17-LN_IA18</f>
        <v>587554058</v>
      </c>
      <c r="E37" s="448">
        <f>D37-C37</f>
        <v>41800067</v>
      </c>
      <c r="F37" s="449">
        <f>IF(C37=0,0,E37/C37)</f>
        <v>7.6591408747022791E-2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657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658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638</v>
      </c>
      <c r="C42" s="448">
        <v>215894875</v>
      </c>
      <c r="D42" s="448">
        <v>215616024</v>
      </c>
      <c r="E42" s="448">
        <f t="shared" ref="E42:E53" si="4">D42-C42</f>
        <v>-278851</v>
      </c>
      <c r="F42" s="449">
        <f t="shared" ref="F42:F53" si="5">IF(C42=0,0,E42/C42)</f>
        <v>-1.2916054630754898E-3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639</v>
      </c>
      <c r="C43" s="448">
        <v>79103756</v>
      </c>
      <c r="D43" s="448">
        <v>82887321</v>
      </c>
      <c r="E43" s="448">
        <f t="shared" si="4"/>
        <v>3783565</v>
      </c>
      <c r="F43" s="449">
        <f t="shared" si="5"/>
        <v>4.7830408963134445E-2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640</v>
      </c>
      <c r="C44" s="453">
        <f>IF(C42=0,0,C43/C42)</f>
        <v>0.36639941545624927</v>
      </c>
      <c r="D44" s="453">
        <f>IF(LN_IB1=0,0,LN_IB2/LN_IB1)</f>
        <v>0.38442096956578703</v>
      </c>
      <c r="E44" s="454">
        <f t="shared" si="4"/>
        <v>1.8021554109537763E-2</v>
      </c>
      <c r="F44" s="449">
        <f t="shared" si="5"/>
        <v>4.9185542741919761E-2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6040</v>
      </c>
      <c r="D45" s="456">
        <v>5862</v>
      </c>
      <c r="E45" s="456">
        <f t="shared" si="4"/>
        <v>-178</v>
      </c>
      <c r="F45" s="449">
        <f t="shared" si="5"/>
        <v>-2.9470198675496689E-2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641</v>
      </c>
      <c r="C46" s="459">
        <v>1.0919000000000001</v>
      </c>
      <c r="D46" s="459">
        <v>1.1091599999999999</v>
      </c>
      <c r="E46" s="460">
        <f t="shared" si="4"/>
        <v>1.7259999999999831E-2</v>
      </c>
      <c r="F46" s="449">
        <f t="shared" si="5"/>
        <v>1.5807308361571418E-2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642</v>
      </c>
      <c r="C47" s="463">
        <f>C45*C46</f>
        <v>6595.0760000000009</v>
      </c>
      <c r="D47" s="463">
        <f>LN_IB4*LN_IB5</f>
        <v>6501.8959199999999</v>
      </c>
      <c r="E47" s="463">
        <f t="shared" si="4"/>
        <v>-93.180080000000999</v>
      </c>
      <c r="F47" s="449">
        <f t="shared" si="5"/>
        <v>-1.412873483186562E-2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643</v>
      </c>
      <c r="C48" s="465">
        <f>IF(C47=0,0,C43/C47)</f>
        <v>11994.366099799303</v>
      </c>
      <c r="D48" s="465">
        <f>IF(LN_IB6=0,0,LN_IB2/LN_IB6)</f>
        <v>12748.177150150383</v>
      </c>
      <c r="E48" s="465">
        <f t="shared" si="4"/>
        <v>753.81105035107976</v>
      </c>
      <c r="F48" s="449">
        <f t="shared" si="5"/>
        <v>6.2847093717082136E-2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659</v>
      </c>
      <c r="C49" s="465">
        <f>C21-C48</f>
        <v>-3789.4425290973322</v>
      </c>
      <c r="D49" s="465">
        <f>LN_IA7-LN_IB7</f>
        <v>-3920.4610277077845</v>
      </c>
      <c r="E49" s="465">
        <f t="shared" si="4"/>
        <v>-131.0184986104523</v>
      </c>
      <c r="F49" s="449">
        <f t="shared" si="5"/>
        <v>3.4574610276953237E-2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660</v>
      </c>
      <c r="C50" s="479">
        <f>C49*C47</f>
        <v>-24991661.477029122</v>
      </c>
      <c r="D50" s="479">
        <f>LN_IB8*LN_IB6</f>
        <v>-25490429.560572252</v>
      </c>
      <c r="E50" s="479">
        <f t="shared" si="4"/>
        <v>-498768.08354312927</v>
      </c>
      <c r="F50" s="449">
        <f t="shared" si="5"/>
        <v>1.9957379944569423E-2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22978</v>
      </c>
      <c r="D51" s="456">
        <v>23582</v>
      </c>
      <c r="E51" s="456">
        <f t="shared" si="4"/>
        <v>604</v>
      </c>
      <c r="F51" s="449">
        <f t="shared" si="5"/>
        <v>2.6286012707807466E-2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644</v>
      </c>
      <c r="C52" s="465">
        <f>IF(C51=0,0,C43/C51)</f>
        <v>3442.5866480981808</v>
      </c>
      <c r="D52" s="465">
        <f>IF(LN_IB10=0,0,LN_IB2/LN_IB10)</f>
        <v>3514.8554405902805</v>
      </c>
      <c r="E52" s="465">
        <f t="shared" si="4"/>
        <v>72.268792492099692</v>
      </c>
      <c r="F52" s="449">
        <f t="shared" si="5"/>
        <v>2.0992584901827756E-2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645</v>
      </c>
      <c r="C53" s="466">
        <f>IF(C45=0,0,C51/C45)</f>
        <v>3.8043046357615893</v>
      </c>
      <c r="D53" s="466">
        <f>IF(LN_IB4=0,0,LN_IB10/LN_IB4)</f>
        <v>4.0228590924599112</v>
      </c>
      <c r="E53" s="466">
        <f t="shared" si="4"/>
        <v>0.21855445669832196</v>
      </c>
      <c r="F53" s="449">
        <f t="shared" si="5"/>
        <v>5.7449252261200484E-2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661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647</v>
      </c>
      <c r="C56" s="448">
        <v>622018863</v>
      </c>
      <c r="D56" s="448">
        <v>637965131</v>
      </c>
      <c r="E56" s="448">
        <f t="shared" ref="E56:E63" si="6">D56-C56</f>
        <v>15946268</v>
      </c>
      <c r="F56" s="449">
        <f t="shared" ref="F56:F63" si="7">IF(C56=0,0,E56/C56)</f>
        <v>2.5636309360605354E-2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648</v>
      </c>
      <c r="C57" s="448">
        <v>237799391</v>
      </c>
      <c r="D57" s="448">
        <v>248436377</v>
      </c>
      <c r="E57" s="448">
        <f t="shared" si="6"/>
        <v>10636986</v>
      </c>
      <c r="F57" s="449">
        <f t="shared" si="7"/>
        <v>4.4730921955977589E-2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649</v>
      </c>
      <c r="C58" s="453">
        <f>IF(C56=0,0,C57/C56)</f>
        <v>0.38230253959356214</v>
      </c>
      <c r="D58" s="453">
        <f>IF(LN_IB13=0,0,LN_IB14/LN_IB13)</f>
        <v>0.3894199932378436</v>
      </c>
      <c r="E58" s="454">
        <f t="shared" si="6"/>
        <v>7.1174536442814573E-3</v>
      </c>
      <c r="F58" s="449">
        <f t="shared" si="7"/>
        <v>1.8617332889936451E-2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650</v>
      </c>
      <c r="C59" s="453">
        <f>IF(C42=0,0,C56/C42)</f>
        <v>2.8811191696884886</v>
      </c>
      <c r="D59" s="453">
        <f>IF(LN_IB1=0,0,LN_IB13/LN_IB1)</f>
        <v>2.9588020369024148</v>
      </c>
      <c r="E59" s="454">
        <f t="shared" si="6"/>
        <v>7.7682867213926254E-2</v>
      </c>
      <c r="F59" s="449">
        <f t="shared" si="7"/>
        <v>2.6962740046023663E-2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651</v>
      </c>
      <c r="C60" s="463">
        <f>C59*C45</f>
        <v>17401.959784918472</v>
      </c>
      <c r="D60" s="463">
        <f>LN_IB16*LN_IB4</f>
        <v>17344.497540321954</v>
      </c>
      <c r="E60" s="463">
        <f t="shared" si="6"/>
        <v>-57.462244596517849</v>
      </c>
      <c r="F60" s="449">
        <f t="shared" si="7"/>
        <v>-3.3020559354652629E-3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652</v>
      </c>
      <c r="C61" s="465">
        <f>IF(C60=0,0,C57/C60)</f>
        <v>13665.092549293815</v>
      </c>
      <c r="D61" s="465">
        <f>IF(LN_IB17=0,0,LN_IB14/LN_IB17)</f>
        <v>14323.642205399306</v>
      </c>
      <c r="E61" s="465">
        <f t="shared" si="6"/>
        <v>658.54965610549152</v>
      </c>
      <c r="F61" s="449">
        <f t="shared" si="7"/>
        <v>4.8192110937406281E-2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662</v>
      </c>
      <c r="C62" s="465">
        <f>C32-C61</f>
        <v>-6017.4776825724603</v>
      </c>
      <c r="D62" s="465">
        <f>LN_IA16-LN_IB18</f>
        <v>-6248.4467763603207</v>
      </c>
      <c r="E62" s="465">
        <f t="shared" si="6"/>
        <v>-230.9690937878604</v>
      </c>
      <c r="F62" s="449">
        <f t="shared" si="7"/>
        <v>3.8383041196277702E-2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663</v>
      </c>
      <c r="C63" s="448">
        <f>C62*C60</f>
        <v>-104715904.63877036</v>
      </c>
      <c r="D63" s="448">
        <f>LN_IB19*LN_IB17</f>
        <v>-108376169.74341422</v>
      </c>
      <c r="E63" s="448">
        <f t="shared" si="6"/>
        <v>-3660265.1046438664</v>
      </c>
      <c r="F63" s="449">
        <f t="shared" si="7"/>
        <v>3.4954242311809033E-2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664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654</v>
      </c>
      <c r="C66" s="448">
        <f>C42+C56</f>
        <v>837913738</v>
      </c>
      <c r="D66" s="448">
        <f>LN_IB1+LN_IB13</f>
        <v>853581155</v>
      </c>
      <c r="E66" s="448">
        <f>D66-C66</f>
        <v>15667417</v>
      </c>
      <c r="F66" s="449">
        <f>IF(C66=0,0,E66/C66)</f>
        <v>1.8698126417399784E-2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655</v>
      </c>
      <c r="C67" s="448">
        <f>C43+C57</f>
        <v>316903147</v>
      </c>
      <c r="D67" s="448">
        <f>LN_IB2+LN_IB14</f>
        <v>331323698</v>
      </c>
      <c r="E67" s="448">
        <f>D67-C67</f>
        <v>14420551</v>
      </c>
      <c r="F67" s="449">
        <f>IF(C67=0,0,E67/C67)</f>
        <v>4.5504600179940784E-2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656</v>
      </c>
      <c r="C68" s="448">
        <f>C66-C67</f>
        <v>521010591</v>
      </c>
      <c r="D68" s="448">
        <f>LN_IB21-LN_IB22</f>
        <v>522257457</v>
      </c>
      <c r="E68" s="448">
        <f>D68-C68</f>
        <v>1246866</v>
      </c>
      <c r="F68" s="449">
        <f>IF(C68=0,0,E68/C68)</f>
        <v>2.3931682417565291E-3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665</v>
      </c>
      <c r="C70" s="441">
        <f>C50+C63</f>
        <v>-129707566.11579949</v>
      </c>
      <c r="D70" s="441">
        <f>LN_IB9+LN_IB20</f>
        <v>-133866599.30398647</v>
      </c>
      <c r="E70" s="448">
        <f>D70-C70</f>
        <v>-4159033.1881869882</v>
      </c>
      <c r="F70" s="449">
        <f>IF(C70=0,0,E70/C70)</f>
        <v>3.2064692236025101E-2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666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667</v>
      </c>
      <c r="C73" s="488">
        <v>714214340</v>
      </c>
      <c r="D73" s="488">
        <v>757932744</v>
      </c>
      <c r="E73" s="488">
        <f>D73-C73</f>
        <v>43718404</v>
      </c>
      <c r="F73" s="489">
        <f>IF(C73=0,0,E73/C73)</f>
        <v>6.1211882136110569E-2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668</v>
      </c>
      <c r="C74" s="488">
        <v>286317247</v>
      </c>
      <c r="D74" s="488">
        <v>317763478</v>
      </c>
      <c r="E74" s="488">
        <f>D74-C74</f>
        <v>31446231</v>
      </c>
      <c r="F74" s="489">
        <f>IF(C74=0,0,E74/C74)</f>
        <v>0.10983002710975354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669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670</v>
      </c>
      <c r="C76" s="441">
        <f>C73-C74</f>
        <v>427897093</v>
      </c>
      <c r="D76" s="441">
        <f>LN_IB32-LN_IB33</f>
        <v>440169266</v>
      </c>
      <c r="E76" s="488">
        <f>D76-C76</f>
        <v>12272173</v>
      </c>
      <c r="F76" s="489">
        <f>IF(E76=0,0,E76/C76)</f>
        <v>2.8680197180026179E-2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671</v>
      </c>
      <c r="C77" s="453">
        <f>IF(C73=0,0,C76/C73)</f>
        <v>0.59911579624682421</v>
      </c>
      <c r="D77" s="453">
        <f>IF(LN_IB32=0,0,LN_IB34/LN_IB32)</f>
        <v>0.58074976900588948</v>
      </c>
      <c r="E77" s="493">
        <f>D77-C77</f>
        <v>-1.8366027240934724E-2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672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673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638</v>
      </c>
      <c r="C83" s="448">
        <v>15900440</v>
      </c>
      <c r="D83" s="448">
        <v>8218885</v>
      </c>
      <c r="E83" s="448">
        <f t="shared" ref="E83:E95" si="8">D83-C83</f>
        <v>-7681555</v>
      </c>
      <c r="F83" s="449">
        <f t="shared" ref="F83:F95" si="9">IF(C83=0,0,E83/C83)</f>
        <v>-0.48310329777037614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639</v>
      </c>
      <c r="C84" s="448">
        <v>115038</v>
      </c>
      <c r="D84" s="448">
        <v>175349</v>
      </c>
      <c r="E84" s="448">
        <f t="shared" si="8"/>
        <v>60311</v>
      </c>
      <c r="F84" s="449">
        <f t="shared" si="9"/>
        <v>0.52427024113771103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640</v>
      </c>
      <c r="C85" s="453">
        <f>IF(C83=0,0,C84/C83)</f>
        <v>7.234894128715935E-3</v>
      </c>
      <c r="D85" s="453">
        <f>IF(LN_IC1=0,0,LN_IC2/LN_IC1)</f>
        <v>2.1334889099920488E-2</v>
      </c>
      <c r="E85" s="454">
        <f t="shared" si="8"/>
        <v>1.4099994971204552E-2</v>
      </c>
      <c r="F85" s="449">
        <f t="shared" si="9"/>
        <v>1.9488875331624307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366</v>
      </c>
      <c r="D86" s="456">
        <v>193</v>
      </c>
      <c r="E86" s="456">
        <f t="shared" si="8"/>
        <v>-173</v>
      </c>
      <c r="F86" s="449">
        <f t="shared" si="9"/>
        <v>-0.47267759562841533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641</v>
      </c>
      <c r="C87" s="459">
        <v>1.1611800000000001</v>
      </c>
      <c r="D87" s="459">
        <v>1.2165999999999999</v>
      </c>
      <c r="E87" s="460">
        <f t="shared" si="8"/>
        <v>5.5419999999999803E-2</v>
      </c>
      <c r="F87" s="449">
        <f t="shared" si="9"/>
        <v>4.7727311872405483E-2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642</v>
      </c>
      <c r="C88" s="463">
        <f>C86*C87</f>
        <v>424.99188000000004</v>
      </c>
      <c r="D88" s="463">
        <f>LN_IC4*LN_IC5</f>
        <v>234.8038</v>
      </c>
      <c r="E88" s="463">
        <f t="shared" si="8"/>
        <v>-190.18808000000004</v>
      </c>
      <c r="F88" s="449">
        <f t="shared" si="9"/>
        <v>-0.44750991477766594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643</v>
      </c>
      <c r="C89" s="465">
        <f>IF(C88=0,0,C84/C88)</f>
        <v>270.68281869291241</v>
      </c>
      <c r="D89" s="465">
        <f>IF(LN_IC6=0,0,LN_IC2/LN_IC6)</f>
        <v>746.78944718952596</v>
      </c>
      <c r="E89" s="465">
        <f t="shared" si="8"/>
        <v>476.10662849661355</v>
      </c>
      <c r="F89" s="449">
        <f t="shared" si="9"/>
        <v>1.7589096744139971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674</v>
      </c>
      <c r="C90" s="465">
        <f>C48-C89</f>
        <v>11723.68328110639</v>
      </c>
      <c r="D90" s="465">
        <f>LN_IB7-LN_IC7</f>
        <v>12001.387702960857</v>
      </c>
      <c r="E90" s="465">
        <f t="shared" si="8"/>
        <v>277.704421854467</v>
      </c>
      <c r="F90" s="449">
        <f t="shared" si="9"/>
        <v>2.3687472204406004E-2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675</v>
      </c>
      <c r="C91" s="465">
        <f>C21-C89</f>
        <v>7934.2407520090583</v>
      </c>
      <c r="D91" s="465">
        <f>LN_IA7-LN_IC7</f>
        <v>8080.9266752530721</v>
      </c>
      <c r="E91" s="465">
        <f t="shared" si="8"/>
        <v>146.68592324401379</v>
      </c>
      <c r="F91" s="449">
        <f t="shared" si="9"/>
        <v>1.8487707624308087E-2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660</v>
      </c>
      <c r="C92" s="441">
        <f>C91*C88</f>
        <v>3371987.8935689437</v>
      </c>
      <c r="D92" s="441">
        <f>LN_IC9*LN_IC6</f>
        <v>1897432.2908707873</v>
      </c>
      <c r="E92" s="441">
        <f t="shared" si="8"/>
        <v>-1474555.6026981564</v>
      </c>
      <c r="F92" s="449">
        <f t="shared" si="9"/>
        <v>-0.43729563961674633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1443</v>
      </c>
      <c r="D93" s="456">
        <v>716</v>
      </c>
      <c r="E93" s="456">
        <f t="shared" si="8"/>
        <v>-727</v>
      </c>
      <c r="F93" s="449">
        <f t="shared" si="9"/>
        <v>-0.50381150381150386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644</v>
      </c>
      <c r="C94" s="499">
        <f>IF(C93=0,0,C84/C93)</f>
        <v>79.721413721413725</v>
      </c>
      <c r="D94" s="499">
        <f>IF(LN_IC11=0,0,LN_IC2/LN_IC11)</f>
        <v>244.90083798882682</v>
      </c>
      <c r="E94" s="499">
        <f t="shared" si="8"/>
        <v>165.17942426741308</v>
      </c>
      <c r="F94" s="449">
        <f t="shared" si="9"/>
        <v>2.0719580418459733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645</v>
      </c>
      <c r="C95" s="466">
        <f>IF(C86=0,0,C93/C86)</f>
        <v>3.942622950819672</v>
      </c>
      <c r="D95" s="466">
        <f>IF(LN_IC4=0,0,LN_IC11/LN_IC4)</f>
        <v>3.7098445595854921</v>
      </c>
      <c r="E95" s="466">
        <f t="shared" si="8"/>
        <v>-0.23277839123417987</v>
      </c>
      <c r="F95" s="449">
        <f t="shared" si="9"/>
        <v>-5.9041504637359556E-2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676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647</v>
      </c>
      <c r="C98" s="448">
        <v>51321924</v>
      </c>
      <c r="D98" s="448">
        <v>53763116</v>
      </c>
      <c r="E98" s="448">
        <f t="shared" ref="E98:E106" si="10">D98-C98</f>
        <v>2441192</v>
      </c>
      <c r="F98" s="449">
        <f t="shared" ref="F98:F106" si="11">IF(C98=0,0,E98/C98)</f>
        <v>4.7566260376364689E-2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648</v>
      </c>
      <c r="C99" s="448">
        <v>1538646</v>
      </c>
      <c r="D99" s="448">
        <v>1720175</v>
      </c>
      <c r="E99" s="448">
        <f t="shared" si="10"/>
        <v>181529</v>
      </c>
      <c r="F99" s="449">
        <f t="shared" si="11"/>
        <v>0.11797970423346241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649</v>
      </c>
      <c r="C100" s="453">
        <f>IF(C98=0,0,C99/C98)</f>
        <v>2.9980286787377651E-2</v>
      </c>
      <c r="D100" s="453">
        <f>IF(LN_IC14=0,0,LN_IC15/LN_IC14)</f>
        <v>3.1995448329296988E-2</v>
      </c>
      <c r="E100" s="454">
        <f t="shared" si="10"/>
        <v>2.0151615419193372E-3</v>
      </c>
      <c r="F100" s="449">
        <f t="shared" si="11"/>
        <v>6.7216219651633352E-2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650</v>
      </c>
      <c r="C101" s="453">
        <f>IF(C83=0,0,C98/C83)</f>
        <v>3.2277046421356892</v>
      </c>
      <c r="D101" s="453">
        <f>IF(LN_IC1=0,0,LN_IC14/LN_IC1)</f>
        <v>6.5414123691960651</v>
      </c>
      <c r="E101" s="454">
        <f t="shared" si="10"/>
        <v>3.3137077270603759</v>
      </c>
      <c r="F101" s="449">
        <f t="shared" si="11"/>
        <v>1.0266452772047261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651</v>
      </c>
      <c r="C102" s="463">
        <f>C101*C86</f>
        <v>1181.3398990216622</v>
      </c>
      <c r="D102" s="463">
        <f>LN_IC17*LN_IC4</f>
        <v>1262.4925872548406</v>
      </c>
      <c r="E102" s="463">
        <f t="shared" si="10"/>
        <v>81.152688233178424</v>
      </c>
      <c r="F102" s="449">
        <f t="shared" si="11"/>
        <v>6.869546038391304E-2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652</v>
      </c>
      <c r="C103" s="465">
        <f>IF(C102=0,0,C99/C102)</f>
        <v>1302.4583367363145</v>
      </c>
      <c r="D103" s="465">
        <f>IF(LN_IC18=0,0,LN_IC15/LN_IC18)</f>
        <v>1362.5228515126116</v>
      </c>
      <c r="E103" s="465">
        <f t="shared" si="10"/>
        <v>60.064514776297074</v>
      </c>
      <c r="F103" s="449">
        <f t="shared" si="11"/>
        <v>4.6116265743137749E-2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677</v>
      </c>
      <c r="C104" s="465">
        <f>C61-C103</f>
        <v>12362.634212557501</v>
      </c>
      <c r="D104" s="465">
        <f>LN_IB18-LN_IC19</f>
        <v>12961.119353886696</v>
      </c>
      <c r="E104" s="465">
        <f t="shared" si="10"/>
        <v>598.48514132919445</v>
      </c>
      <c r="F104" s="449">
        <f t="shared" si="11"/>
        <v>4.8410810434015399E-2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678</v>
      </c>
      <c r="C105" s="465">
        <f>C32-C103</f>
        <v>6345.1565299850399</v>
      </c>
      <c r="D105" s="465">
        <f>LN_IA16-LN_IC19</f>
        <v>6712.672577526374</v>
      </c>
      <c r="E105" s="465">
        <f t="shared" si="10"/>
        <v>367.51604754133405</v>
      </c>
      <c r="F105" s="449">
        <f t="shared" si="11"/>
        <v>5.7920722019161999E-2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663</v>
      </c>
      <c r="C106" s="448">
        <f>C105*C102</f>
        <v>7495786.5744091673</v>
      </c>
      <c r="D106" s="448">
        <f>LN_IC21*LN_IC18</f>
        <v>8474699.3697958905</v>
      </c>
      <c r="E106" s="448">
        <f t="shared" si="10"/>
        <v>978912.79538672324</v>
      </c>
      <c r="F106" s="449">
        <f t="shared" si="11"/>
        <v>0.13059507306794993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679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654</v>
      </c>
      <c r="C109" s="448">
        <f>C83+C98</f>
        <v>67222364</v>
      </c>
      <c r="D109" s="448">
        <f>LN_IC1+LN_IC14</f>
        <v>61982001</v>
      </c>
      <c r="E109" s="448">
        <f>D109-C109</f>
        <v>-5240363</v>
      </c>
      <c r="F109" s="449">
        <f>IF(C109=0,0,E109/C109)</f>
        <v>-7.7955648807590289E-2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655</v>
      </c>
      <c r="C110" s="448">
        <f>C84+C99</f>
        <v>1653684</v>
      </c>
      <c r="D110" s="448">
        <f>LN_IC2+LN_IC15</f>
        <v>1895524</v>
      </c>
      <c r="E110" s="448">
        <f>D110-C110</f>
        <v>241840</v>
      </c>
      <c r="F110" s="449">
        <f>IF(C110=0,0,E110/C110)</f>
        <v>0.14624317584254307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656</v>
      </c>
      <c r="C111" s="448">
        <f>C109-C110</f>
        <v>65568680</v>
      </c>
      <c r="D111" s="448">
        <f>LN_IC23-LN_IC24</f>
        <v>60086477</v>
      </c>
      <c r="E111" s="448">
        <f>D111-C111</f>
        <v>-5482203</v>
      </c>
      <c r="F111" s="449">
        <f>IF(C111=0,0,E111/C111)</f>
        <v>-8.3610086401007311E-2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665</v>
      </c>
      <c r="C113" s="448">
        <f>C92+C106</f>
        <v>10867774.467978111</v>
      </c>
      <c r="D113" s="448">
        <f>LN_IC10+LN_IC22</f>
        <v>10372131.660666678</v>
      </c>
      <c r="E113" s="448">
        <f>D113-C113</f>
        <v>-495642.80731143244</v>
      </c>
      <c r="F113" s="449">
        <f>IF(C113=0,0,E113/C113)</f>
        <v>-4.5606651920486907E-2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680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681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638</v>
      </c>
      <c r="C118" s="448">
        <v>110053227</v>
      </c>
      <c r="D118" s="448">
        <v>111346725</v>
      </c>
      <c r="E118" s="448">
        <f t="shared" ref="E118:E130" si="12">D118-C118</f>
        <v>1293498</v>
      </c>
      <c r="F118" s="449">
        <f t="shared" ref="F118:F130" si="13">IF(C118=0,0,E118/C118)</f>
        <v>1.1753385477737967E-2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639</v>
      </c>
      <c r="C119" s="448">
        <v>15718579</v>
      </c>
      <c r="D119" s="448">
        <v>14481962</v>
      </c>
      <c r="E119" s="448">
        <f t="shared" si="12"/>
        <v>-1236617</v>
      </c>
      <c r="F119" s="449">
        <f t="shared" si="13"/>
        <v>-7.8672315099221124E-2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640</v>
      </c>
      <c r="C120" s="453">
        <f>IF(C118=0,0,C119/C118)</f>
        <v>0.1428270613091609</v>
      </c>
      <c r="D120" s="453">
        <f>IF(LN_ID1=0,0,LN_1D2/LN_ID1)</f>
        <v>0.13006185857734029</v>
      </c>
      <c r="E120" s="454">
        <f t="shared" si="12"/>
        <v>-1.2765202731820607E-2</v>
      </c>
      <c r="F120" s="449">
        <f t="shared" si="13"/>
        <v>-8.9375238941514584E-2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3376</v>
      </c>
      <c r="D121" s="456">
        <v>3394</v>
      </c>
      <c r="E121" s="456">
        <f t="shared" si="12"/>
        <v>18</v>
      </c>
      <c r="F121" s="449">
        <f t="shared" si="13"/>
        <v>5.3317535545023701E-3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641</v>
      </c>
      <c r="C122" s="459">
        <v>1.01264</v>
      </c>
      <c r="D122" s="459">
        <v>1.0188999999999999</v>
      </c>
      <c r="E122" s="460">
        <f t="shared" si="12"/>
        <v>6.2599999999999323E-3</v>
      </c>
      <c r="F122" s="449">
        <f t="shared" si="13"/>
        <v>6.1818612735028561E-3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642</v>
      </c>
      <c r="C123" s="463">
        <f>C121*C122</f>
        <v>3418.6726399999998</v>
      </c>
      <c r="D123" s="463">
        <f>LN_ID4*LN_ID5</f>
        <v>3458.1465999999996</v>
      </c>
      <c r="E123" s="463">
        <f t="shared" si="12"/>
        <v>39.473959999999806</v>
      </c>
      <c r="F123" s="449">
        <f t="shared" si="13"/>
        <v>1.1546574988823676E-2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643</v>
      </c>
      <c r="C124" s="465">
        <f>IF(C123=0,0,C119/C123)</f>
        <v>4597.8602385281329</v>
      </c>
      <c r="D124" s="465">
        <f>IF(LN_ID6=0,0,LN_1D2/LN_ID6)</f>
        <v>4187.7813971218002</v>
      </c>
      <c r="E124" s="465">
        <f t="shared" si="12"/>
        <v>-410.07884140633269</v>
      </c>
      <c r="F124" s="449">
        <f t="shared" si="13"/>
        <v>-8.9189061896671987E-2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682</v>
      </c>
      <c r="C125" s="465">
        <f>C48-C124</f>
        <v>7396.50586127117</v>
      </c>
      <c r="D125" s="465">
        <f>LN_IB7-LN_ID7</f>
        <v>8560.3957530285825</v>
      </c>
      <c r="E125" s="465">
        <f t="shared" si="12"/>
        <v>1163.8898917574124</v>
      </c>
      <c r="F125" s="449">
        <f t="shared" si="13"/>
        <v>0.15735671864354953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683</v>
      </c>
      <c r="C126" s="465">
        <f>C21-C124</f>
        <v>3607.0633321738378</v>
      </c>
      <c r="D126" s="465">
        <f>LN_IA7-LN_ID7</f>
        <v>4639.934725320798</v>
      </c>
      <c r="E126" s="465">
        <f t="shared" si="12"/>
        <v>1032.8713931469601</v>
      </c>
      <c r="F126" s="449">
        <f t="shared" si="13"/>
        <v>0.28634689719309375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660</v>
      </c>
      <c r="C127" s="479">
        <f>C126*C123</f>
        <v>12331368.724449931</v>
      </c>
      <c r="D127" s="479">
        <f>LN_ID9*LN_ID6</f>
        <v>16045574.49459005</v>
      </c>
      <c r="E127" s="479">
        <f t="shared" si="12"/>
        <v>3714205.7701401189</v>
      </c>
      <c r="F127" s="449">
        <f t="shared" si="13"/>
        <v>0.30119979810317443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14553</v>
      </c>
      <c r="D128" s="456">
        <v>14820</v>
      </c>
      <c r="E128" s="456">
        <f t="shared" si="12"/>
        <v>267</v>
      </c>
      <c r="F128" s="449">
        <f t="shared" si="13"/>
        <v>1.8346732632446919E-2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644</v>
      </c>
      <c r="C129" s="465">
        <f>IF(C128=0,0,C119/C128)</f>
        <v>1080.0920085205798</v>
      </c>
      <c r="D129" s="465">
        <f>IF(LN_ID11=0,0,LN_1D2/LN_ID11)</f>
        <v>977.19041835357621</v>
      </c>
      <c r="E129" s="465">
        <f t="shared" si="12"/>
        <v>-102.90159016700363</v>
      </c>
      <c r="F129" s="449">
        <f t="shared" si="13"/>
        <v>-9.5271133713830239E-2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645</v>
      </c>
      <c r="C130" s="466">
        <f>IF(C121=0,0,C128/C121)</f>
        <v>4.3107227488151656</v>
      </c>
      <c r="D130" s="466">
        <f>IF(LN_ID4=0,0,LN_ID11/LN_ID4)</f>
        <v>4.3665291691219803</v>
      </c>
      <c r="E130" s="466">
        <f t="shared" si="12"/>
        <v>5.5806420306814708E-2</v>
      </c>
      <c r="F130" s="449">
        <f t="shared" si="13"/>
        <v>1.2945954439346284E-2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684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647</v>
      </c>
      <c r="C133" s="448">
        <v>158191842</v>
      </c>
      <c r="D133" s="448">
        <v>179795054</v>
      </c>
      <c r="E133" s="448">
        <f t="shared" ref="E133:E141" si="14">D133-C133</f>
        <v>21603212</v>
      </c>
      <c r="F133" s="449">
        <f t="shared" ref="F133:F141" si="15">IF(C133=0,0,E133/C133)</f>
        <v>0.13656337600519247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648</v>
      </c>
      <c r="C134" s="448">
        <v>24969031</v>
      </c>
      <c r="D134" s="448">
        <v>24103560</v>
      </c>
      <c r="E134" s="448">
        <f t="shared" si="14"/>
        <v>-865471</v>
      </c>
      <c r="F134" s="449">
        <f t="shared" si="15"/>
        <v>-3.4661777623649075E-2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649</v>
      </c>
      <c r="C135" s="453">
        <f>IF(C133=0,0,C134/C133)</f>
        <v>0.1578401938072129</v>
      </c>
      <c r="D135" s="453">
        <f>IF(LN_ID14=0,0,LN_ID15/LN_ID14)</f>
        <v>0.13406130738168137</v>
      </c>
      <c r="E135" s="454">
        <f t="shared" si="14"/>
        <v>-2.3778886425531526E-2</v>
      </c>
      <c r="F135" s="449">
        <f t="shared" si="15"/>
        <v>-0.15065165501871608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650</v>
      </c>
      <c r="C136" s="453">
        <f>IF(C118=0,0,C133/C118)</f>
        <v>1.4374121169568248</v>
      </c>
      <c r="D136" s="453">
        <f>IF(LN_ID1=0,0,LN_ID14/LN_ID1)</f>
        <v>1.6147314076817256</v>
      </c>
      <c r="E136" s="454">
        <f t="shared" si="14"/>
        <v>0.17731929072490082</v>
      </c>
      <c r="F136" s="449">
        <f t="shared" si="15"/>
        <v>0.12336009181577459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651</v>
      </c>
      <c r="C137" s="463">
        <f>C136*C121</f>
        <v>4852.7033068462406</v>
      </c>
      <c r="D137" s="463">
        <f>LN_ID17*LN_ID4</f>
        <v>5480.3983976717764</v>
      </c>
      <c r="E137" s="463">
        <f t="shared" si="14"/>
        <v>627.69509082553577</v>
      </c>
      <c r="F137" s="449">
        <f t="shared" si="15"/>
        <v>0.12934957097829936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652</v>
      </c>
      <c r="C138" s="465">
        <f>IF(C137=0,0,C134/C137)</f>
        <v>5145.3858645702594</v>
      </c>
      <c r="D138" s="465">
        <f>IF(LN_ID18=0,0,LN_ID15/LN_ID18)</f>
        <v>4398.1401078870203</v>
      </c>
      <c r="E138" s="465">
        <f t="shared" si="14"/>
        <v>-747.24575668323905</v>
      </c>
      <c r="F138" s="449">
        <f t="shared" si="15"/>
        <v>-0.14522637880835565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685</v>
      </c>
      <c r="C139" s="465">
        <f>C61-C138</f>
        <v>8519.7066847235546</v>
      </c>
      <c r="D139" s="465">
        <f>LN_IB18-LN_ID19</f>
        <v>9925.5020975122861</v>
      </c>
      <c r="E139" s="465">
        <f t="shared" si="14"/>
        <v>1405.7954127887315</v>
      </c>
      <c r="F139" s="449">
        <f t="shared" si="15"/>
        <v>0.16500514217342993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686</v>
      </c>
      <c r="C140" s="465">
        <f>C32-C138</f>
        <v>2502.2290021510953</v>
      </c>
      <c r="D140" s="465">
        <f>LN_IA16-LN_ID19</f>
        <v>3677.0553211519655</v>
      </c>
      <c r="E140" s="465">
        <f t="shared" si="14"/>
        <v>1174.8263190008702</v>
      </c>
      <c r="F140" s="449">
        <f t="shared" si="15"/>
        <v>0.46951191037706991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663</v>
      </c>
      <c r="C141" s="441">
        <f>C140*C137</f>
        <v>12142574.95322519</v>
      </c>
      <c r="D141" s="441">
        <f>LN_ID21*LN_ID18</f>
        <v>20151728.090191711</v>
      </c>
      <c r="E141" s="441">
        <f t="shared" si="14"/>
        <v>8009153.1369665209</v>
      </c>
      <c r="F141" s="449">
        <f t="shared" si="15"/>
        <v>0.65959264553184493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687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654</v>
      </c>
      <c r="C144" s="448">
        <f>C118+C133</f>
        <v>268245069</v>
      </c>
      <c r="D144" s="448">
        <f>LN_ID1+LN_ID14</f>
        <v>291141779</v>
      </c>
      <c r="E144" s="448">
        <f>D144-C144</f>
        <v>22896710</v>
      </c>
      <c r="F144" s="449">
        <f>IF(C144=0,0,E144/C144)</f>
        <v>8.5357431118333063E-2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655</v>
      </c>
      <c r="C145" s="448">
        <f>C119+C134</f>
        <v>40687610</v>
      </c>
      <c r="D145" s="448">
        <f>LN_1D2+LN_ID15</f>
        <v>38585522</v>
      </c>
      <c r="E145" s="448">
        <f>D145-C145</f>
        <v>-2102088</v>
      </c>
      <c r="F145" s="449">
        <f>IF(C145=0,0,E145/C145)</f>
        <v>-5.1664081522606022E-2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656</v>
      </c>
      <c r="C146" s="448">
        <f>C144-C145</f>
        <v>227557459</v>
      </c>
      <c r="D146" s="448">
        <f>LN_ID23-LN_ID24</f>
        <v>252556257</v>
      </c>
      <c r="E146" s="448">
        <f>D146-C146</f>
        <v>24998798</v>
      </c>
      <c r="F146" s="449">
        <f>IF(C146=0,0,E146/C146)</f>
        <v>0.10985708009685589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665</v>
      </c>
      <c r="C148" s="448">
        <f>C127+C141</f>
        <v>24473943.677675121</v>
      </c>
      <c r="D148" s="448">
        <f>LN_ID10+LN_ID22</f>
        <v>36197302.584781758</v>
      </c>
      <c r="E148" s="448">
        <f>D148-C148</f>
        <v>11723358.907106638</v>
      </c>
      <c r="F148" s="503">
        <f>IF(C148=0,0,E148/C148)</f>
        <v>0.47901388764739888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688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689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638</v>
      </c>
      <c r="C153" s="448">
        <v>3250759</v>
      </c>
      <c r="D153" s="448">
        <v>3407245</v>
      </c>
      <c r="E153" s="448">
        <f t="shared" ref="E153:E165" si="16">D153-C153</f>
        <v>156486</v>
      </c>
      <c r="F153" s="449">
        <f t="shared" ref="F153:F165" si="17">IF(C153=0,0,E153/C153)</f>
        <v>4.81382963178753E-2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639</v>
      </c>
      <c r="C154" s="448">
        <v>328652</v>
      </c>
      <c r="D154" s="448">
        <v>487782</v>
      </c>
      <c r="E154" s="448">
        <f t="shared" si="16"/>
        <v>159130</v>
      </c>
      <c r="F154" s="449">
        <f t="shared" si="17"/>
        <v>0.48418996385234231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640</v>
      </c>
      <c r="C155" s="453">
        <f>IF(C153=0,0,C154/C153)</f>
        <v>0.10110008155018567</v>
      </c>
      <c r="D155" s="453">
        <f>IF(LN_IE1=0,0,LN_IE2/LN_IE1)</f>
        <v>0.14316023649605472</v>
      </c>
      <c r="E155" s="454">
        <f t="shared" si="16"/>
        <v>4.2060154945869052E-2</v>
      </c>
      <c r="F155" s="449">
        <f t="shared" si="17"/>
        <v>0.41602493589474071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81</v>
      </c>
      <c r="D156" s="506">
        <v>80</v>
      </c>
      <c r="E156" s="506">
        <f t="shared" si="16"/>
        <v>-1</v>
      </c>
      <c r="F156" s="449">
        <f t="shared" si="17"/>
        <v>-1.2345679012345678E-2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641</v>
      </c>
      <c r="C157" s="459">
        <v>1.1010500000000001</v>
      </c>
      <c r="D157" s="459">
        <v>1.1645700000000001</v>
      </c>
      <c r="E157" s="460">
        <f t="shared" si="16"/>
        <v>6.3520000000000021E-2</v>
      </c>
      <c r="F157" s="449">
        <f t="shared" si="17"/>
        <v>5.7690386449298414E-2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642</v>
      </c>
      <c r="C158" s="463">
        <f>C156*C157</f>
        <v>89.185050000000004</v>
      </c>
      <c r="D158" s="463">
        <f>LN_IE4*LN_IE5</f>
        <v>93.165600000000012</v>
      </c>
      <c r="E158" s="463">
        <f t="shared" si="16"/>
        <v>3.980550000000008</v>
      </c>
      <c r="F158" s="449">
        <f t="shared" si="17"/>
        <v>4.4632480443751593E-2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643</v>
      </c>
      <c r="C159" s="465">
        <f>IF(C158=0,0,C154/C158)</f>
        <v>3685.0570807551262</v>
      </c>
      <c r="D159" s="465">
        <f>IF(LN_IE6=0,0,LN_IE2/LN_IE6)</f>
        <v>5235.6449161493074</v>
      </c>
      <c r="E159" s="465">
        <f t="shared" si="16"/>
        <v>1550.5878353941812</v>
      </c>
      <c r="F159" s="449">
        <f t="shared" si="17"/>
        <v>0.42077715525547338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690</v>
      </c>
      <c r="C160" s="465">
        <f>C48-C159</f>
        <v>8309.3090190441762</v>
      </c>
      <c r="D160" s="465">
        <f>LN_IB7-LN_IE7</f>
        <v>7512.5322340010753</v>
      </c>
      <c r="E160" s="465">
        <f t="shared" si="16"/>
        <v>-796.77678504310097</v>
      </c>
      <c r="F160" s="449">
        <f t="shared" si="17"/>
        <v>-9.5889656193669223E-2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691</v>
      </c>
      <c r="C161" s="465">
        <f>C21-C159</f>
        <v>4519.866489946844</v>
      </c>
      <c r="D161" s="465">
        <f>LN_IA7-LN_IE7</f>
        <v>3592.0712062932907</v>
      </c>
      <c r="E161" s="465">
        <f t="shared" si="16"/>
        <v>-927.79528365355327</v>
      </c>
      <c r="F161" s="449">
        <f t="shared" si="17"/>
        <v>-0.2052705064888907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660</v>
      </c>
      <c r="C162" s="479">
        <f>C161*C158</f>
        <v>403104.51889923378</v>
      </c>
      <c r="D162" s="479">
        <f>LN_IE9*LN_IE6</f>
        <v>334657.46917703823</v>
      </c>
      <c r="E162" s="479">
        <f t="shared" si="16"/>
        <v>-68447.049722195545</v>
      </c>
      <c r="F162" s="449">
        <f t="shared" si="17"/>
        <v>-0.1697997579116835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605</v>
      </c>
      <c r="D163" s="456">
        <v>428</v>
      </c>
      <c r="E163" s="506">
        <f t="shared" si="16"/>
        <v>-177</v>
      </c>
      <c r="F163" s="449">
        <f t="shared" si="17"/>
        <v>-0.29256198347107437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644</v>
      </c>
      <c r="C164" s="465">
        <f>IF(C163=0,0,C154/C163)</f>
        <v>543.22644628099169</v>
      </c>
      <c r="D164" s="465">
        <f>IF(LN_IE11=0,0,LN_IE2/LN_IE11)</f>
        <v>1139.6775700934579</v>
      </c>
      <c r="E164" s="465">
        <f t="shared" si="16"/>
        <v>596.45112381246622</v>
      </c>
      <c r="F164" s="449">
        <f t="shared" si="17"/>
        <v>1.0979788040436147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645</v>
      </c>
      <c r="C165" s="466">
        <f>IF(C156=0,0,C163/C156)</f>
        <v>7.4691358024691361</v>
      </c>
      <c r="D165" s="466">
        <f>IF(LN_IE4=0,0,LN_IE11/LN_IE4)</f>
        <v>5.35</v>
      </c>
      <c r="E165" s="466">
        <f t="shared" si="16"/>
        <v>-2.1191358024691365</v>
      </c>
      <c r="F165" s="449">
        <f t="shared" si="17"/>
        <v>-0.28371900826446289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692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647</v>
      </c>
      <c r="C168" s="511">
        <v>3233863</v>
      </c>
      <c r="D168" s="511">
        <v>3036644</v>
      </c>
      <c r="E168" s="511">
        <f t="shared" ref="E168:E176" si="18">D168-C168</f>
        <v>-197219</v>
      </c>
      <c r="F168" s="449">
        <f t="shared" ref="F168:F176" si="19">IF(C168=0,0,E168/C168)</f>
        <v>-6.0985576692642825E-2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648</v>
      </c>
      <c r="C169" s="511">
        <v>91533</v>
      </c>
      <c r="D169" s="511">
        <v>289833</v>
      </c>
      <c r="E169" s="511">
        <f t="shared" si="18"/>
        <v>198300</v>
      </c>
      <c r="F169" s="449">
        <f t="shared" si="19"/>
        <v>2.1664317787027629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649</v>
      </c>
      <c r="C170" s="453">
        <f>IF(C168=0,0,C169/C168)</f>
        <v>2.8304538565795768E-2</v>
      </c>
      <c r="D170" s="453">
        <f>IF(LN_IE14=0,0,LN_IE15/LN_IE14)</f>
        <v>9.5445169074807587E-2</v>
      </c>
      <c r="E170" s="454">
        <f t="shared" si="18"/>
        <v>6.7140630509011812E-2</v>
      </c>
      <c r="F170" s="449">
        <f t="shared" si="19"/>
        <v>2.3720800235954735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650</v>
      </c>
      <c r="C171" s="453">
        <f>IF(C153=0,0,C168/C153)</f>
        <v>0.99480244459832301</v>
      </c>
      <c r="D171" s="453">
        <f>IF(LN_IE1=0,0,LN_IE14/LN_IE1)</f>
        <v>0.89123147880472342</v>
      </c>
      <c r="E171" s="454">
        <f t="shared" si="18"/>
        <v>-0.10357096579359959</v>
      </c>
      <c r="F171" s="449">
        <f t="shared" si="19"/>
        <v>-0.10411209417103817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651</v>
      </c>
      <c r="C172" s="463">
        <f>C171*C156</f>
        <v>80.578998012464169</v>
      </c>
      <c r="D172" s="463">
        <f>LN_IE17*LN_IE4</f>
        <v>71.298518304377879</v>
      </c>
      <c r="E172" s="463">
        <f t="shared" si="18"/>
        <v>-9.2804797080862897</v>
      </c>
      <c r="F172" s="449">
        <f t="shared" si="19"/>
        <v>-0.1151724386874451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652</v>
      </c>
      <c r="C173" s="465">
        <f>IF(C172=0,0,C169/C172)</f>
        <v>1135.9411541186134</v>
      </c>
      <c r="D173" s="465">
        <f>IF(LN_IE18=0,0,LN_IE15/LN_IE18)</f>
        <v>4065.0634388036597</v>
      </c>
      <c r="E173" s="465">
        <f t="shared" si="18"/>
        <v>2929.122284685046</v>
      </c>
      <c r="F173" s="449">
        <f t="shared" si="19"/>
        <v>2.5785862886161364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693</v>
      </c>
      <c r="C174" s="465">
        <f>C61-C173</f>
        <v>12529.151395175202</v>
      </c>
      <c r="D174" s="465">
        <f>LN_IB18-LN_IE19</f>
        <v>10258.578766595647</v>
      </c>
      <c r="E174" s="465">
        <f t="shared" si="18"/>
        <v>-2270.5726285795554</v>
      </c>
      <c r="F174" s="449">
        <f t="shared" si="19"/>
        <v>-0.18122317760913326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694</v>
      </c>
      <c r="C175" s="465">
        <f>C32-C173</f>
        <v>6511.673712602741</v>
      </c>
      <c r="D175" s="465">
        <f>LN_IA16-LN_IE19</f>
        <v>4010.1319902353262</v>
      </c>
      <c r="E175" s="465">
        <f t="shared" si="18"/>
        <v>-2501.5417223674149</v>
      </c>
      <c r="F175" s="449">
        <f t="shared" si="19"/>
        <v>-0.38416263356775887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663</v>
      </c>
      <c r="C176" s="441">
        <f>C175*C172</f>
        <v>524704.14314563142</v>
      </c>
      <c r="D176" s="441">
        <f>LN_IE21*LN_IE18</f>
        <v>285916.46910876472</v>
      </c>
      <c r="E176" s="441">
        <f t="shared" si="18"/>
        <v>-238787.67403686669</v>
      </c>
      <c r="F176" s="449">
        <f t="shared" si="19"/>
        <v>-0.45509012489461376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695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654</v>
      </c>
      <c r="C179" s="448">
        <f>C153+C168</f>
        <v>6484622</v>
      </c>
      <c r="D179" s="448">
        <f>LN_IE1+LN_IE14</f>
        <v>6443889</v>
      </c>
      <c r="E179" s="448">
        <f>D179-C179</f>
        <v>-40733</v>
      </c>
      <c r="F179" s="449">
        <f>IF(C179=0,0,E179/C179)</f>
        <v>-6.2814763913763977E-3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655</v>
      </c>
      <c r="C180" s="448">
        <f>C154+C169</f>
        <v>420185</v>
      </c>
      <c r="D180" s="448">
        <f>LN_IE15+LN_IE2</f>
        <v>777615</v>
      </c>
      <c r="E180" s="448">
        <f>D180-C180</f>
        <v>357430</v>
      </c>
      <c r="F180" s="449">
        <f>IF(C180=0,0,E180/C180)</f>
        <v>0.85064911884051075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656</v>
      </c>
      <c r="C181" s="448">
        <f>C179-C180</f>
        <v>6064437</v>
      </c>
      <c r="D181" s="448">
        <f>LN_IE23-LN_IE24</f>
        <v>5666274</v>
      </c>
      <c r="E181" s="448">
        <f>D181-C181</f>
        <v>-398163</v>
      </c>
      <c r="F181" s="449">
        <f>IF(C181=0,0,E181/C181)</f>
        <v>-6.565539389724058E-2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696</v>
      </c>
      <c r="C183" s="448">
        <f>C162+C176</f>
        <v>927808.6620448652</v>
      </c>
      <c r="D183" s="448">
        <f>LN_IE10+LN_IE22</f>
        <v>620573.93828580296</v>
      </c>
      <c r="E183" s="441">
        <f>D183-C183</f>
        <v>-307234.72375906224</v>
      </c>
      <c r="F183" s="449">
        <f>IF(C183=0,0,E183/C183)</f>
        <v>-0.33114017612416469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697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698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638</v>
      </c>
      <c r="C188" s="448">
        <f>C118+C153</f>
        <v>113303986</v>
      </c>
      <c r="D188" s="448">
        <f>LN_ID1+LN_IE1</f>
        <v>114753970</v>
      </c>
      <c r="E188" s="448">
        <f t="shared" ref="E188:E200" si="20">D188-C188</f>
        <v>1449984</v>
      </c>
      <c r="F188" s="449">
        <f t="shared" ref="F188:F200" si="21">IF(C188=0,0,E188/C188)</f>
        <v>1.279729029127007E-2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639</v>
      </c>
      <c r="C189" s="448">
        <f>C119+C154</f>
        <v>16047231</v>
      </c>
      <c r="D189" s="448">
        <f>LN_1D2+LN_IE2</f>
        <v>14969744</v>
      </c>
      <c r="E189" s="448">
        <f t="shared" si="20"/>
        <v>-1077487</v>
      </c>
      <c r="F189" s="449">
        <f t="shared" si="21"/>
        <v>-6.7144730452250612E-2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640</v>
      </c>
      <c r="C190" s="453">
        <f>IF(C188=0,0,C189/C188)</f>
        <v>0.14162988934917081</v>
      </c>
      <c r="D190" s="453">
        <f>IF(LN_IF1=0,0,LN_IF2/LN_IF1)</f>
        <v>0.13045077220422091</v>
      </c>
      <c r="E190" s="454">
        <f t="shared" si="20"/>
        <v>-1.1179117144949902E-2</v>
      </c>
      <c r="F190" s="449">
        <f t="shared" si="21"/>
        <v>-7.8931906226299337E-2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3457</v>
      </c>
      <c r="D191" s="456">
        <f>LN_ID4+LN_IE4</f>
        <v>3474</v>
      </c>
      <c r="E191" s="456">
        <f t="shared" si="20"/>
        <v>17</v>
      </c>
      <c r="F191" s="449">
        <f t="shared" si="21"/>
        <v>4.9175585768006938E-3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641</v>
      </c>
      <c r="C192" s="459">
        <f>IF((C121+C156)=0,0,(C123+C158)/(C121+C156))</f>
        <v>1.0147115099797512</v>
      </c>
      <c r="D192" s="459">
        <f>IF((LN_ID4+LN_IE4)=0,0,(LN_ID6+LN_IE6)/(LN_ID4+LN_IE4))</f>
        <v>1.0222545192861254</v>
      </c>
      <c r="E192" s="460">
        <f t="shared" si="20"/>
        <v>7.5430093063741932E-3</v>
      </c>
      <c r="F192" s="449">
        <f t="shared" si="21"/>
        <v>7.4336491034035041E-3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642</v>
      </c>
      <c r="C193" s="463">
        <f>C123+C158</f>
        <v>3507.8576899999998</v>
      </c>
      <c r="D193" s="463">
        <f>LN_IF4*LN_IF5</f>
        <v>3551.3121999999998</v>
      </c>
      <c r="E193" s="463">
        <f t="shared" si="20"/>
        <v>43.454510000000028</v>
      </c>
      <c r="F193" s="449">
        <f t="shared" si="21"/>
        <v>1.2387763085109655E-2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643</v>
      </c>
      <c r="C194" s="465">
        <f>IF(C193=0,0,C189/C193)</f>
        <v>4574.6527989851265</v>
      </c>
      <c r="D194" s="465">
        <f>IF(LN_IF6=0,0,LN_IF2/LN_IF6)</f>
        <v>4215.2711890551327</v>
      </c>
      <c r="E194" s="465">
        <f t="shared" si="20"/>
        <v>-359.38160992999383</v>
      </c>
      <c r="F194" s="449">
        <f t="shared" si="21"/>
        <v>-7.8559319301723093E-2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699</v>
      </c>
      <c r="C195" s="465">
        <f>C48-C194</f>
        <v>7419.7133008141764</v>
      </c>
      <c r="D195" s="465">
        <f>LN_IB7-LN_IF7</f>
        <v>8532.9059610952499</v>
      </c>
      <c r="E195" s="465">
        <f t="shared" si="20"/>
        <v>1113.1926602810736</v>
      </c>
      <c r="F195" s="449">
        <f t="shared" si="21"/>
        <v>0.1500317620303363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700</v>
      </c>
      <c r="C196" s="465">
        <f>C21-C194</f>
        <v>3630.2707717168441</v>
      </c>
      <c r="D196" s="465">
        <f>LN_IA7-LN_IF7</f>
        <v>4612.4449333874654</v>
      </c>
      <c r="E196" s="465">
        <f t="shared" si="20"/>
        <v>982.17416167062129</v>
      </c>
      <c r="F196" s="449">
        <f t="shared" si="21"/>
        <v>0.2705512132380492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660</v>
      </c>
      <c r="C197" s="479">
        <f>C127+C162</f>
        <v>12734473.243349165</v>
      </c>
      <c r="D197" s="479">
        <f>LN_IF9*LN_IF6</f>
        <v>16380231.963767093</v>
      </c>
      <c r="E197" s="479">
        <f t="shared" si="20"/>
        <v>3645758.720417928</v>
      </c>
      <c r="F197" s="449">
        <f t="shared" si="21"/>
        <v>0.28629050065514089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15158</v>
      </c>
      <c r="D198" s="456">
        <f>LN_ID11+LN_IE11</f>
        <v>15248</v>
      </c>
      <c r="E198" s="456">
        <f t="shared" si="20"/>
        <v>90</v>
      </c>
      <c r="F198" s="449">
        <f t="shared" si="21"/>
        <v>5.937458767647447E-3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644</v>
      </c>
      <c r="C199" s="519">
        <f>IF(C198=0,0,C189/C198)</f>
        <v>1058.6641377490434</v>
      </c>
      <c r="D199" s="519">
        <f>IF(LN_IF11=0,0,LN_IF2/LN_IF11)</f>
        <v>981.75131164742913</v>
      </c>
      <c r="E199" s="519">
        <f t="shared" si="20"/>
        <v>-76.912826101614314</v>
      </c>
      <c r="F199" s="449">
        <f t="shared" si="21"/>
        <v>-7.2650827924660002E-2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645</v>
      </c>
      <c r="C200" s="466">
        <f>IF(C191=0,0,C198/C191)</f>
        <v>4.3847266415967603</v>
      </c>
      <c r="D200" s="466">
        <f>IF(LN_IF4=0,0,LN_IF11/LN_IF4)</f>
        <v>4.389176741508348</v>
      </c>
      <c r="E200" s="466">
        <f t="shared" si="20"/>
        <v>4.4500999115877349E-3</v>
      </c>
      <c r="F200" s="449">
        <f t="shared" si="21"/>
        <v>1.0149093148409288E-3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701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647</v>
      </c>
      <c r="C203" s="448">
        <f>C133+C168</f>
        <v>161425705</v>
      </c>
      <c r="D203" s="448">
        <f>LN_ID14+LN_IE14</f>
        <v>182831698</v>
      </c>
      <c r="E203" s="448">
        <f t="shared" ref="E203:E211" si="22">D203-C203</f>
        <v>21405993</v>
      </c>
      <c r="F203" s="449">
        <f t="shared" ref="F203:F211" si="23">IF(C203=0,0,E203/C203)</f>
        <v>0.13260585109416123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648</v>
      </c>
      <c r="C204" s="448">
        <f>C134+C169</f>
        <v>25060564</v>
      </c>
      <c r="D204" s="448">
        <f>LN_ID15+LN_IE15</f>
        <v>24393393</v>
      </c>
      <c r="E204" s="448">
        <f t="shared" si="22"/>
        <v>-667171</v>
      </c>
      <c r="F204" s="449">
        <f t="shared" si="23"/>
        <v>-2.6622345770031353E-2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649</v>
      </c>
      <c r="C205" s="453">
        <f>IF(C203=0,0,C204/C203)</f>
        <v>0.15524518849089122</v>
      </c>
      <c r="D205" s="453">
        <f>IF(LN_IF14=0,0,LN_IF15/LN_IF14)</f>
        <v>0.13341993356097365</v>
      </c>
      <c r="E205" s="454">
        <f t="shared" si="22"/>
        <v>-2.1825254929917576E-2</v>
      </c>
      <c r="F205" s="449">
        <f t="shared" si="23"/>
        <v>-0.14058570923889302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650</v>
      </c>
      <c r="C206" s="453">
        <f>IF(C188=0,0,C203/C188)</f>
        <v>1.4247133812220869</v>
      </c>
      <c r="D206" s="453">
        <f>IF(LN_IF1=0,0,LN_IF14/LN_IF1)</f>
        <v>1.5932494361632978</v>
      </c>
      <c r="E206" s="454">
        <f t="shared" si="22"/>
        <v>0.16853605494121093</v>
      </c>
      <c r="F206" s="449">
        <f t="shared" si="23"/>
        <v>0.11829470907098838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651</v>
      </c>
      <c r="C207" s="463">
        <f>C137+C172</f>
        <v>4933.2823048587052</v>
      </c>
      <c r="D207" s="463">
        <f>LN_ID18+LN_IE18</f>
        <v>5551.6969159761538</v>
      </c>
      <c r="E207" s="463">
        <f t="shared" si="22"/>
        <v>618.41461111744866</v>
      </c>
      <c r="F207" s="449">
        <f t="shared" si="23"/>
        <v>0.12535560969385082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652</v>
      </c>
      <c r="C208" s="465">
        <f>IF(C207=0,0,C204/C207)</f>
        <v>5079.8965985218965</v>
      </c>
      <c r="D208" s="465">
        <f>IF(LN_IF18=0,0,LN_IF15/LN_IF18)</f>
        <v>4393.8625197285137</v>
      </c>
      <c r="E208" s="465">
        <f t="shared" si="22"/>
        <v>-686.03407879338283</v>
      </c>
      <c r="F208" s="449">
        <f t="shared" si="23"/>
        <v>-0.13504882737042304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702</v>
      </c>
      <c r="C209" s="465">
        <f>C61-C208</f>
        <v>8585.1959507719184</v>
      </c>
      <c r="D209" s="465">
        <f>LN_IB18-LN_IF19</f>
        <v>9929.7796856707937</v>
      </c>
      <c r="E209" s="465">
        <f t="shared" si="22"/>
        <v>1344.5837348988753</v>
      </c>
      <c r="F209" s="449">
        <f t="shared" si="23"/>
        <v>0.15661654580848328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703</v>
      </c>
      <c r="C210" s="465">
        <f>C32-C208</f>
        <v>2567.7182681994582</v>
      </c>
      <c r="D210" s="465">
        <f>LN_IA16-LN_IF19</f>
        <v>3681.3329093104721</v>
      </c>
      <c r="E210" s="465">
        <f t="shared" si="22"/>
        <v>1113.614641111014</v>
      </c>
      <c r="F210" s="449">
        <f t="shared" si="23"/>
        <v>0.43369814161578779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663</v>
      </c>
      <c r="C211" s="479">
        <f>C141+C176</f>
        <v>12667279.096370822</v>
      </c>
      <c r="D211" s="441">
        <f>LN_IF21*LN_IF18</f>
        <v>20437644.559300471</v>
      </c>
      <c r="E211" s="441">
        <f t="shared" si="22"/>
        <v>7770365.4629296493</v>
      </c>
      <c r="F211" s="449">
        <f t="shared" si="23"/>
        <v>0.61342024627497638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704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654</v>
      </c>
      <c r="C214" s="448">
        <f>C188+C203</f>
        <v>274729691</v>
      </c>
      <c r="D214" s="448">
        <f>LN_IF1+LN_IF14</f>
        <v>297585668</v>
      </c>
      <c r="E214" s="448">
        <f>D214-C214</f>
        <v>22855977</v>
      </c>
      <c r="F214" s="449">
        <f>IF(C214=0,0,E214/C214)</f>
        <v>8.3194418909749365E-2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655</v>
      </c>
      <c r="C215" s="448">
        <f>C189+C204</f>
        <v>41107795</v>
      </c>
      <c r="D215" s="448">
        <f>LN_IF2+LN_IF15</f>
        <v>39363137</v>
      </c>
      <c r="E215" s="448">
        <f>D215-C215</f>
        <v>-1744658</v>
      </c>
      <c r="F215" s="449">
        <f>IF(C215=0,0,E215/C215)</f>
        <v>-4.2441050413917845E-2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656</v>
      </c>
      <c r="C216" s="448">
        <f>C214-C215</f>
        <v>233621896</v>
      </c>
      <c r="D216" s="448">
        <f>LN_IF23-LN_IF24</f>
        <v>258222531</v>
      </c>
      <c r="E216" s="448">
        <f>D216-C216</f>
        <v>24600635</v>
      </c>
      <c r="F216" s="449">
        <f>IF(C216=0,0,E216/C216)</f>
        <v>0.10530106732803847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705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706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638</v>
      </c>
      <c r="C221" s="448">
        <v>722165</v>
      </c>
      <c r="D221" s="448">
        <v>705107</v>
      </c>
      <c r="E221" s="448">
        <f t="shared" ref="E221:E230" si="24">D221-C221</f>
        <v>-17058</v>
      </c>
      <c r="F221" s="449">
        <f t="shared" ref="F221:F230" si="25">IF(C221=0,0,E221/C221)</f>
        <v>-2.362064071230259E-2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639</v>
      </c>
      <c r="C222" s="448">
        <v>229860</v>
      </c>
      <c r="D222" s="448">
        <v>135237</v>
      </c>
      <c r="E222" s="448">
        <f t="shared" si="24"/>
        <v>-94623</v>
      </c>
      <c r="F222" s="449">
        <f t="shared" si="25"/>
        <v>-0.41165492038632212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640</v>
      </c>
      <c r="C223" s="453">
        <f>IF(C221=0,0,C222/C221)</f>
        <v>0.31829291089986361</v>
      </c>
      <c r="D223" s="453">
        <f>IF(LN_IG1=0,0,LN_IG2/LN_IG1)</f>
        <v>0.19179642238695688</v>
      </c>
      <c r="E223" s="454">
        <f t="shared" si="24"/>
        <v>-0.12649648851290674</v>
      </c>
      <c r="F223" s="449">
        <f t="shared" si="25"/>
        <v>-0.3974216332851444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15</v>
      </c>
      <c r="D224" s="456">
        <v>19</v>
      </c>
      <c r="E224" s="456">
        <f t="shared" si="24"/>
        <v>4</v>
      </c>
      <c r="F224" s="449">
        <f t="shared" si="25"/>
        <v>0.26666666666666666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641</v>
      </c>
      <c r="C225" s="459">
        <v>2.1720700000000002</v>
      </c>
      <c r="D225" s="459">
        <v>1.0184200000000001</v>
      </c>
      <c r="E225" s="460">
        <f t="shared" si="24"/>
        <v>-1.1536500000000001</v>
      </c>
      <c r="F225" s="449">
        <f t="shared" si="25"/>
        <v>-0.53112929141326015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642</v>
      </c>
      <c r="C226" s="463">
        <f>C224*C225</f>
        <v>32.581050000000005</v>
      </c>
      <c r="D226" s="463">
        <f>LN_IG3*LN_IG4</f>
        <v>19.349980000000002</v>
      </c>
      <c r="E226" s="463">
        <f t="shared" si="24"/>
        <v>-13.231070000000003</v>
      </c>
      <c r="F226" s="449">
        <f t="shared" si="25"/>
        <v>-0.4060971024567962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643</v>
      </c>
      <c r="C227" s="465">
        <f>IF(C226=0,0,C222/C226)</f>
        <v>7055.0212470132165</v>
      </c>
      <c r="D227" s="465">
        <f>IF(LN_IG5=0,0,LN_IG2/LN_IG5)</f>
        <v>6988.9994718340786</v>
      </c>
      <c r="E227" s="465">
        <f t="shared" si="24"/>
        <v>-66.021775179137876</v>
      </c>
      <c r="F227" s="449">
        <f t="shared" si="25"/>
        <v>-9.358125633865181E-3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65</v>
      </c>
      <c r="D228" s="456">
        <v>104</v>
      </c>
      <c r="E228" s="456">
        <f t="shared" si="24"/>
        <v>39</v>
      </c>
      <c r="F228" s="449">
        <f t="shared" si="25"/>
        <v>0.6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644</v>
      </c>
      <c r="C229" s="465">
        <f>IF(C228=0,0,C222/C228)</f>
        <v>3536.3076923076924</v>
      </c>
      <c r="D229" s="465">
        <f>IF(LN_IG6=0,0,LN_IG2/LN_IG6)</f>
        <v>1300.3557692307693</v>
      </c>
      <c r="E229" s="465">
        <f t="shared" si="24"/>
        <v>-2235.9519230769229</v>
      </c>
      <c r="F229" s="449">
        <f t="shared" si="25"/>
        <v>-0.63228432524145128</v>
      </c>
      <c r="Q229" s="421"/>
      <c r="U229" s="462"/>
    </row>
    <row r="230" spans="1:21" ht="15.75" customHeight="1" x14ac:dyDescent="0.2">
      <c r="A230" s="451">
        <v>10</v>
      </c>
      <c r="B230" s="447" t="s">
        <v>645</v>
      </c>
      <c r="C230" s="466">
        <f>IF(C224=0,0,C228/C224)</f>
        <v>4.333333333333333</v>
      </c>
      <c r="D230" s="466">
        <f>IF(LN_IG3=0,0,LN_IG6/LN_IG3)</f>
        <v>5.4736842105263159</v>
      </c>
      <c r="E230" s="466">
        <f t="shared" si="24"/>
        <v>1.1403508771929829</v>
      </c>
      <c r="F230" s="449">
        <f t="shared" si="25"/>
        <v>0.2631578947368422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707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647</v>
      </c>
      <c r="C233" s="448">
        <v>1024174</v>
      </c>
      <c r="D233" s="448">
        <v>912055</v>
      </c>
      <c r="E233" s="448">
        <f>D233-C233</f>
        <v>-112119</v>
      </c>
      <c r="F233" s="449">
        <f>IF(C233=0,0,E233/C233)</f>
        <v>-0.10947260914649269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648</v>
      </c>
      <c r="C234" s="448">
        <v>189569</v>
      </c>
      <c r="D234" s="448">
        <v>44469</v>
      </c>
      <c r="E234" s="448">
        <f>D234-C234</f>
        <v>-145100</v>
      </c>
      <c r="F234" s="449">
        <f>IF(C234=0,0,E234/C234)</f>
        <v>-0.76542050651741578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708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654</v>
      </c>
      <c r="C237" s="448">
        <f>C221+C233</f>
        <v>1746339</v>
      </c>
      <c r="D237" s="448">
        <f>LN_IG1+LN_IG9</f>
        <v>1617162</v>
      </c>
      <c r="E237" s="448">
        <f>D237-C237</f>
        <v>-129177</v>
      </c>
      <c r="F237" s="449">
        <f>IF(C237=0,0,E237/C237)</f>
        <v>-7.3970174175804357E-2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655</v>
      </c>
      <c r="C238" s="448">
        <f>C222+C234</f>
        <v>419429</v>
      </c>
      <c r="D238" s="448">
        <f>LN_IG2+LN_IG10</f>
        <v>179706</v>
      </c>
      <c r="E238" s="448">
        <f>D238-C238</f>
        <v>-239723</v>
      </c>
      <c r="F238" s="449">
        <f>IF(C238=0,0,E238/C238)</f>
        <v>-0.57154607812049241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656</v>
      </c>
      <c r="C239" s="448">
        <f>C237-C238</f>
        <v>1326910</v>
      </c>
      <c r="D239" s="448">
        <f>LN_IG13-LN_IG14</f>
        <v>1437456</v>
      </c>
      <c r="E239" s="448">
        <f>D239-C239</f>
        <v>110546</v>
      </c>
      <c r="F239" s="449">
        <f>IF(C239=0,0,E239/C239)</f>
        <v>8.3310850019971211E-2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709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710</v>
      </c>
      <c r="C243" s="448">
        <v>21118033</v>
      </c>
      <c r="D243" s="448">
        <v>15601812</v>
      </c>
      <c r="E243" s="441">
        <f>D243-C243</f>
        <v>-5516221</v>
      </c>
      <c r="F243" s="503">
        <f>IF(C243=0,0,E243/C243)</f>
        <v>-0.26120903400425599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711</v>
      </c>
      <c r="C244" s="448">
        <v>443491017</v>
      </c>
      <c r="D244" s="448">
        <v>447673528</v>
      </c>
      <c r="E244" s="441">
        <f>D244-C244</f>
        <v>4182511</v>
      </c>
      <c r="F244" s="503">
        <f>IF(C244=0,0,E244/C244)</f>
        <v>9.4308809867055324E-3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712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713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714</v>
      </c>
      <c r="C248" s="441">
        <v>30293193</v>
      </c>
      <c r="D248" s="441">
        <v>32247209</v>
      </c>
      <c r="E248" s="441">
        <f>D248-C248</f>
        <v>1954016</v>
      </c>
      <c r="F248" s="449">
        <f>IF(C248=0,0,E248/C248)</f>
        <v>6.4503467825263588E-2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715</v>
      </c>
      <c r="C249" s="441">
        <v>40649514</v>
      </c>
      <c r="D249" s="441">
        <v>27957652</v>
      </c>
      <c r="E249" s="441">
        <f>D249-C249</f>
        <v>-12691862</v>
      </c>
      <c r="F249" s="449">
        <f>IF(C249=0,0,E249/C249)</f>
        <v>-0.31222666032366342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716</v>
      </c>
      <c r="C250" s="441">
        <f>C248+C249</f>
        <v>70942707</v>
      </c>
      <c r="D250" s="441">
        <f>LN_IH4+LN_IH5</f>
        <v>60204861</v>
      </c>
      <c r="E250" s="441">
        <f>D250-C250</f>
        <v>-10737846</v>
      </c>
      <c r="F250" s="449">
        <f>IF(C250=0,0,E250/C250)</f>
        <v>-0.15135940611908141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717</v>
      </c>
      <c r="C251" s="441">
        <f>C250*C313</f>
        <v>18921871.784206718</v>
      </c>
      <c r="D251" s="441">
        <f>LN_IH6*LN_III10</f>
        <v>16060145.365237856</v>
      </c>
      <c r="E251" s="441">
        <f>D251-C251</f>
        <v>-2861726.4189688619</v>
      </c>
      <c r="F251" s="449">
        <f>IF(C251=0,0,E251/C251)</f>
        <v>-0.15123907674701734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718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654</v>
      </c>
      <c r="C254" s="441">
        <f>C188+C203</f>
        <v>274729691</v>
      </c>
      <c r="D254" s="441">
        <f>LN_IF23</f>
        <v>297585668</v>
      </c>
      <c r="E254" s="441">
        <f>D254-C254</f>
        <v>22855977</v>
      </c>
      <c r="F254" s="449">
        <f>IF(C254=0,0,E254/C254)</f>
        <v>8.3194418909749365E-2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655</v>
      </c>
      <c r="C255" s="441">
        <f>C189+C204</f>
        <v>41107795</v>
      </c>
      <c r="D255" s="441">
        <f>LN_IF24</f>
        <v>39363137</v>
      </c>
      <c r="E255" s="441">
        <f>D255-C255</f>
        <v>-1744658</v>
      </c>
      <c r="F255" s="449">
        <f>IF(C255=0,0,E255/C255)</f>
        <v>-4.2441050413917845E-2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719</v>
      </c>
      <c r="C256" s="441">
        <f>C254*C313</f>
        <v>73276030.873994291</v>
      </c>
      <c r="D256" s="441">
        <f>LN_IH8*LN_III10</f>
        <v>79383441.923259512</v>
      </c>
      <c r="E256" s="441">
        <f>D256-C256</f>
        <v>6107411.0492652208</v>
      </c>
      <c r="F256" s="449">
        <f>IF(C256=0,0,E256/C256)</f>
        <v>8.3348005840648567E-2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720</v>
      </c>
      <c r="C257" s="441">
        <f>C256-C255</f>
        <v>32168235.873994291</v>
      </c>
      <c r="D257" s="441">
        <f>LN_IH10-LN_IH9</f>
        <v>40020304.923259512</v>
      </c>
      <c r="E257" s="441">
        <f>D257-C257</f>
        <v>7852069.0492652208</v>
      </c>
      <c r="F257" s="449">
        <f>IF(C257=0,0,E257/C257)</f>
        <v>0.24409386576318456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721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722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628346314</v>
      </c>
      <c r="D261" s="448">
        <f>LN_IA1+LN_IB1+LN_IF1+LN_IG1</f>
        <v>656432125</v>
      </c>
      <c r="E261" s="448">
        <f t="shared" ref="E261:E274" si="26">D261-C261</f>
        <v>28085811</v>
      </c>
      <c r="F261" s="503">
        <f t="shared" ref="F261:F274" si="27">IF(C261=0,0,E261/C261)</f>
        <v>4.4697980037804438E-2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164191749</v>
      </c>
      <c r="D262" s="448">
        <f>+LN_IA2+LN_IB2+LN_IF2+LN_IG2</f>
        <v>176355402</v>
      </c>
      <c r="E262" s="448">
        <f t="shared" si="26"/>
        <v>12163653</v>
      </c>
      <c r="F262" s="503">
        <f t="shared" si="27"/>
        <v>7.4081999089978631E-2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723</v>
      </c>
      <c r="C263" s="453">
        <f>IF(C261=0,0,C262/C261)</f>
        <v>0.261307730055372</v>
      </c>
      <c r="D263" s="453">
        <f>IF(LN_IIA1=0,0,LN_IIA2/LN_IIA1)</f>
        <v>0.2686574822949136</v>
      </c>
      <c r="E263" s="454">
        <f t="shared" si="26"/>
        <v>7.349752239541596E-3</v>
      </c>
      <c r="F263" s="458">
        <f t="shared" si="27"/>
        <v>2.8126807568930923E-2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14848</v>
      </c>
      <c r="D264" s="456">
        <f>LN_IA4+LN_IB4+LN_IF4+LN_IG3</f>
        <v>14847</v>
      </c>
      <c r="E264" s="456">
        <f t="shared" si="26"/>
        <v>-1</v>
      </c>
      <c r="F264" s="503">
        <f t="shared" si="27"/>
        <v>-6.7349137931034482E-5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724</v>
      </c>
      <c r="C265" s="525">
        <f>IF(C264=0,0,C266/C264)</f>
        <v>1.2474442739762934</v>
      </c>
      <c r="D265" s="525">
        <f>IF(LN_IIA4=0,0,LN_IIA6/LN_IIA4)</f>
        <v>1.2763182717047215</v>
      </c>
      <c r="E265" s="525">
        <f t="shared" si="26"/>
        <v>2.8873997728428025E-2</v>
      </c>
      <c r="F265" s="503">
        <f t="shared" si="27"/>
        <v>2.3146523119939182E-2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725</v>
      </c>
      <c r="C266" s="463">
        <f>C20+C47+C193+C226</f>
        <v>18522.052580000003</v>
      </c>
      <c r="D266" s="463">
        <f>LN_IA6+LN_IB6+LN_IF6+LN_IG5</f>
        <v>18949.497380000001</v>
      </c>
      <c r="E266" s="463">
        <f t="shared" si="26"/>
        <v>427.44479999999749</v>
      </c>
      <c r="F266" s="503">
        <f t="shared" si="27"/>
        <v>2.3077615083630078E-2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1150686140</v>
      </c>
      <c r="D267" s="448">
        <f>LN_IA11+LN_IB13+LN_IF14+LN_IG9</f>
        <v>1216016561</v>
      </c>
      <c r="E267" s="448">
        <f t="shared" si="26"/>
        <v>65330421</v>
      </c>
      <c r="F267" s="503">
        <f t="shared" si="27"/>
        <v>5.6775187193964113E-2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650</v>
      </c>
      <c r="C268" s="453">
        <f>IF(C261=0,0,C267/C261)</f>
        <v>1.8312928943194215</v>
      </c>
      <c r="D268" s="453">
        <f>IF(LN_IIA1=0,0,LN_IIA7/LN_IIA1)</f>
        <v>1.8524635140304873</v>
      </c>
      <c r="E268" s="454">
        <f t="shared" si="26"/>
        <v>2.1170619711065708E-2</v>
      </c>
      <c r="F268" s="458">
        <f t="shared" si="27"/>
        <v>1.1560477178028652E-2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313127317</v>
      </c>
      <c r="D269" s="448">
        <f>LN_IA12+LN_IB14+LN_IF15+LN_IG10</f>
        <v>326621782</v>
      </c>
      <c r="E269" s="448">
        <f t="shared" si="26"/>
        <v>13494465</v>
      </c>
      <c r="F269" s="503">
        <f t="shared" si="27"/>
        <v>4.3095776916837955E-2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649</v>
      </c>
      <c r="C270" s="453">
        <f>IF(C267=0,0,C269/C267)</f>
        <v>0.27212226350445134</v>
      </c>
      <c r="D270" s="453">
        <f>IF(LN_IIA7=0,0,LN_IIA9/LN_IIA7)</f>
        <v>0.26859978101893628</v>
      </c>
      <c r="E270" s="454">
        <f t="shared" si="26"/>
        <v>-3.522482485515066E-3</v>
      </c>
      <c r="F270" s="458">
        <f t="shared" si="27"/>
        <v>-1.2944484733265663E-2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726</v>
      </c>
      <c r="C271" s="441">
        <f>C261+C267</f>
        <v>1779032454</v>
      </c>
      <c r="D271" s="441">
        <f>LN_IIA1+LN_IIA7</f>
        <v>1872448686</v>
      </c>
      <c r="E271" s="441">
        <f t="shared" si="26"/>
        <v>93416232</v>
      </c>
      <c r="F271" s="503">
        <f t="shared" si="27"/>
        <v>5.2509571587613095E-2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727</v>
      </c>
      <c r="C272" s="441">
        <f>C262+C269</f>
        <v>477319066</v>
      </c>
      <c r="D272" s="441">
        <f>LN_IIA2+LN_IIA9</f>
        <v>502977184</v>
      </c>
      <c r="E272" s="441">
        <f t="shared" si="26"/>
        <v>25658118</v>
      </c>
      <c r="F272" s="503">
        <f t="shared" si="27"/>
        <v>5.3754647211180118E-2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728</v>
      </c>
      <c r="C273" s="453">
        <f>IF(C271=0,0,C272/C271)</f>
        <v>0.26830261860978954</v>
      </c>
      <c r="D273" s="453">
        <f>IF(LN_IIA11=0,0,LN_IIA12/LN_IIA11)</f>
        <v>0.26862000959528565</v>
      </c>
      <c r="E273" s="454">
        <f t="shared" si="26"/>
        <v>3.1739098549610212E-4</v>
      </c>
      <c r="F273" s="458">
        <f t="shared" si="27"/>
        <v>1.1829589556026849E-3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71084</v>
      </c>
      <c r="D274" s="508">
        <f>LN_IA8+LN_IB10+LN_IF11+LN_IG6</f>
        <v>73202</v>
      </c>
      <c r="E274" s="528">
        <f t="shared" si="26"/>
        <v>2118</v>
      </c>
      <c r="F274" s="458">
        <f t="shared" si="27"/>
        <v>2.9795734623825332E-2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729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730</v>
      </c>
      <c r="C277" s="448">
        <f>C15+C188+C221</f>
        <v>412451439</v>
      </c>
      <c r="D277" s="448">
        <f>LN_IA1+LN_IF1+LN_IG1</f>
        <v>440816101</v>
      </c>
      <c r="E277" s="448">
        <f t="shared" ref="E277:E291" si="28">D277-C277</f>
        <v>28364662</v>
      </c>
      <c r="F277" s="503">
        <f t="shared" ref="F277:F291" si="29">IF(C277=0,0,E277/C277)</f>
        <v>6.8770912931643335E-2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731</v>
      </c>
      <c r="C278" s="448">
        <f>C16+C189+C222</f>
        <v>85087993</v>
      </c>
      <c r="D278" s="448">
        <f>LN_IA2+LN_IF2+LN_IG2</f>
        <v>93468081</v>
      </c>
      <c r="E278" s="448">
        <f t="shared" si="28"/>
        <v>8380088</v>
      </c>
      <c r="F278" s="503">
        <f t="shared" si="29"/>
        <v>9.8487315360699601E-2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732</v>
      </c>
      <c r="C279" s="453">
        <f>IF(C277=0,0,C278/C277)</f>
        <v>0.20629820859953407</v>
      </c>
      <c r="D279" s="453">
        <f>IF(D277=0,0,LN_IIB2/D277)</f>
        <v>0.21203418111989517</v>
      </c>
      <c r="E279" s="454">
        <f t="shared" si="28"/>
        <v>5.7359725203610934E-3</v>
      </c>
      <c r="F279" s="458">
        <f t="shared" si="29"/>
        <v>2.7804276921743701E-2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733</v>
      </c>
      <c r="C280" s="456">
        <f>C18+C191+C224</f>
        <v>8808</v>
      </c>
      <c r="D280" s="456">
        <f>LN_IA4+LN_IF4+LN_IG3</f>
        <v>8985</v>
      </c>
      <c r="E280" s="456">
        <f t="shared" si="28"/>
        <v>177</v>
      </c>
      <c r="F280" s="503">
        <f t="shared" si="29"/>
        <v>2.0095367847411442E-2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734</v>
      </c>
      <c r="C281" s="525">
        <f>IF(C280=0,0,C282/C280)</f>
        <v>1.3541072411444144</v>
      </c>
      <c r="D281" s="525">
        <f>IF(LN_IIB4=0,0,LN_IIB6/LN_IIB4)</f>
        <v>1.3853757885364497</v>
      </c>
      <c r="E281" s="525">
        <f t="shared" si="28"/>
        <v>3.1268547392035329E-2</v>
      </c>
      <c r="F281" s="503">
        <f t="shared" si="29"/>
        <v>2.3091632953390701E-2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735</v>
      </c>
      <c r="C282" s="463">
        <f>C20+C193+C226</f>
        <v>11926.976580000002</v>
      </c>
      <c r="D282" s="463">
        <f>LN_IA6+LN_IF6+LN_IG5</f>
        <v>12447.601460000002</v>
      </c>
      <c r="E282" s="463">
        <f t="shared" si="28"/>
        <v>520.62487999999939</v>
      </c>
      <c r="F282" s="503">
        <f t="shared" si="29"/>
        <v>4.3651035659197993E-2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736</v>
      </c>
      <c r="C283" s="448">
        <f>C27+C203+C233</f>
        <v>528667277</v>
      </c>
      <c r="D283" s="448">
        <f>LN_IA11+LN_IF14+LN_IG9</f>
        <v>578051430</v>
      </c>
      <c r="E283" s="448">
        <f t="shared" si="28"/>
        <v>49384153</v>
      </c>
      <c r="F283" s="503">
        <f t="shared" si="29"/>
        <v>9.3412539698385755E-2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737</v>
      </c>
      <c r="C284" s="453">
        <f>IF(C277=0,0,C283/C277)</f>
        <v>1.2817685356651163</v>
      </c>
      <c r="D284" s="453">
        <f>IF(D277=0,0,LN_IIB7/D277)</f>
        <v>1.3113210445096697</v>
      </c>
      <c r="E284" s="454">
        <f t="shared" si="28"/>
        <v>2.9552508844553405E-2</v>
      </c>
      <c r="F284" s="458">
        <f t="shared" si="29"/>
        <v>2.3056041728484508E-2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738</v>
      </c>
      <c r="C285" s="448">
        <f>C28+C204+C234</f>
        <v>75327926</v>
      </c>
      <c r="D285" s="448">
        <f>LN_IA12+LN_IF15+LN_IG10</f>
        <v>78185405</v>
      </c>
      <c r="E285" s="448">
        <f t="shared" si="28"/>
        <v>2857479</v>
      </c>
      <c r="F285" s="503">
        <f t="shared" si="29"/>
        <v>3.7933860013615671E-2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739</v>
      </c>
      <c r="C286" s="453">
        <f>IF(C283=0,0,C285/C283)</f>
        <v>0.1424864546704297</v>
      </c>
      <c r="D286" s="453">
        <f>IF(LN_IIB7=0,0,LN_IIB9/LN_IIB7)</f>
        <v>0.13525683173208308</v>
      </c>
      <c r="E286" s="454">
        <f t="shared" si="28"/>
        <v>-7.2296229383466137E-3</v>
      </c>
      <c r="F286" s="458">
        <f t="shared" si="29"/>
        <v>-5.073901905320536E-2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740</v>
      </c>
      <c r="C287" s="441">
        <f>C277+C283</f>
        <v>941118716</v>
      </c>
      <c r="D287" s="441">
        <f>D277+LN_IIB7</f>
        <v>1018867531</v>
      </c>
      <c r="E287" s="441">
        <f t="shared" si="28"/>
        <v>77748815</v>
      </c>
      <c r="F287" s="503">
        <f t="shared" si="29"/>
        <v>8.2613185433664249E-2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741</v>
      </c>
      <c r="C288" s="441">
        <f>C278+C285</f>
        <v>160415919</v>
      </c>
      <c r="D288" s="441">
        <f>LN_IIB2+LN_IIB9</f>
        <v>171653486</v>
      </c>
      <c r="E288" s="441">
        <f t="shared" si="28"/>
        <v>11237567</v>
      </c>
      <c r="F288" s="503">
        <f t="shared" si="29"/>
        <v>7.0052692214417941E-2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742</v>
      </c>
      <c r="C289" s="453">
        <f>IF(C287=0,0,C288/C287)</f>
        <v>0.17045237361956789</v>
      </c>
      <c r="D289" s="453">
        <f>IF(LN_IIB11=0,0,LN_IIB12/LN_IIB11)</f>
        <v>0.16847478281256564</v>
      </c>
      <c r="E289" s="454">
        <f t="shared" si="28"/>
        <v>-1.9775908070022441E-3</v>
      </c>
      <c r="F289" s="458">
        <f t="shared" si="29"/>
        <v>-1.1602013894016066E-2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48106</v>
      </c>
      <c r="D290" s="508">
        <f>LN_IA8+LN_IF11+LN_IG6</f>
        <v>49620</v>
      </c>
      <c r="E290" s="528">
        <f t="shared" si="28"/>
        <v>1514</v>
      </c>
      <c r="F290" s="458">
        <f t="shared" si="29"/>
        <v>3.1472165634224419E-2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743</v>
      </c>
      <c r="C291" s="448">
        <f>C287-C288</f>
        <v>780702797</v>
      </c>
      <c r="D291" s="516">
        <f>LN_IIB11-LN_IIB12</f>
        <v>847214045</v>
      </c>
      <c r="E291" s="441">
        <f t="shared" si="28"/>
        <v>66511248</v>
      </c>
      <c r="F291" s="503">
        <f t="shared" si="29"/>
        <v>8.5194069056217306E-2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645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636</v>
      </c>
      <c r="C294" s="466">
        <f>IF(C18=0,0,C22/C18)</f>
        <v>6.1624812593703151</v>
      </c>
      <c r="D294" s="466">
        <f>IF(LN_IA4=0,0,LN_IA8/LN_IA4)</f>
        <v>6.2396212672978875</v>
      </c>
      <c r="E294" s="466">
        <f t="shared" ref="E294:E300" si="30">D294-C294</f>
        <v>7.7140007927572363E-2</v>
      </c>
      <c r="F294" s="503">
        <f t="shared" ref="F294:F300" si="31">IF(C294=0,0,E294/C294)</f>
        <v>1.2517686412478366E-2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657</v>
      </c>
      <c r="C295" s="466">
        <f>IF(C45=0,0,C51/C45)</f>
        <v>3.8043046357615893</v>
      </c>
      <c r="D295" s="466">
        <f>IF(LN_IB4=0,0,(LN_IB10)/(LN_IB4))</f>
        <v>4.0228590924599112</v>
      </c>
      <c r="E295" s="466">
        <f t="shared" si="30"/>
        <v>0.21855445669832196</v>
      </c>
      <c r="F295" s="503">
        <f t="shared" si="31"/>
        <v>5.7449252261200484E-2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672</v>
      </c>
      <c r="C296" s="466">
        <f>IF(C86=0,0,C93/C86)</f>
        <v>3.942622950819672</v>
      </c>
      <c r="D296" s="466">
        <f>IF(LN_IC4=0,0,LN_IC11/LN_IC4)</f>
        <v>3.7098445595854921</v>
      </c>
      <c r="E296" s="466">
        <f t="shared" si="30"/>
        <v>-0.23277839123417987</v>
      </c>
      <c r="F296" s="503">
        <f t="shared" si="31"/>
        <v>-5.9041504637359556E-2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4.3107227488151656</v>
      </c>
      <c r="D297" s="466">
        <f>IF(LN_ID4=0,0,LN_ID11/LN_ID4)</f>
        <v>4.3665291691219803</v>
      </c>
      <c r="E297" s="466">
        <f t="shared" si="30"/>
        <v>5.5806420306814708E-2</v>
      </c>
      <c r="F297" s="503">
        <f t="shared" si="31"/>
        <v>1.2945954439346284E-2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744</v>
      </c>
      <c r="C298" s="466">
        <f>IF(C156=0,0,C163/C156)</f>
        <v>7.4691358024691361</v>
      </c>
      <c r="D298" s="466">
        <f>IF(LN_IE4=0,0,LN_IE11/LN_IE4)</f>
        <v>5.35</v>
      </c>
      <c r="E298" s="466">
        <f t="shared" si="30"/>
        <v>-2.1191358024691365</v>
      </c>
      <c r="F298" s="503">
        <f t="shared" si="31"/>
        <v>-0.28371900826446289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4.333333333333333</v>
      </c>
      <c r="D299" s="466">
        <f>IF(LN_IG3=0,0,LN_IG6/LN_IG3)</f>
        <v>5.4736842105263159</v>
      </c>
      <c r="E299" s="466">
        <f t="shared" si="30"/>
        <v>1.1403508771929829</v>
      </c>
      <c r="F299" s="503">
        <f t="shared" si="31"/>
        <v>0.2631578947368422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745</v>
      </c>
      <c r="C300" s="466">
        <f>IF(C264=0,0,C274/C264)</f>
        <v>4.7874461206896548</v>
      </c>
      <c r="D300" s="466">
        <f>IF(LN_IIA4=0,0,LN_IIA14/LN_IIA4)</f>
        <v>4.930423654610359</v>
      </c>
      <c r="E300" s="466">
        <f t="shared" si="30"/>
        <v>0.14297753392070423</v>
      </c>
      <c r="F300" s="503">
        <f t="shared" si="31"/>
        <v>2.9865095150169045E-2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746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740</v>
      </c>
      <c r="C304" s="441">
        <f>C35+C66+C214+C221+C233</f>
        <v>1779032454</v>
      </c>
      <c r="D304" s="441">
        <f>LN_IIA11</f>
        <v>1872448686</v>
      </c>
      <c r="E304" s="441">
        <f t="shared" ref="E304:E316" si="32">D304-C304</f>
        <v>93416232</v>
      </c>
      <c r="F304" s="449">
        <f>IF(C304=0,0,E304/C304)</f>
        <v>5.2509571587613095E-2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743</v>
      </c>
      <c r="C305" s="441">
        <f>C291</f>
        <v>780702797</v>
      </c>
      <c r="D305" s="441">
        <f>LN_IIB14</f>
        <v>847214045</v>
      </c>
      <c r="E305" s="441">
        <f t="shared" si="32"/>
        <v>66511248</v>
      </c>
      <c r="F305" s="449">
        <f>IF(C305=0,0,E305/C305)</f>
        <v>8.5194069056217306E-2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747</v>
      </c>
      <c r="C306" s="441">
        <f>C250</f>
        <v>70942707</v>
      </c>
      <c r="D306" s="441">
        <f>LN_IH6</f>
        <v>60204861</v>
      </c>
      <c r="E306" s="441">
        <f t="shared" si="32"/>
        <v>-10737846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748</v>
      </c>
      <c r="C307" s="441">
        <f>C73-C74</f>
        <v>427897093</v>
      </c>
      <c r="D307" s="441">
        <f>LN_IB32-LN_IB33</f>
        <v>440169266</v>
      </c>
      <c r="E307" s="441">
        <f t="shared" si="32"/>
        <v>12272173</v>
      </c>
      <c r="F307" s="449">
        <f t="shared" ref="F307:F316" si="33">IF(C307=0,0,E307/C307)</f>
        <v>2.8680197180026179E-2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749</v>
      </c>
      <c r="C308" s="441">
        <v>24985494</v>
      </c>
      <c r="D308" s="441">
        <v>25369317</v>
      </c>
      <c r="E308" s="441">
        <f t="shared" si="32"/>
        <v>383823</v>
      </c>
      <c r="F308" s="449">
        <f t="shared" si="33"/>
        <v>1.5361833550299226E-2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750</v>
      </c>
      <c r="C309" s="441">
        <f>C305+C307+C308+C306</f>
        <v>1304528091</v>
      </c>
      <c r="D309" s="441">
        <f>LN_III2+LN_III3+LN_III4+LN_III5</f>
        <v>1372957489</v>
      </c>
      <c r="E309" s="441">
        <f t="shared" si="32"/>
        <v>68429398</v>
      </c>
      <c r="F309" s="449">
        <f t="shared" si="33"/>
        <v>5.2455288983117805E-2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751</v>
      </c>
      <c r="C310" s="441">
        <f>C304-C309</f>
        <v>474504363</v>
      </c>
      <c r="D310" s="441">
        <f>LN_III1-LN_III6</f>
        <v>499491197</v>
      </c>
      <c r="E310" s="441">
        <f t="shared" si="32"/>
        <v>24986834</v>
      </c>
      <c r="F310" s="449">
        <f t="shared" si="33"/>
        <v>5.2658807691511156E-2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752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753</v>
      </c>
      <c r="C312" s="441">
        <f>C310+C311</f>
        <v>474504363</v>
      </c>
      <c r="D312" s="441">
        <f>LN_III7+LN_III8</f>
        <v>499491197</v>
      </c>
      <c r="E312" s="441">
        <f t="shared" si="32"/>
        <v>24986834</v>
      </c>
      <c r="F312" s="449">
        <f t="shared" si="33"/>
        <v>5.2658807691511156E-2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754</v>
      </c>
      <c r="C313" s="532">
        <f>IF(C304=0,0,C312/C304)</f>
        <v>0.26672046478585487</v>
      </c>
      <c r="D313" s="532">
        <f>IF(LN_III1=0,0,LN_III9/LN_III1)</f>
        <v>0.26675828327612711</v>
      </c>
      <c r="E313" s="532">
        <f t="shared" si="32"/>
        <v>3.7818490272234495E-5</v>
      </c>
      <c r="F313" s="449">
        <f t="shared" si="33"/>
        <v>1.417907332405044E-4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717</v>
      </c>
      <c r="C314" s="441">
        <f>C306*C313</f>
        <v>18921871.784206718</v>
      </c>
      <c r="D314" s="441">
        <f>D313*LN_III5</f>
        <v>16060145.365237856</v>
      </c>
      <c r="E314" s="441">
        <f t="shared" si="32"/>
        <v>-2861726.4189688619</v>
      </c>
      <c r="F314" s="449">
        <f t="shared" si="33"/>
        <v>-0.15123907674701734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720</v>
      </c>
      <c r="C315" s="441">
        <f>(C214*C313)-C215</f>
        <v>32168235.873994291</v>
      </c>
      <c r="D315" s="441">
        <f>D313*LN_IH8-LN_IH9</f>
        <v>40020304.923259512</v>
      </c>
      <c r="E315" s="441">
        <f t="shared" si="32"/>
        <v>7852069.0492652208</v>
      </c>
      <c r="F315" s="449">
        <f t="shared" si="33"/>
        <v>0.24409386576318456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755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756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757</v>
      </c>
      <c r="C318" s="441">
        <f>C314+C315+C316</f>
        <v>51090107.658201009</v>
      </c>
      <c r="D318" s="441">
        <f>D314+D315+D316</f>
        <v>56080450.288497366</v>
      </c>
      <c r="E318" s="441">
        <f>D318-C318</f>
        <v>4990342.630296357</v>
      </c>
      <c r="F318" s="449">
        <f>IF(C318=0,0,E318/C318)</f>
        <v>9.7677277638214266E-2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758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12142574.95322519</v>
      </c>
      <c r="D322" s="441">
        <f>LN_ID22</f>
        <v>20151728.090191711</v>
      </c>
      <c r="E322" s="441">
        <f>LN_IV2-C322</f>
        <v>8009153.1369665209</v>
      </c>
      <c r="F322" s="449">
        <f>IF(C322=0,0,E322/C322)</f>
        <v>0.65959264553184493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744</v>
      </c>
      <c r="C323" s="441">
        <f>C162+C176</f>
        <v>927808.6620448652</v>
      </c>
      <c r="D323" s="441">
        <f>LN_IE10+LN_IE22</f>
        <v>620573.93828580296</v>
      </c>
      <c r="E323" s="441">
        <f>LN_IV3-C323</f>
        <v>-307234.72375906224</v>
      </c>
      <c r="F323" s="449">
        <f>IF(C323=0,0,E323/C323)</f>
        <v>-0.33114017612416469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759</v>
      </c>
      <c r="C324" s="441">
        <f>C92+C106</f>
        <v>10867774.467978111</v>
      </c>
      <c r="D324" s="441">
        <f>LN_IC10+LN_IC22</f>
        <v>10372131.660666678</v>
      </c>
      <c r="E324" s="441">
        <f>LN_IV1-C324</f>
        <v>-495642.80731143244</v>
      </c>
      <c r="F324" s="449">
        <f>IF(C324=0,0,E324/C324)</f>
        <v>-4.5606651920486907E-2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760</v>
      </c>
      <c r="C325" s="516">
        <f>C324+C322+C323</f>
        <v>23938158.083248165</v>
      </c>
      <c r="D325" s="516">
        <f>LN_IV1+LN_IV2+LN_IV3</f>
        <v>31144433.68914419</v>
      </c>
      <c r="E325" s="441">
        <f>LN_IV4-C325</f>
        <v>7206275.6058960259</v>
      </c>
      <c r="F325" s="449">
        <f>IF(C325=0,0,E325/C325)</f>
        <v>0.30103718008859465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761</v>
      </c>
      <c r="B327" s="530" t="s">
        <v>762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763</v>
      </c>
      <c r="C329" s="518">
        <v>33807354</v>
      </c>
      <c r="D329" s="518">
        <v>33662529</v>
      </c>
      <c r="E329" s="518">
        <f t="shared" ref="E329:E335" si="34">D329-C329</f>
        <v>-144825</v>
      </c>
      <c r="F329" s="542">
        <f t="shared" ref="F329:F335" si="35">IF(C329=0,0,E329/C329)</f>
        <v>-4.2838312634582406E-3</v>
      </c>
    </row>
    <row r="330" spans="1:22" s="420" customFormat="1" ht="15.75" customHeight="1" x14ac:dyDescent="0.2">
      <c r="A330" s="451">
        <v>2</v>
      </c>
      <c r="B330" s="447" t="s">
        <v>764</v>
      </c>
      <c r="C330" s="516">
        <v>-19512086</v>
      </c>
      <c r="D330" s="516">
        <v>-26565184</v>
      </c>
      <c r="E330" s="518">
        <f t="shared" si="34"/>
        <v>-7053098</v>
      </c>
      <c r="F330" s="543">
        <f t="shared" si="35"/>
        <v>0.36147329403939693</v>
      </c>
    </row>
    <row r="331" spans="1:22" s="420" customFormat="1" ht="15.75" customHeight="1" x14ac:dyDescent="0.2">
      <c r="A331" s="427">
        <v>3</v>
      </c>
      <c r="B331" s="447" t="s">
        <v>765</v>
      </c>
      <c r="C331" s="516">
        <v>457807000</v>
      </c>
      <c r="D331" s="516">
        <v>476412000</v>
      </c>
      <c r="E331" s="518">
        <f t="shared" si="34"/>
        <v>18605000</v>
      </c>
      <c r="F331" s="542">
        <f t="shared" si="35"/>
        <v>4.0639396077386321E-2</v>
      </c>
    </row>
    <row r="332" spans="1:22" s="420" customFormat="1" ht="27" customHeight="1" x14ac:dyDescent="0.2">
      <c r="A332" s="451">
        <v>4</v>
      </c>
      <c r="B332" s="447" t="s">
        <v>766</v>
      </c>
      <c r="C332" s="516">
        <v>546</v>
      </c>
      <c r="D332" s="516">
        <v>-686</v>
      </c>
      <c r="E332" s="518">
        <f t="shared" si="34"/>
        <v>-1232</v>
      </c>
      <c r="F332" s="543">
        <f t="shared" si="35"/>
        <v>-2.2564102564102564</v>
      </c>
    </row>
    <row r="333" spans="1:22" s="420" customFormat="1" ht="15.75" customHeight="1" x14ac:dyDescent="0.2">
      <c r="A333" s="451">
        <v>5</v>
      </c>
      <c r="B333" s="447" t="s">
        <v>767</v>
      </c>
      <c r="C333" s="516">
        <v>1779033000</v>
      </c>
      <c r="D333" s="516">
        <v>1872448000</v>
      </c>
      <c r="E333" s="518">
        <f t="shared" si="34"/>
        <v>93415000</v>
      </c>
      <c r="F333" s="542">
        <f t="shared" si="35"/>
        <v>5.2508862960945639E-2</v>
      </c>
    </row>
    <row r="334" spans="1:22" s="420" customFormat="1" ht="15.75" customHeight="1" x14ac:dyDescent="0.2">
      <c r="A334" s="427">
        <v>6</v>
      </c>
      <c r="B334" s="447" t="s">
        <v>768</v>
      </c>
      <c r="C334" s="516">
        <v>0</v>
      </c>
      <c r="D334" s="516">
        <v>139</v>
      </c>
      <c r="E334" s="516">
        <f t="shared" si="34"/>
        <v>139</v>
      </c>
      <c r="F334" s="543">
        <f t="shared" si="35"/>
        <v>0</v>
      </c>
    </row>
    <row r="335" spans="1:22" s="420" customFormat="1" ht="15.75" customHeight="1" x14ac:dyDescent="0.2">
      <c r="A335" s="451">
        <v>7</v>
      </c>
      <c r="B335" s="447" t="s">
        <v>769</v>
      </c>
      <c r="C335" s="516">
        <v>70943000</v>
      </c>
      <c r="D335" s="516">
        <v>60205000</v>
      </c>
      <c r="E335" s="516">
        <f t="shared" si="34"/>
        <v>-10738000</v>
      </c>
      <c r="F335" s="542">
        <f t="shared" si="35"/>
        <v>-0.15136095174999648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paperSize="9" scale="78" fitToHeight="0" orientation="portrait" horizontalDpi="1200" verticalDpi="1200" r:id="rId1"/>
  <headerFooter>
    <oddHeader>&amp;LOFFICE OF HEALTH CARE ACCESS&amp;CTWELVE MONTHS ACTUAL FILING&amp;RSTAMFORD HOSPITAL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0"/>
  <sheetViews>
    <sheetView zoomScale="75" zoomScaleSheetLayoutView="68" workbookViewId="0">
      <selection activeCell="B16" sqref="B16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7" style="660" customWidth="1"/>
    <col min="4" max="4" width="16.140625" style="569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630</v>
      </c>
      <c r="B3" s="820"/>
      <c r="C3" s="820"/>
      <c r="D3" s="820"/>
      <c r="E3" s="820"/>
    </row>
    <row r="4" spans="1:5" s="428" customFormat="1" ht="15.75" customHeight="1" x14ac:dyDescent="0.25">
      <c r="A4" s="820" t="s">
        <v>770</v>
      </c>
      <c r="B4" s="820"/>
      <c r="C4" s="820"/>
      <c r="D4" s="820"/>
      <c r="E4" s="820"/>
    </row>
    <row r="5" spans="1:5" s="428" customFormat="1" ht="15.75" customHeight="1" x14ac:dyDescent="0.25">
      <c r="A5" s="820" t="s">
        <v>771</v>
      </c>
      <c r="B5" s="820"/>
      <c r="C5" s="820"/>
      <c r="D5" s="820"/>
      <c r="E5" s="820"/>
    </row>
    <row r="6" spans="1:5" s="428" customFormat="1" ht="15.75" customHeight="1" x14ac:dyDescent="0.25">
      <c r="A6" s="820" t="s">
        <v>772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773</v>
      </c>
      <c r="D9" s="573" t="s">
        <v>774</v>
      </c>
      <c r="E9" s="573" t="s">
        <v>775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776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777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657</v>
      </c>
      <c r="C14" s="589">
        <v>215894875</v>
      </c>
      <c r="D14" s="589">
        <v>215616024</v>
      </c>
      <c r="E14" s="590">
        <f t="shared" ref="E14:E22" si="0">D14-C14</f>
        <v>-278851</v>
      </c>
    </row>
    <row r="15" spans="1:5" s="421" customFormat="1" x14ac:dyDescent="0.2">
      <c r="A15" s="588">
        <v>2</v>
      </c>
      <c r="B15" s="587" t="s">
        <v>636</v>
      </c>
      <c r="C15" s="589">
        <v>298425288</v>
      </c>
      <c r="D15" s="591">
        <v>325357024</v>
      </c>
      <c r="E15" s="590">
        <f t="shared" si="0"/>
        <v>26931736</v>
      </c>
    </row>
    <row r="16" spans="1:5" s="421" customFormat="1" x14ac:dyDescent="0.2">
      <c r="A16" s="588">
        <v>3</v>
      </c>
      <c r="B16" s="587" t="s">
        <v>778</v>
      </c>
      <c r="C16" s="589">
        <v>113303986</v>
      </c>
      <c r="D16" s="591">
        <v>114753970</v>
      </c>
      <c r="E16" s="590">
        <f t="shared" si="0"/>
        <v>1449984</v>
      </c>
    </row>
    <row r="17" spans="1:5" s="421" customFormat="1" x14ac:dyDescent="0.2">
      <c r="A17" s="588">
        <v>4</v>
      </c>
      <c r="B17" s="587" t="s">
        <v>115</v>
      </c>
      <c r="C17" s="589">
        <v>110053227</v>
      </c>
      <c r="D17" s="591">
        <v>111346725</v>
      </c>
      <c r="E17" s="590">
        <f t="shared" si="0"/>
        <v>1293498</v>
      </c>
    </row>
    <row r="18" spans="1:5" s="421" customFormat="1" x14ac:dyDescent="0.2">
      <c r="A18" s="588">
        <v>5</v>
      </c>
      <c r="B18" s="587" t="s">
        <v>744</v>
      </c>
      <c r="C18" s="589">
        <v>3250759</v>
      </c>
      <c r="D18" s="591">
        <v>3407245</v>
      </c>
      <c r="E18" s="590">
        <f t="shared" si="0"/>
        <v>156486</v>
      </c>
    </row>
    <row r="19" spans="1:5" s="421" customFormat="1" x14ac:dyDescent="0.2">
      <c r="A19" s="588">
        <v>6</v>
      </c>
      <c r="B19" s="587" t="s">
        <v>424</v>
      </c>
      <c r="C19" s="589">
        <v>722165</v>
      </c>
      <c r="D19" s="591">
        <v>705107</v>
      </c>
      <c r="E19" s="590">
        <f t="shared" si="0"/>
        <v>-17058</v>
      </c>
    </row>
    <row r="20" spans="1:5" s="421" customFormat="1" x14ac:dyDescent="0.2">
      <c r="A20" s="588">
        <v>7</v>
      </c>
      <c r="B20" s="587" t="s">
        <v>759</v>
      </c>
      <c r="C20" s="589">
        <v>15900440</v>
      </c>
      <c r="D20" s="591">
        <v>8218885</v>
      </c>
      <c r="E20" s="590">
        <f t="shared" si="0"/>
        <v>-7681555</v>
      </c>
    </row>
    <row r="21" spans="1:5" s="421" customFormat="1" x14ac:dyDescent="0.2">
      <c r="A21" s="588"/>
      <c r="B21" s="592" t="s">
        <v>779</v>
      </c>
      <c r="C21" s="593">
        <f>SUM(C15+C16+C19)</f>
        <v>412451439</v>
      </c>
      <c r="D21" s="593">
        <f>SUM(D15+D16+D19)</f>
        <v>440816101</v>
      </c>
      <c r="E21" s="593">
        <f t="shared" si="0"/>
        <v>28364662</v>
      </c>
    </row>
    <row r="22" spans="1:5" s="421" customFormat="1" x14ac:dyDescent="0.2">
      <c r="A22" s="588"/>
      <c r="B22" s="592" t="s">
        <v>465</v>
      </c>
      <c r="C22" s="593">
        <f>SUM(C14+C21)</f>
        <v>628346314</v>
      </c>
      <c r="D22" s="593">
        <f>SUM(D14+D21)</f>
        <v>656432125</v>
      </c>
      <c r="E22" s="593">
        <f t="shared" si="0"/>
        <v>28085811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780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657</v>
      </c>
      <c r="C25" s="589">
        <v>622018863</v>
      </c>
      <c r="D25" s="589">
        <v>637965131</v>
      </c>
      <c r="E25" s="590">
        <f t="shared" ref="E25:E33" si="1">D25-C25</f>
        <v>15946268</v>
      </c>
    </row>
    <row r="26" spans="1:5" s="421" customFormat="1" x14ac:dyDescent="0.2">
      <c r="A26" s="588">
        <v>2</v>
      </c>
      <c r="B26" s="587" t="s">
        <v>636</v>
      </c>
      <c r="C26" s="589">
        <v>366217398</v>
      </c>
      <c r="D26" s="591">
        <v>394307677</v>
      </c>
      <c r="E26" s="590">
        <f t="shared" si="1"/>
        <v>28090279</v>
      </c>
    </row>
    <row r="27" spans="1:5" s="421" customFormat="1" x14ac:dyDescent="0.2">
      <c r="A27" s="588">
        <v>3</v>
      </c>
      <c r="B27" s="587" t="s">
        <v>778</v>
      </c>
      <c r="C27" s="589">
        <v>161425705</v>
      </c>
      <c r="D27" s="591">
        <v>182831698</v>
      </c>
      <c r="E27" s="590">
        <f t="shared" si="1"/>
        <v>21405993</v>
      </c>
    </row>
    <row r="28" spans="1:5" s="421" customFormat="1" x14ac:dyDescent="0.2">
      <c r="A28" s="588">
        <v>4</v>
      </c>
      <c r="B28" s="587" t="s">
        <v>115</v>
      </c>
      <c r="C28" s="589">
        <v>158191842</v>
      </c>
      <c r="D28" s="591">
        <v>179795054</v>
      </c>
      <c r="E28" s="590">
        <f t="shared" si="1"/>
        <v>21603212</v>
      </c>
    </row>
    <row r="29" spans="1:5" s="421" customFormat="1" x14ac:dyDescent="0.2">
      <c r="A29" s="588">
        <v>5</v>
      </c>
      <c r="B29" s="587" t="s">
        <v>744</v>
      </c>
      <c r="C29" s="589">
        <v>3233863</v>
      </c>
      <c r="D29" s="591">
        <v>3036644</v>
      </c>
      <c r="E29" s="590">
        <f t="shared" si="1"/>
        <v>-197219</v>
      </c>
    </row>
    <row r="30" spans="1:5" s="421" customFormat="1" x14ac:dyDescent="0.2">
      <c r="A30" s="588">
        <v>6</v>
      </c>
      <c r="B30" s="587" t="s">
        <v>424</v>
      </c>
      <c r="C30" s="589">
        <v>1024174</v>
      </c>
      <c r="D30" s="591">
        <v>912055</v>
      </c>
      <c r="E30" s="590">
        <f t="shared" si="1"/>
        <v>-112119</v>
      </c>
    </row>
    <row r="31" spans="1:5" s="421" customFormat="1" x14ac:dyDescent="0.2">
      <c r="A31" s="588">
        <v>7</v>
      </c>
      <c r="B31" s="587" t="s">
        <v>759</v>
      </c>
      <c r="C31" s="590">
        <v>51321924</v>
      </c>
      <c r="D31" s="594">
        <v>53763116</v>
      </c>
      <c r="E31" s="590">
        <f t="shared" si="1"/>
        <v>2441192</v>
      </c>
    </row>
    <row r="32" spans="1:5" s="421" customFormat="1" x14ac:dyDescent="0.2">
      <c r="A32" s="588"/>
      <c r="B32" s="592" t="s">
        <v>781</v>
      </c>
      <c r="C32" s="593">
        <f>SUM(C26+C27+C30)</f>
        <v>528667277</v>
      </c>
      <c r="D32" s="593">
        <f>SUM(D26+D27+D30)</f>
        <v>578051430</v>
      </c>
      <c r="E32" s="593">
        <f t="shared" si="1"/>
        <v>49384153</v>
      </c>
    </row>
    <row r="33" spans="1:5" s="421" customFormat="1" x14ac:dyDescent="0.2">
      <c r="A33" s="588"/>
      <c r="B33" s="592" t="s">
        <v>467</v>
      </c>
      <c r="C33" s="593">
        <f>SUM(C25+C32)</f>
        <v>1150686140</v>
      </c>
      <c r="D33" s="593">
        <f>SUM(D25+D32)</f>
        <v>1216016561</v>
      </c>
      <c r="E33" s="593">
        <f t="shared" si="1"/>
        <v>65330421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654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782</v>
      </c>
      <c r="C36" s="590">
        <f t="shared" ref="C36:D42" si="2">C14+C25</f>
        <v>837913738</v>
      </c>
      <c r="D36" s="590">
        <f t="shared" si="2"/>
        <v>853581155</v>
      </c>
      <c r="E36" s="590">
        <f t="shared" ref="E36:E44" si="3">D36-C36</f>
        <v>15667417</v>
      </c>
    </row>
    <row r="37" spans="1:5" s="421" customFormat="1" x14ac:dyDescent="0.2">
      <c r="A37" s="588">
        <v>2</v>
      </c>
      <c r="B37" s="587" t="s">
        <v>783</v>
      </c>
      <c r="C37" s="590">
        <f t="shared" si="2"/>
        <v>664642686</v>
      </c>
      <c r="D37" s="590">
        <f t="shared" si="2"/>
        <v>719664701</v>
      </c>
      <c r="E37" s="590">
        <f t="shared" si="3"/>
        <v>55022015</v>
      </c>
    </row>
    <row r="38" spans="1:5" s="421" customFormat="1" x14ac:dyDescent="0.2">
      <c r="A38" s="588">
        <v>3</v>
      </c>
      <c r="B38" s="587" t="s">
        <v>784</v>
      </c>
      <c r="C38" s="590">
        <f t="shared" si="2"/>
        <v>274729691</v>
      </c>
      <c r="D38" s="590">
        <f t="shared" si="2"/>
        <v>297585668</v>
      </c>
      <c r="E38" s="590">
        <f t="shared" si="3"/>
        <v>22855977</v>
      </c>
    </row>
    <row r="39" spans="1:5" s="421" customFormat="1" x14ac:dyDescent="0.2">
      <c r="A39" s="588">
        <v>4</v>
      </c>
      <c r="B39" s="587" t="s">
        <v>785</v>
      </c>
      <c r="C39" s="590">
        <f t="shared" si="2"/>
        <v>268245069</v>
      </c>
      <c r="D39" s="590">
        <f t="shared" si="2"/>
        <v>291141779</v>
      </c>
      <c r="E39" s="590">
        <f t="shared" si="3"/>
        <v>22896710</v>
      </c>
    </row>
    <row r="40" spans="1:5" s="421" customFormat="1" x14ac:dyDescent="0.2">
      <c r="A40" s="588">
        <v>5</v>
      </c>
      <c r="B40" s="587" t="s">
        <v>786</v>
      </c>
      <c r="C40" s="590">
        <f t="shared" si="2"/>
        <v>6484622</v>
      </c>
      <c r="D40" s="590">
        <f t="shared" si="2"/>
        <v>6443889</v>
      </c>
      <c r="E40" s="590">
        <f t="shared" si="3"/>
        <v>-40733</v>
      </c>
    </row>
    <row r="41" spans="1:5" s="421" customFormat="1" x14ac:dyDescent="0.2">
      <c r="A41" s="588">
        <v>6</v>
      </c>
      <c r="B41" s="587" t="s">
        <v>787</v>
      </c>
      <c r="C41" s="590">
        <f t="shared" si="2"/>
        <v>1746339</v>
      </c>
      <c r="D41" s="590">
        <f t="shared" si="2"/>
        <v>1617162</v>
      </c>
      <c r="E41" s="590">
        <f t="shared" si="3"/>
        <v>-129177</v>
      </c>
    </row>
    <row r="42" spans="1:5" s="421" customFormat="1" x14ac:dyDescent="0.2">
      <c r="A42" s="588">
        <v>7</v>
      </c>
      <c r="B42" s="587" t="s">
        <v>788</v>
      </c>
      <c r="C42" s="590">
        <f t="shared" si="2"/>
        <v>67222364</v>
      </c>
      <c r="D42" s="590">
        <f t="shared" si="2"/>
        <v>61982001</v>
      </c>
      <c r="E42" s="590">
        <f t="shared" si="3"/>
        <v>-5240363</v>
      </c>
    </row>
    <row r="43" spans="1:5" s="421" customFormat="1" x14ac:dyDescent="0.2">
      <c r="A43" s="588"/>
      <c r="B43" s="592" t="s">
        <v>789</v>
      </c>
      <c r="C43" s="593">
        <f>SUM(C37+C38+C41)</f>
        <v>941118716</v>
      </c>
      <c r="D43" s="593">
        <f>SUM(D37+D38+D41)</f>
        <v>1018867531</v>
      </c>
      <c r="E43" s="593">
        <f t="shared" si="3"/>
        <v>77748815</v>
      </c>
    </row>
    <row r="44" spans="1:5" s="421" customFormat="1" x14ac:dyDescent="0.2">
      <c r="A44" s="588"/>
      <c r="B44" s="592" t="s">
        <v>726</v>
      </c>
      <c r="C44" s="593">
        <f>SUM(C36+C43)</f>
        <v>1779032454</v>
      </c>
      <c r="D44" s="593">
        <f>SUM(D36+D43)</f>
        <v>1872448686</v>
      </c>
      <c r="E44" s="593">
        <f t="shared" si="3"/>
        <v>93416232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790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657</v>
      </c>
      <c r="C47" s="589">
        <v>79103756</v>
      </c>
      <c r="D47" s="589">
        <v>82887321</v>
      </c>
      <c r="E47" s="590">
        <f t="shared" ref="E47:E55" si="4">D47-C47</f>
        <v>3783565</v>
      </c>
    </row>
    <row r="48" spans="1:5" s="421" customFormat="1" x14ac:dyDescent="0.2">
      <c r="A48" s="588">
        <v>2</v>
      </c>
      <c r="B48" s="587" t="s">
        <v>636</v>
      </c>
      <c r="C48" s="589">
        <v>68810902</v>
      </c>
      <c r="D48" s="591">
        <v>78363100</v>
      </c>
      <c r="E48" s="590">
        <f t="shared" si="4"/>
        <v>9552198</v>
      </c>
    </row>
    <row r="49" spans="1:5" s="421" customFormat="1" x14ac:dyDescent="0.2">
      <c r="A49" s="588">
        <v>3</v>
      </c>
      <c r="B49" s="587" t="s">
        <v>778</v>
      </c>
      <c r="C49" s="589">
        <v>16047231</v>
      </c>
      <c r="D49" s="591">
        <v>14969744</v>
      </c>
      <c r="E49" s="590">
        <f t="shared" si="4"/>
        <v>-1077487</v>
      </c>
    </row>
    <row r="50" spans="1:5" s="421" customFormat="1" x14ac:dyDescent="0.2">
      <c r="A50" s="588">
        <v>4</v>
      </c>
      <c r="B50" s="587" t="s">
        <v>115</v>
      </c>
      <c r="C50" s="589">
        <v>15718579</v>
      </c>
      <c r="D50" s="591">
        <v>14481962</v>
      </c>
      <c r="E50" s="590">
        <f t="shared" si="4"/>
        <v>-1236617</v>
      </c>
    </row>
    <row r="51" spans="1:5" s="421" customFormat="1" x14ac:dyDescent="0.2">
      <c r="A51" s="588">
        <v>5</v>
      </c>
      <c r="B51" s="587" t="s">
        <v>744</v>
      </c>
      <c r="C51" s="589">
        <v>328652</v>
      </c>
      <c r="D51" s="591">
        <v>487782</v>
      </c>
      <c r="E51" s="590">
        <f t="shared" si="4"/>
        <v>159130</v>
      </c>
    </row>
    <row r="52" spans="1:5" s="421" customFormat="1" x14ac:dyDescent="0.2">
      <c r="A52" s="588">
        <v>6</v>
      </c>
      <c r="B52" s="587" t="s">
        <v>424</v>
      </c>
      <c r="C52" s="589">
        <v>229860</v>
      </c>
      <c r="D52" s="591">
        <v>135237</v>
      </c>
      <c r="E52" s="590">
        <f t="shared" si="4"/>
        <v>-94623</v>
      </c>
    </row>
    <row r="53" spans="1:5" s="421" customFormat="1" x14ac:dyDescent="0.2">
      <c r="A53" s="588">
        <v>7</v>
      </c>
      <c r="B53" s="587" t="s">
        <v>759</v>
      </c>
      <c r="C53" s="589">
        <v>115038</v>
      </c>
      <c r="D53" s="591">
        <v>175349</v>
      </c>
      <c r="E53" s="590">
        <f t="shared" si="4"/>
        <v>60311</v>
      </c>
    </row>
    <row r="54" spans="1:5" s="421" customFormat="1" x14ac:dyDescent="0.2">
      <c r="A54" s="588"/>
      <c r="B54" s="592" t="s">
        <v>791</v>
      </c>
      <c r="C54" s="593">
        <f>SUM(C48+C49+C52)</f>
        <v>85087993</v>
      </c>
      <c r="D54" s="593">
        <f>SUM(D48+D49+D52)</f>
        <v>93468081</v>
      </c>
      <c r="E54" s="593">
        <f t="shared" si="4"/>
        <v>8380088</v>
      </c>
    </row>
    <row r="55" spans="1:5" s="421" customFormat="1" x14ac:dyDescent="0.2">
      <c r="A55" s="588"/>
      <c r="B55" s="592" t="s">
        <v>466</v>
      </c>
      <c r="C55" s="593">
        <f>SUM(C47+C54)</f>
        <v>164191749</v>
      </c>
      <c r="D55" s="593">
        <f>SUM(D47+D54)</f>
        <v>176355402</v>
      </c>
      <c r="E55" s="593">
        <f t="shared" si="4"/>
        <v>12163653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792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657</v>
      </c>
      <c r="C58" s="589">
        <v>237799391</v>
      </c>
      <c r="D58" s="589">
        <v>248436377</v>
      </c>
      <c r="E58" s="590">
        <f t="shared" ref="E58:E66" si="5">D58-C58</f>
        <v>10636986</v>
      </c>
    </row>
    <row r="59" spans="1:5" s="421" customFormat="1" x14ac:dyDescent="0.2">
      <c r="A59" s="588">
        <v>2</v>
      </c>
      <c r="B59" s="587" t="s">
        <v>636</v>
      </c>
      <c r="C59" s="589">
        <v>50077793</v>
      </c>
      <c r="D59" s="591">
        <v>53747543</v>
      </c>
      <c r="E59" s="590">
        <f t="shared" si="5"/>
        <v>3669750</v>
      </c>
    </row>
    <row r="60" spans="1:5" s="421" customFormat="1" x14ac:dyDescent="0.2">
      <c r="A60" s="588">
        <v>3</v>
      </c>
      <c r="B60" s="587" t="s">
        <v>778</v>
      </c>
      <c r="C60" s="589">
        <f>C61+C62</f>
        <v>25060564</v>
      </c>
      <c r="D60" s="591">
        <f>D61+D62</f>
        <v>24393393</v>
      </c>
      <c r="E60" s="590">
        <f t="shared" si="5"/>
        <v>-667171</v>
      </c>
    </row>
    <row r="61" spans="1:5" s="421" customFormat="1" x14ac:dyDescent="0.2">
      <c r="A61" s="588">
        <v>4</v>
      </c>
      <c r="B61" s="587" t="s">
        <v>115</v>
      </c>
      <c r="C61" s="589">
        <v>24969031</v>
      </c>
      <c r="D61" s="591">
        <v>24103560</v>
      </c>
      <c r="E61" s="590">
        <f t="shared" si="5"/>
        <v>-865471</v>
      </c>
    </row>
    <row r="62" spans="1:5" s="421" customFormat="1" x14ac:dyDescent="0.2">
      <c r="A62" s="588">
        <v>5</v>
      </c>
      <c r="B62" s="587" t="s">
        <v>744</v>
      </c>
      <c r="C62" s="589">
        <v>91533</v>
      </c>
      <c r="D62" s="591">
        <v>289833</v>
      </c>
      <c r="E62" s="590">
        <f t="shared" si="5"/>
        <v>198300</v>
      </c>
    </row>
    <row r="63" spans="1:5" s="421" customFormat="1" x14ac:dyDescent="0.2">
      <c r="A63" s="588">
        <v>6</v>
      </c>
      <c r="B63" s="587" t="s">
        <v>424</v>
      </c>
      <c r="C63" s="589">
        <v>189569</v>
      </c>
      <c r="D63" s="591">
        <v>44469</v>
      </c>
      <c r="E63" s="590">
        <f t="shared" si="5"/>
        <v>-145100</v>
      </c>
    </row>
    <row r="64" spans="1:5" s="421" customFormat="1" x14ac:dyDescent="0.2">
      <c r="A64" s="588">
        <v>7</v>
      </c>
      <c r="B64" s="587" t="s">
        <v>759</v>
      </c>
      <c r="C64" s="589">
        <v>1538646</v>
      </c>
      <c r="D64" s="591">
        <v>1720175</v>
      </c>
      <c r="E64" s="590">
        <f t="shared" si="5"/>
        <v>181529</v>
      </c>
    </row>
    <row r="65" spans="1:5" s="421" customFormat="1" x14ac:dyDescent="0.2">
      <c r="A65" s="588"/>
      <c r="B65" s="592" t="s">
        <v>793</v>
      </c>
      <c r="C65" s="593">
        <f>SUM(C59+C60+C63)</f>
        <v>75327926</v>
      </c>
      <c r="D65" s="593">
        <f>SUM(D59+D60+D63)</f>
        <v>78185405</v>
      </c>
      <c r="E65" s="593">
        <f t="shared" si="5"/>
        <v>2857479</v>
      </c>
    </row>
    <row r="66" spans="1:5" s="421" customFormat="1" x14ac:dyDescent="0.2">
      <c r="A66" s="588"/>
      <c r="B66" s="592" t="s">
        <v>468</v>
      </c>
      <c r="C66" s="593">
        <f>SUM(C58+C65)</f>
        <v>313127317</v>
      </c>
      <c r="D66" s="593">
        <f>SUM(D58+D65)</f>
        <v>326621782</v>
      </c>
      <c r="E66" s="593">
        <f t="shared" si="5"/>
        <v>13494465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655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782</v>
      </c>
      <c r="C69" s="590">
        <f t="shared" ref="C69:D75" si="6">C47+C58</f>
        <v>316903147</v>
      </c>
      <c r="D69" s="590">
        <f t="shared" si="6"/>
        <v>331323698</v>
      </c>
      <c r="E69" s="590">
        <f t="shared" ref="E69:E77" si="7">D69-C69</f>
        <v>14420551</v>
      </c>
    </row>
    <row r="70" spans="1:5" s="421" customFormat="1" x14ac:dyDescent="0.2">
      <c r="A70" s="588">
        <v>2</v>
      </c>
      <c r="B70" s="587" t="s">
        <v>783</v>
      </c>
      <c r="C70" s="590">
        <f t="shared" si="6"/>
        <v>118888695</v>
      </c>
      <c r="D70" s="590">
        <f t="shared" si="6"/>
        <v>132110643</v>
      </c>
      <c r="E70" s="590">
        <f t="shared" si="7"/>
        <v>13221948</v>
      </c>
    </row>
    <row r="71" spans="1:5" s="421" customFormat="1" x14ac:dyDescent="0.2">
      <c r="A71" s="588">
        <v>3</v>
      </c>
      <c r="B71" s="587" t="s">
        <v>784</v>
      </c>
      <c r="C71" s="590">
        <f t="shared" si="6"/>
        <v>41107795</v>
      </c>
      <c r="D71" s="590">
        <f t="shared" si="6"/>
        <v>39363137</v>
      </c>
      <c r="E71" s="590">
        <f t="shared" si="7"/>
        <v>-1744658</v>
      </c>
    </row>
    <row r="72" spans="1:5" s="421" customFormat="1" x14ac:dyDescent="0.2">
      <c r="A72" s="588">
        <v>4</v>
      </c>
      <c r="B72" s="587" t="s">
        <v>785</v>
      </c>
      <c r="C72" s="590">
        <f t="shared" si="6"/>
        <v>40687610</v>
      </c>
      <c r="D72" s="590">
        <f t="shared" si="6"/>
        <v>38585522</v>
      </c>
      <c r="E72" s="590">
        <f t="shared" si="7"/>
        <v>-2102088</v>
      </c>
    </row>
    <row r="73" spans="1:5" s="421" customFormat="1" x14ac:dyDescent="0.2">
      <c r="A73" s="588">
        <v>5</v>
      </c>
      <c r="B73" s="587" t="s">
        <v>786</v>
      </c>
      <c r="C73" s="590">
        <f t="shared" si="6"/>
        <v>420185</v>
      </c>
      <c r="D73" s="590">
        <f t="shared" si="6"/>
        <v>777615</v>
      </c>
      <c r="E73" s="590">
        <f t="shared" si="7"/>
        <v>357430</v>
      </c>
    </row>
    <row r="74" spans="1:5" s="421" customFormat="1" x14ac:dyDescent="0.2">
      <c r="A74" s="588">
        <v>6</v>
      </c>
      <c r="B74" s="587" t="s">
        <v>787</v>
      </c>
      <c r="C74" s="590">
        <f t="shared" si="6"/>
        <v>419429</v>
      </c>
      <c r="D74" s="590">
        <f t="shared" si="6"/>
        <v>179706</v>
      </c>
      <c r="E74" s="590">
        <f t="shared" si="7"/>
        <v>-239723</v>
      </c>
    </row>
    <row r="75" spans="1:5" s="421" customFormat="1" x14ac:dyDescent="0.2">
      <c r="A75" s="588">
        <v>7</v>
      </c>
      <c r="B75" s="587" t="s">
        <v>788</v>
      </c>
      <c r="C75" s="590">
        <f t="shared" si="6"/>
        <v>1653684</v>
      </c>
      <c r="D75" s="590">
        <f t="shared" si="6"/>
        <v>1895524</v>
      </c>
      <c r="E75" s="590">
        <f t="shared" si="7"/>
        <v>241840</v>
      </c>
    </row>
    <row r="76" spans="1:5" s="421" customFormat="1" x14ac:dyDescent="0.2">
      <c r="A76" s="588"/>
      <c r="B76" s="592" t="s">
        <v>794</v>
      </c>
      <c r="C76" s="593">
        <f>SUM(C70+C71+C74)</f>
        <v>160415919</v>
      </c>
      <c r="D76" s="593">
        <f>SUM(D70+D71+D74)</f>
        <v>171653486</v>
      </c>
      <c r="E76" s="593">
        <f t="shared" si="7"/>
        <v>11237567</v>
      </c>
    </row>
    <row r="77" spans="1:5" s="421" customFormat="1" x14ac:dyDescent="0.2">
      <c r="A77" s="588"/>
      <c r="B77" s="592" t="s">
        <v>727</v>
      </c>
      <c r="C77" s="593">
        <f>SUM(C69+C76)</f>
        <v>477319066</v>
      </c>
      <c r="D77" s="593">
        <f>SUM(D69+D76)</f>
        <v>502977184</v>
      </c>
      <c r="E77" s="593">
        <f t="shared" si="7"/>
        <v>25658118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795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796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657</v>
      </c>
      <c r="C83" s="599">
        <f t="shared" ref="C83:D89" si="8">IF(C$44=0,0,C14/C$44)</f>
        <v>0.12135522008863814</v>
      </c>
      <c r="D83" s="599">
        <f t="shared" si="8"/>
        <v>0.11515190008256386</v>
      </c>
      <c r="E83" s="599">
        <f t="shared" ref="E83:E91" si="9">D83-C83</f>
        <v>-6.2033200060742782E-3</v>
      </c>
    </row>
    <row r="84" spans="1:5" s="421" customFormat="1" x14ac:dyDescent="0.2">
      <c r="A84" s="588">
        <v>2</v>
      </c>
      <c r="B84" s="587" t="s">
        <v>636</v>
      </c>
      <c r="C84" s="599">
        <f t="shared" si="8"/>
        <v>0.16774583697392179</v>
      </c>
      <c r="D84" s="599">
        <f t="shared" si="8"/>
        <v>0.17376018175165095</v>
      </c>
      <c r="E84" s="599">
        <f t="shared" si="9"/>
        <v>6.0143447777291636E-3</v>
      </c>
    </row>
    <row r="85" spans="1:5" s="421" customFormat="1" x14ac:dyDescent="0.2">
      <c r="A85" s="588">
        <v>3</v>
      </c>
      <c r="B85" s="587" t="s">
        <v>778</v>
      </c>
      <c r="C85" s="599">
        <f t="shared" si="8"/>
        <v>6.3688543593033289E-2</v>
      </c>
      <c r="D85" s="599">
        <f t="shared" si="8"/>
        <v>6.1285508573878218E-2</v>
      </c>
      <c r="E85" s="599">
        <f t="shared" si="9"/>
        <v>-2.4030350191550712E-3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6.186128125574937E-2</v>
      </c>
      <c r="D86" s="599">
        <f t="shared" si="8"/>
        <v>5.9465835209542295E-2</v>
      </c>
      <c r="E86" s="599">
        <f t="shared" si="9"/>
        <v>-2.3954460462070754E-3</v>
      </c>
    </row>
    <row r="87" spans="1:5" s="421" customFormat="1" x14ac:dyDescent="0.2">
      <c r="A87" s="588">
        <v>5</v>
      </c>
      <c r="B87" s="587" t="s">
        <v>744</v>
      </c>
      <c r="C87" s="599">
        <f t="shared" si="8"/>
        <v>1.8272623372839268E-3</v>
      </c>
      <c r="D87" s="599">
        <f t="shared" si="8"/>
        <v>1.819673364335924E-3</v>
      </c>
      <c r="E87" s="599">
        <f t="shared" si="9"/>
        <v>-7.588972948002759E-6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4.059313242860043E-4</v>
      </c>
      <c r="D88" s="599">
        <f t="shared" si="8"/>
        <v>3.7656946503900079E-4</v>
      </c>
      <c r="E88" s="599">
        <f t="shared" si="9"/>
        <v>-2.936185924700351E-5</v>
      </c>
    </row>
    <row r="89" spans="1:5" s="421" customFormat="1" x14ac:dyDescent="0.2">
      <c r="A89" s="588">
        <v>7</v>
      </c>
      <c r="B89" s="587" t="s">
        <v>759</v>
      </c>
      <c r="C89" s="599">
        <f t="shared" si="8"/>
        <v>8.937689677470044E-3</v>
      </c>
      <c r="D89" s="599">
        <f t="shared" si="8"/>
        <v>4.3893779634396881E-3</v>
      </c>
      <c r="E89" s="599">
        <f t="shared" si="9"/>
        <v>-4.5483117140303559E-3</v>
      </c>
    </row>
    <row r="90" spans="1:5" s="421" customFormat="1" x14ac:dyDescent="0.2">
      <c r="A90" s="588"/>
      <c r="B90" s="592" t="s">
        <v>797</v>
      </c>
      <c r="C90" s="600">
        <f>SUM(C84+C85+C88)</f>
        <v>0.2318403118912411</v>
      </c>
      <c r="D90" s="600">
        <f>SUM(D84+D85+D88)</f>
        <v>0.23542225979056816</v>
      </c>
      <c r="E90" s="601">
        <f t="shared" si="9"/>
        <v>3.5819478993270593E-3</v>
      </c>
    </row>
    <row r="91" spans="1:5" s="421" customFormat="1" x14ac:dyDescent="0.2">
      <c r="A91" s="588"/>
      <c r="B91" s="592" t="s">
        <v>798</v>
      </c>
      <c r="C91" s="600">
        <f>SUM(C83+C90)</f>
        <v>0.35319553197987924</v>
      </c>
      <c r="D91" s="600">
        <f>SUM(D83+D90)</f>
        <v>0.35057415987313201</v>
      </c>
      <c r="E91" s="601">
        <f t="shared" si="9"/>
        <v>-2.6213721067472329E-3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799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657</v>
      </c>
      <c r="C95" s="599">
        <f t="shared" ref="C95:D101" si="10">IF(C$44=0,0,C25/C$44)</f>
        <v>0.34963885093914088</v>
      </c>
      <c r="D95" s="599">
        <f t="shared" si="10"/>
        <v>0.34071167651747336</v>
      </c>
      <c r="E95" s="599">
        <f t="shared" ref="E95:E103" si="11">D95-C95</f>
        <v>-8.9271744216675164E-3</v>
      </c>
    </row>
    <row r="96" spans="1:5" s="421" customFormat="1" x14ac:dyDescent="0.2">
      <c r="A96" s="588">
        <v>2</v>
      </c>
      <c r="B96" s="587" t="s">
        <v>636</v>
      </c>
      <c r="C96" s="599">
        <f t="shared" si="10"/>
        <v>0.20585200521586439</v>
      </c>
      <c r="D96" s="599">
        <f t="shared" si="10"/>
        <v>0.21058396950911157</v>
      </c>
      <c r="E96" s="599">
        <f t="shared" si="11"/>
        <v>4.7319642932471817E-3</v>
      </c>
    </row>
    <row r="97" spans="1:5" s="421" customFormat="1" x14ac:dyDescent="0.2">
      <c r="A97" s="588">
        <v>3</v>
      </c>
      <c r="B97" s="587" t="s">
        <v>778</v>
      </c>
      <c r="C97" s="599">
        <f t="shared" si="10"/>
        <v>9.0737920287540741E-2</v>
      </c>
      <c r="D97" s="599">
        <f t="shared" si="10"/>
        <v>9.7643101980312424E-2</v>
      </c>
      <c r="E97" s="599">
        <f t="shared" si="11"/>
        <v>6.9051816927716836E-3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8.8920155247488253E-2</v>
      </c>
      <c r="D98" s="599">
        <f t="shared" si="10"/>
        <v>9.6021351796873752E-2</v>
      </c>
      <c r="E98" s="599">
        <f t="shared" si="11"/>
        <v>7.1011965493854995E-3</v>
      </c>
    </row>
    <row r="99" spans="1:5" s="421" customFormat="1" x14ac:dyDescent="0.2">
      <c r="A99" s="588">
        <v>5</v>
      </c>
      <c r="B99" s="587" t="s">
        <v>744</v>
      </c>
      <c r="C99" s="599">
        <f t="shared" si="10"/>
        <v>1.8177650400524959E-3</v>
      </c>
      <c r="D99" s="599">
        <f t="shared" si="10"/>
        <v>1.6217501834386717E-3</v>
      </c>
      <c r="E99" s="599">
        <f t="shared" si="11"/>
        <v>-1.9601485661382414E-4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5.7569157757478436E-4</v>
      </c>
      <c r="D100" s="599">
        <f t="shared" si="10"/>
        <v>4.8709211997065109E-4</v>
      </c>
      <c r="E100" s="599">
        <f t="shared" si="11"/>
        <v>-8.8599457604133266E-5</v>
      </c>
    </row>
    <row r="101" spans="1:5" s="421" customFormat="1" x14ac:dyDescent="0.2">
      <c r="A101" s="588">
        <v>7</v>
      </c>
      <c r="B101" s="587" t="s">
        <v>759</v>
      </c>
      <c r="C101" s="599">
        <f t="shared" si="10"/>
        <v>2.8848222461938293E-2</v>
      </c>
      <c r="D101" s="599">
        <f t="shared" si="10"/>
        <v>2.8712731303121009E-2</v>
      </c>
      <c r="E101" s="599">
        <f t="shared" si="11"/>
        <v>-1.3549115881728371E-4</v>
      </c>
    </row>
    <row r="102" spans="1:5" s="421" customFormat="1" x14ac:dyDescent="0.2">
      <c r="A102" s="588"/>
      <c r="B102" s="592" t="s">
        <v>800</v>
      </c>
      <c r="C102" s="600">
        <f>SUM(C96+C97+C100)</f>
        <v>0.29716561708097994</v>
      </c>
      <c r="D102" s="600">
        <f>SUM(D96+D97+D100)</f>
        <v>0.30871416360939463</v>
      </c>
      <c r="E102" s="601">
        <f t="shared" si="11"/>
        <v>1.1548546528414694E-2</v>
      </c>
    </row>
    <row r="103" spans="1:5" s="421" customFormat="1" x14ac:dyDescent="0.2">
      <c r="A103" s="588"/>
      <c r="B103" s="592" t="s">
        <v>801</v>
      </c>
      <c r="C103" s="600">
        <f>SUM(C95+C102)</f>
        <v>0.64680446802012082</v>
      </c>
      <c r="D103" s="600">
        <f>SUM(D95+D102)</f>
        <v>0.64942584012686799</v>
      </c>
      <c r="E103" s="601">
        <f t="shared" si="11"/>
        <v>2.6213721067471774E-3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802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803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657</v>
      </c>
      <c r="C109" s="599">
        <f t="shared" ref="C109:D115" si="12">IF(C$77=0,0,C47/C$77)</f>
        <v>0.16572511268594495</v>
      </c>
      <c r="D109" s="599">
        <f t="shared" si="12"/>
        <v>0.1647934014438317</v>
      </c>
      <c r="E109" s="599">
        <f t="shared" ref="E109:E117" si="13">D109-C109</f>
        <v>-9.3171124211324785E-4</v>
      </c>
    </row>
    <row r="110" spans="1:5" s="421" customFormat="1" x14ac:dyDescent="0.2">
      <c r="A110" s="588">
        <v>2</v>
      </c>
      <c r="B110" s="587" t="s">
        <v>636</v>
      </c>
      <c r="C110" s="599">
        <f t="shared" si="12"/>
        <v>0.14416122652850411</v>
      </c>
      <c r="D110" s="599">
        <f t="shared" si="12"/>
        <v>0.155798518288257</v>
      </c>
      <c r="E110" s="599">
        <f t="shared" si="13"/>
        <v>1.1637291759752894E-2</v>
      </c>
    </row>
    <row r="111" spans="1:5" s="421" customFormat="1" x14ac:dyDescent="0.2">
      <c r="A111" s="588">
        <v>3</v>
      </c>
      <c r="B111" s="587" t="s">
        <v>778</v>
      </c>
      <c r="C111" s="599">
        <f t="shared" si="12"/>
        <v>3.3619505574076523E-2</v>
      </c>
      <c r="D111" s="599">
        <f t="shared" si="12"/>
        <v>2.9762272477154749E-2</v>
      </c>
      <c r="E111" s="599">
        <f t="shared" si="13"/>
        <v>-3.8572330969217743E-3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3.2930968234149691E-2</v>
      </c>
      <c r="D112" s="599">
        <f t="shared" si="12"/>
        <v>2.8792482960817562E-2</v>
      </c>
      <c r="E112" s="599">
        <f t="shared" si="13"/>
        <v>-4.1384852733321285E-3</v>
      </c>
    </row>
    <row r="113" spans="1:5" s="421" customFormat="1" x14ac:dyDescent="0.2">
      <c r="A113" s="588">
        <v>5</v>
      </c>
      <c r="B113" s="587" t="s">
        <v>744</v>
      </c>
      <c r="C113" s="599">
        <f t="shared" si="12"/>
        <v>6.8853733992683204E-4</v>
      </c>
      <c r="D113" s="599">
        <f t="shared" si="12"/>
        <v>9.6978951633718642E-4</v>
      </c>
      <c r="E113" s="599">
        <f t="shared" si="13"/>
        <v>2.8125217641035438E-4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4.8156467313627065E-4</v>
      </c>
      <c r="D114" s="599">
        <f t="shared" si="12"/>
        <v>2.6887303102798399E-4</v>
      </c>
      <c r="E114" s="599">
        <f t="shared" si="13"/>
        <v>-2.1269164210828667E-4</v>
      </c>
    </row>
    <row r="115" spans="1:5" s="421" customFormat="1" x14ac:dyDescent="0.2">
      <c r="A115" s="588">
        <v>7</v>
      </c>
      <c r="B115" s="587" t="s">
        <v>759</v>
      </c>
      <c r="C115" s="599">
        <f t="shared" si="12"/>
        <v>2.4100860031432309E-4</v>
      </c>
      <c r="D115" s="599">
        <f t="shared" si="12"/>
        <v>3.4862217527544947E-4</v>
      </c>
      <c r="E115" s="599">
        <f t="shared" si="13"/>
        <v>1.0761357496112637E-4</v>
      </c>
    </row>
    <row r="116" spans="1:5" s="421" customFormat="1" x14ac:dyDescent="0.2">
      <c r="A116" s="588"/>
      <c r="B116" s="592" t="s">
        <v>797</v>
      </c>
      <c r="C116" s="600">
        <f>SUM(C110+C111+C114)</f>
        <v>0.17826229677571689</v>
      </c>
      <c r="D116" s="600">
        <f>SUM(D110+D111+D114)</f>
        <v>0.18582966379643973</v>
      </c>
      <c r="E116" s="601">
        <f t="shared" si="13"/>
        <v>7.5673670207228316E-3</v>
      </c>
    </row>
    <row r="117" spans="1:5" s="421" customFormat="1" x14ac:dyDescent="0.2">
      <c r="A117" s="588"/>
      <c r="B117" s="592" t="s">
        <v>798</v>
      </c>
      <c r="C117" s="600">
        <f>SUM(C109+C116)</f>
        <v>0.34398740946166184</v>
      </c>
      <c r="D117" s="600">
        <f>SUM(D109+D116)</f>
        <v>0.35062306524027143</v>
      </c>
      <c r="E117" s="601">
        <f t="shared" si="13"/>
        <v>6.6356557786095838E-3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804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657</v>
      </c>
      <c r="C121" s="599">
        <f t="shared" ref="C121:D127" si="14">IF(C$77=0,0,C58/C$77)</f>
        <v>0.49819797267432009</v>
      </c>
      <c r="D121" s="599">
        <f t="shared" si="14"/>
        <v>0.49393170287422022</v>
      </c>
      <c r="E121" s="599">
        <f t="shared" ref="E121:E129" si="15">D121-C121</f>
        <v>-4.2662698000998645E-3</v>
      </c>
    </row>
    <row r="122" spans="1:5" s="421" customFormat="1" x14ac:dyDescent="0.2">
      <c r="A122" s="588">
        <v>2</v>
      </c>
      <c r="B122" s="587" t="s">
        <v>636</v>
      </c>
      <c r="C122" s="599">
        <f t="shared" si="14"/>
        <v>0.10491471337958246</v>
      </c>
      <c r="D122" s="599">
        <f t="shared" si="14"/>
        <v>0.10685880932523571</v>
      </c>
      <c r="E122" s="599">
        <f t="shared" si="15"/>
        <v>1.9440959456532569E-3</v>
      </c>
    </row>
    <row r="123" spans="1:5" s="421" customFormat="1" x14ac:dyDescent="0.2">
      <c r="A123" s="588">
        <v>3</v>
      </c>
      <c r="B123" s="587" t="s">
        <v>778</v>
      </c>
      <c r="C123" s="599">
        <f t="shared" si="14"/>
        <v>5.2502750853870142E-2</v>
      </c>
      <c r="D123" s="599">
        <f t="shared" si="14"/>
        <v>4.8498010995266141E-2</v>
      </c>
      <c r="E123" s="599">
        <f t="shared" si="15"/>
        <v>-4.0047398586040006E-3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5.2310986043871965E-2</v>
      </c>
      <c r="D124" s="599">
        <f t="shared" si="14"/>
        <v>4.7921776109828472E-2</v>
      </c>
      <c r="E124" s="599">
        <f t="shared" si="15"/>
        <v>-4.3892099340434934E-3</v>
      </c>
    </row>
    <row r="125" spans="1:5" s="421" customFormat="1" x14ac:dyDescent="0.2">
      <c r="A125" s="588">
        <v>5</v>
      </c>
      <c r="B125" s="587" t="s">
        <v>744</v>
      </c>
      <c r="C125" s="599">
        <f t="shared" si="14"/>
        <v>1.9176480999818265E-4</v>
      </c>
      <c r="D125" s="599">
        <f t="shared" si="14"/>
        <v>5.7623488543766634E-4</v>
      </c>
      <c r="E125" s="599">
        <f t="shared" si="15"/>
        <v>3.8447007543948369E-4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3.9715363056542981E-4</v>
      </c>
      <c r="D126" s="599">
        <f t="shared" si="14"/>
        <v>8.8411565006495398E-5</v>
      </c>
      <c r="E126" s="599">
        <f t="shared" si="15"/>
        <v>-3.087420655589344E-4</v>
      </c>
    </row>
    <row r="127" spans="1:5" s="421" customFormat="1" x14ac:dyDescent="0.2">
      <c r="A127" s="588">
        <v>7</v>
      </c>
      <c r="B127" s="587" t="s">
        <v>759</v>
      </c>
      <c r="C127" s="599">
        <f t="shared" si="14"/>
        <v>3.2235167408963296E-3</v>
      </c>
      <c r="D127" s="599">
        <f t="shared" si="14"/>
        <v>3.4199861439440562E-3</v>
      </c>
      <c r="E127" s="599">
        <f t="shared" si="15"/>
        <v>1.964694030477266E-4</v>
      </c>
    </row>
    <row r="128" spans="1:5" s="421" customFormat="1" x14ac:dyDescent="0.2">
      <c r="A128" s="588"/>
      <c r="B128" s="592" t="s">
        <v>800</v>
      </c>
      <c r="C128" s="600">
        <f>SUM(C122+C123+C126)</f>
        <v>0.15781461786401801</v>
      </c>
      <c r="D128" s="600">
        <f>SUM(D122+D123+D126)</f>
        <v>0.15544523188550835</v>
      </c>
      <c r="E128" s="601">
        <f t="shared" si="15"/>
        <v>-2.3693859785096638E-3</v>
      </c>
    </row>
    <row r="129" spans="1:5" s="421" customFormat="1" x14ac:dyDescent="0.2">
      <c r="A129" s="588"/>
      <c r="B129" s="592" t="s">
        <v>801</v>
      </c>
      <c r="C129" s="600">
        <f>SUM(C121+C128)</f>
        <v>0.65601259053833805</v>
      </c>
      <c r="D129" s="600">
        <f>SUM(D121+D128)</f>
        <v>0.64937693475972857</v>
      </c>
      <c r="E129" s="601">
        <f t="shared" si="15"/>
        <v>-6.6356557786094728E-3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805</v>
      </c>
      <c r="C131" s="601">
        <f>C117+C129</f>
        <v>0.99999999999999989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806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807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657</v>
      </c>
      <c r="C137" s="606">
        <v>6040</v>
      </c>
      <c r="D137" s="606">
        <v>5862</v>
      </c>
      <c r="E137" s="607">
        <f t="shared" ref="E137:E145" si="16">D137-C137</f>
        <v>-178</v>
      </c>
    </row>
    <row r="138" spans="1:5" s="421" customFormat="1" x14ac:dyDescent="0.2">
      <c r="A138" s="588">
        <v>2</v>
      </c>
      <c r="B138" s="587" t="s">
        <v>636</v>
      </c>
      <c r="C138" s="606">
        <v>5336</v>
      </c>
      <c r="D138" s="606">
        <v>5492</v>
      </c>
      <c r="E138" s="607">
        <f t="shared" si="16"/>
        <v>156</v>
      </c>
    </row>
    <row r="139" spans="1:5" s="421" customFormat="1" x14ac:dyDescent="0.2">
      <c r="A139" s="588">
        <v>3</v>
      </c>
      <c r="B139" s="587" t="s">
        <v>778</v>
      </c>
      <c r="C139" s="606">
        <f>C140+C141</f>
        <v>3457</v>
      </c>
      <c r="D139" s="606">
        <f>D140+D141</f>
        <v>3474</v>
      </c>
      <c r="E139" s="607">
        <f t="shared" si="16"/>
        <v>17</v>
      </c>
    </row>
    <row r="140" spans="1:5" s="421" customFormat="1" x14ac:dyDescent="0.2">
      <c r="A140" s="588">
        <v>4</v>
      </c>
      <c r="B140" s="587" t="s">
        <v>115</v>
      </c>
      <c r="C140" s="606">
        <v>3376</v>
      </c>
      <c r="D140" s="606">
        <v>3394</v>
      </c>
      <c r="E140" s="607">
        <f t="shared" si="16"/>
        <v>18</v>
      </c>
    </row>
    <row r="141" spans="1:5" s="421" customFormat="1" x14ac:dyDescent="0.2">
      <c r="A141" s="588">
        <v>5</v>
      </c>
      <c r="B141" s="587" t="s">
        <v>744</v>
      </c>
      <c r="C141" s="606">
        <v>81</v>
      </c>
      <c r="D141" s="606">
        <v>80</v>
      </c>
      <c r="E141" s="607">
        <f t="shared" si="16"/>
        <v>-1</v>
      </c>
    </row>
    <row r="142" spans="1:5" s="421" customFormat="1" x14ac:dyDescent="0.2">
      <c r="A142" s="588">
        <v>6</v>
      </c>
      <c r="B142" s="587" t="s">
        <v>424</v>
      </c>
      <c r="C142" s="606">
        <v>15</v>
      </c>
      <c r="D142" s="606">
        <v>19</v>
      </c>
      <c r="E142" s="607">
        <f t="shared" si="16"/>
        <v>4</v>
      </c>
    </row>
    <row r="143" spans="1:5" s="421" customFormat="1" x14ac:dyDescent="0.2">
      <c r="A143" s="588">
        <v>7</v>
      </c>
      <c r="B143" s="587" t="s">
        <v>759</v>
      </c>
      <c r="C143" s="606">
        <v>366</v>
      </c>
      <c r="D143" s="606">
        <v>193</v>
      </c>
      <c r="E143" s="607">
        <f t="shared" si="16"/>
        <v>-173</v>
      </c>
    </row>
    <row r="144" spans="1:5" s="421" customFormat="1" x14ac:dyDescent="0.2">
      <c r="A144" s="588"/>
      <c r="B144" s="592" t="s">
        <v>808</v>
      </c>
      <c r="C144" s="608">
        <f>SUM(C138+C139+C142)</f>
        <v>8808</v>
      </c>
      <c r="D144" s="608">
        <f>SUM(D138+D139+D142)</f>
        <v>8985</v>
      </c>
      <c r="E144" s="609">
        <f t="shared" si="16"/>
        <v>177</v>
      </c>
    </row>
    <row r="145" spans="1:5" s="421" customFormat="1" x14ac:dyDescent="0.2">
      <c r="A145" s="588"/>
      <c r="B145" s="592" t="s">
        <v>138</v>
      </c>
      <c r="C145" s="608">
        <f>SUM(C137+C144)</f>
        <v>14848</v>
      </c>
      <c r="D145" s="608">
        <f>SUM(D137+D144)</f>
        <v>14847</v>
      </c>
      <c r="E145" s="609">
        <f t="shared" si="16"/>
        <v>-1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657</v>
      </c>
      <c r="C149" s="610">
        <v>22978</v>
      </c>
      <c r="D149" s="610">
        <v>23582</v>
      </c>
      <c r="E149" s="607">
        <f t="shared" ref="E149:E157" si="17">D149-C149</f>
        <v>604</v>
      </c>
    </row>
    <row r="150" spans="1:5" s="421" customFormat="1" x14ac:dyDescent="0.2">
      <c r="A150" s="588">
        <v>2</v>
      </c>
      <c r="B150" s="587" t="s">
        <v>636</v>
      </c>
      <c r="C150" s="610">
        <v>32883</v>
      </c>
      <c r="D150" s="610">
        <v>34268</v>
      </c>
      <c r="E150" s="607">
        <f t="shared" si="17"/>
        <v>1385</v>
      </c>
    </row>
    <row r="151" spans="1:5" s="421" customFormat="1" x14ac:dyDescent="0.2">
      <c r="A151" s="588">
        <v>3</v>
      </c>
      <c r="B151" s="587" t="s">
        <v>778</v>
      </c>
      <c r="C151" s="610">
        <f>C152+C153</f>
        <v>15158</v>
      </c>
      <c r="D151" s="610">
        <f>D152+D153</f>
        <v>15248</v>
      </c>
      <c r="E151" s="607">
        <f t="shared" si="17"/>
        <v>90</v>
      </c>
    </row>
    <row r="152" spans="1:5" s="421" customFormat="1" x14ac:dyDescent="0.2">
      <c r="A152" s="588">
        <v>4</v>
      </c>
      <c r="B152" s="587" t="s">
        <v>115</v>
      </c>
      <c r="C152" s="610">
        <v>14553</v>
      </c>
      <c r="D152" s="610">
        <v>14820</v>
      </c>
      <c r="E152" s="607">
        <f t="shared" si="17"/>
        <v>267</v>
      </c>
    </row>
    <row r="153" spans="1:5" s="421" customFormat="1" x14ac:dyDescent="0.2">
      <c r="A153" s="588">
        <v>5</v>
      </c>
      <c r="B153" s="587" t="s">
        <v>744</v>
      </c>
      <c r="C153" s="611">
        <v>605</v>
      </c>
      <c r="D153" s="610">
        <v>428</v>
      </c>
      <c r="E153" s="607">
        <f t="shared" si="17"/>
        <v>-177</v>
      </c>
    </row>
    <row r="154" spans="1:5" s="421" customFormat="1" x14ac:dyDescent="0.2">
      <c r="A154" s="588">
        <v>6</v>
      </c>
      <c r="B154" s="587" t="s">
        <v>424</v>
      </c>
      <c r="C154" s="610">
        <v>65</v>
      </c>
      <c r="D154" s="610">
        <v>104</v>
      </c>
      <c r="E154" s="607">
        <f t="shared" si="17"/>
        <v>39</v>
      </c>
    </row>
    <row r="155" spans="1:5" s="421" customFormat="1" x14ac:dyDescent="0.2">
      <c r="A155" s="588">
        <v>7</v>
      </c>
      <c r="B155" s="587" t="s">
        <v>759</v>
      </c>
      <c r="C155" s="610">
        <v>1443</v>
      </c>
      <c r="D155" s="610">
        <v>716</v>
      </c>
      <c r="E155" s="607">
        <f t="shared" si="17"/>
        <v>-727</v>
      </c>
    </row>
    <row r="156" spans="1:5" s="421" customFormat="1" x14ac:dyDescent="0.2">
      <c r="A156" s="588"/>
      <c r="B156" s="592" t="s">
        <v>809</v>
      </c>
      <c r="C156" s="608">
        <f>SUM(C150+C151+C154)</f>
        <v>48106</v>
      </c>
      <c r="D156" s="608">
        <f>SUM(D150+D151+D154)</f>
        <v>49620</v>
      </c>
      <c r="E156" s="609">
        <f t="shared" si="17"/>
        <v>1514</v>
      </c>
    </row>
    <row r="157" spans="1:5" s="421" customFormat="1" x14ac:dyDescent="0.2">
      <c r="A157" s="588"/>
      <c r="B157" s="592" t="s">
        <v>140</v>
      </c>
      <c r="C157" s="608">
        <f>SUM(C149+C156)</f>
        <v>71084</v>
      </c>
      <c r="D157" s="608">
        <f>SUM(D149+D156)</f>
        <v>73202</v>
      </c>
      <c r="E157" s="609">
        <f t="shared" si="17"/>
        <v>2118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810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657</v>
      </c>
      <c r="C161" s="612">
        <f t="shared" ref="C161:D169" si="18">IF(C137=0,0,C149/C137)</f>
        <v>3.8043046357615893</v>
      </c>
      <c r="D161" s="612">
        <f t="shared" si="18"/>
        <v>4.0228590924599112</v>
      </c>
      <c r="E161" s="613">
        <f t="shared" ref="E161:E169" si="19">D161-C161</f>
        <v>0.21855445669832196</v>
      </c>
    </row>
    <row r="162" spans="1:5" s="421" customFormat="1" x14ac:dyDescent="0.2">
      <c r="A162" s="588">
        <v>2</v>
      </c>
      <c r="B162" s="587" t="s">
        <v>636</v>
      </c>
      <c r="C162" s="612">
        <f t="shared" si="18"/>
        <v>6.1624812593703151</v>
      </c>
      <c r="D162" s="612">
        <f t="shared" si="18"/>
        <v>6.2396212672978875</v>
      </c>
      <c r="E162" s="613">
        <f t="shared" si="19"/>
        <v>7.7140007927572363E-2</v>
      </c>
    </row>
    <row r="163" spans="1:5" s="421" customFormat="1" x14ac:dyDescent="0.2">
      <c r="A163" s="588">
        <v>3</v>
      </c>
      <c r="B163" s="587" t="s">
        <v>778</v>
      </c>
      <c r="C163" s="612">
        <f t="shared" si="18"/>
        <v>4.3847266415967603</v>
      </c>
      <c r="D163" s="612">
        <f t="shared" si="18"/>
        <v>4.389176741508348</v>
      </c>
      <c r="E163" s="613">
        <f t="shared" si="19"/>
        <v>4.4500999115877349E-3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4.3107227488151656</v>
      </c>
      <c r="D164" s="612">
        <f t="shared" si="18"/>
        <v>4.3665291691219803</v>
      </c>
      <c r="E164" s="613">
        <f t="shared" si="19"/>
        <v>5.5806420306814708E-2</v>
      </c>
    </row>
    <row r="165" spans="1:5" s="421" customFormat="1" x14ac:dyDescent="0.2">
      <c r="A165" s="588">
        <v>5</v>
      </c>
      <c r="B165" s="587" t="s">
        <v>744</v>
      </c>
      <c r="C165" s="612">
        <f t="shared" si="18"/>
        <v>7.4691358024691361</v>
      </c>
      <c r="D165" s="612">
        <f t="shared" si="18"/>
        <v>5.35</v>
      </c>
      <c r="E165" s="613">
        <f t="shared" si="19"/>
        <v>-2.1191358024691365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4.333333333333333</v>
      </c>
      <c r="D166" s="612">
        <f t="shared" si="18"/>
        <v>5.4736842105263159</v>
      </c>
      <c r="E166" s="613">
        <f t="shared" si="19"/>
        <v>1.1403508771929829</v>
      </c>
    </row>
    <row r="167" spans="1:5" s="421" customFormat="1" x14ac:dyDescent="0.2">
      <c r="A167" s="588">
        <v>7</v>
      </c>
      <c r="B167" s="587" t="s">
        <v>759</v>
      </c>
      <c r="C167" s="612">
        <f t="shared" si="18"/>
        <v>3.942622950819672</v>
      </c>
      <c r="D167" s="612">
        <f t="shared" si="18"/>
        <v>3.7098445595854921</v>
      </c>
      <c r="E167" s="613">
        <f t="shared" si="19"/>
        <v>-0.23277839123417987</v>
      </c>
    </row>
    <row r="168" spans="1:5" s="421" customFormat="1" x14ac:dyDescent="0.2">
      <c r="A168" s="588"/>
      <c r="B168" s="592" t="s">
        <v>811</v>
      </c>
      <c r="C168" s="614">
        <f t="shared" si="18"/>
        <v>5.4616257947320621</v>
      </c>
      <c r="D168" s="614">
        <f t="shared" si="18"/>
        <v>5.5225375626043407</v>
      </c>
      <c r="E168" s="615">
        <f t="shared" si="19"/>
        <v>6.0911767872278588E-2</v>
      </c>
    </row>
    <row r="169" spans="1:5" s="421" customFormat="1" x14ac:dyDescent="0.2">
      <c r="A169" s="588"/>
      <c r="B169" s="592" t="s">
        <v>745</v>
      </c>
      <c r="C169" s="614">
        <f t="shared" si="18"/>
        <v>4.7874461206896548</v>
      </c>
      <c r="D169" s="614">
        <f t="shared" si="18"/>
        <v>4.930423654610359</v>
      </c>
      <c r="E169" s="615">
        <f t="shared" si="19"/>
        <v>0.14297753392070423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812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657</v>
      </c>
      <c r="C173" s="617">
        <f t="shared" ref="C173:D181" si="20">IF(C137=0,0,C203/C137)</f>
        <v>1.0919000000000001</v>
      </c>
      <c r="D173" s="617">
        <f t="shared" si="20"/>
        <v>1.1091599999999999</v>
      </c>
      <c r="E173" s="618">
        <f t="shared" ref="E173:E181" si="21">D173-C173</f>
        <v>1.7259999999999831E-2</v>
      </c>
    </row>
    <row r="174" spans="1:5" s="421" customFormat="1" x14ac:dyDescent="0.2">
      <c r="A174" s="588">
        <v>2</v>
      </c>
      <c r="B174" s="587" t="s">
        <v>636</v>
      </c>
      <c r="C174" s="617">
        <f t="shared" si="20"/>
        <v>1.5716900000000003</v>
      </c>
      <c r="D174" s="617">
        <f t="shared" si="20"/>
        <v>1.6163400000000001</v>
      </c>
      <c r="E174" s="618">
        <f t="shared" si="21"/>
        <v>4.4649999999999856E-2</v>
      </c>
    </row>
    <row r="175" spans="1:5" s="421" customFormat="1" x14ac:dyDescent="0.2">
      <c r="A175" s="588">
        <v>3</v>
      </c>
      <c r="B175" s="587" t="s">
        <v>778</v>
      </c>
      <c r="C175" s="617">
        <f t="shared" si="20"/>
        <v>1.0147115099797512</v>
      </c>
      <c r="D175" s="617">
        <f t="shared" si="20"/>
        <v>1.0222545192861254</v>
      </c>
      <c r="E175" s="618">
        <f t="shared" si="21"/>
        <v>7.5430093063741932E-3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1.01264</v>
      </c>
      <c r="D176" s="617">
        <f t="shared" si="20"/>
        <v>1.0188999999999999</v>
      </c>
      <c r="E176" s="618">
        <f t="shared" si="21"/>
        <v>6.2599999999999323E-3</v>
      </c>
    </row>
    <row r="177" spans="1:5" s="421" customFormat="1" x14ac:dyDescent="0.2">
      <c r="A177" s="588">
        <v>5</v>
      </c>
      <c r="B177" s="587" t="s">
        <v>744</v>
      </c>
      <c r="C177" s="617">
        <f t="shared" si="20"/>
        <v>1.1010500000000001</v>
      </c>
      <c r="D177" s="617">
        <f t="shared" si="20"/>
        <v>1.1645700000000001</v>
      </c>
      <c r="E177" s="618">
        <f t="shared" si="21"/>
        <v>6.3520000000000021E-2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2.1720700000000002</v>
      </c>
      <c r="D178" s="617">
        <f t="shared" si="20"/>
        <v>1.0184200000000001</v>
      </c>
      <c r="E178" s="618">
        <f t="shared" si="21"/>
        <v>-1.1536500000000001</v>
      </c>
    </row>
    <row r="179" spans="1:5" s="421" customFormat="1" x14ac:dyDescent="0.2">
      <c r="A179" s="588">
        <v>7</v>
      </c>
      <c r="B179" s="587" t="s">
        <v>759</v>
      </c>
      <c r="C179" s="617">
        <f t="shared" si="20"/>
        <v>1.1611800000000001</v>
      </c>
      <c r="D179" s="617">
        <f t="shared" si="20"/>
        <v>1.2165999999999999</v>
      </c>
      <c r="E179" s="618">
        <f t="shared" si="21"/>
        <v>5.5419999999999803E-2</v>
      </c>
    </row>
    <row r="180" spans="1:5" s="421" customFormat="1" x14ac:dyDescent="0.2">
      <c r="A180" s="588"/>
      <c r="B180" s="592" t="s">
        <v>813</v>
      </c>
      <c r="C180" s="619">
        <f t="shared" si="20"/>
        <v>1.3541072411444144</v>
      </c>
      <c r="D180" s="619">
        <f t="shared" si="20"/>
        <v>1.3853757885364497</v>
      </c>
      <c r="E180" s="620">
        <f t="shared" si="21"/>
        <v>3.1268547392035329E-2</v>
      </c>
    </row>
    <row r="181" spans="1:5" s="421" customFormat="1" x14ac:dyDescent="0.2">
      <c r="A181" s="588"/>
      <c r="B181" s="592" t="s">
        <v>724</v>
      </c>
      <c r="C181" s="619">
        <f t="shared" si="20"/>
        <v>1.2474442739762934</v>
      </c>
      <c r="D181" s="619">
        <f t="shared" si="20"/>
        <v>1.2763182717047215</v>
      </c>
      <c r="E181" s="620">
        <f t="shared" si="21"/>
        <v>2.8873997728428025E-2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814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ht="25.5" x14ac:dyDescent="0.2">
      <c r="A185" s="588">
        <v>1</v>
      </c>
      <c r="B185" s="587" t="s">
        <v>815</v>
      </c>
      <c r="C185" s="589">
        <v>714214340</v>
      </c>
      <c r="D185" s="589">
        <v>757932744</v>
      </c>
      <c r="E185" s="590">
        <f>D185-C185</f>
        <v>43718404</v>
      </c>
    </row>
    <row r="186" spans="1:5" s="421" customFormat="1" ht="25.5" x14ac:dyDescent="0.2">
      <c r="A186" s="588">
        <v>2</v>
      </c>
      <c r="B186" s="587" t="s">
        <v>816</v>
      </c>
      <c r="C186" s="589">
        <v>286317247</v>
      </c>
      <c r="D186" s="589">
        <v>317763478</v>
      </c>
      <c r="E186" s="590">
        <f>D186-C186</f>
        <v>31446231</v>
      </c>
    </row>
    <row r="187" spans="1:5" s="421" customFormat="1" x14ac:dyDescent="0.2">
      <c r="A187" s="588"/>
      <c r="B187" s="587" t="s">
        <v>669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748</v>
      </c>
      <c r="C188" s="622">
        <f>+C185-C186</f>
        <v>427897093</v>
      </c>
      <c r="D188" s="622">
        <f>+D185-D186</f>
        <v>440169266</v>
      </c>
      <c r="E188" s="590">
        <f t="shared" ref="E188:E197" si="22">D188-C188</f>
        <v>12272173</v>
      </c>
    </row>
    <row r="189" spans="1:5" s="421" customFormat="1" x14ac:dyDescent="0.2">
      <c r="A189" s="588">
        <v>4</v>
      </c>
      <c r="B189" s="587" t="s">
        <v>671</v>
      </c>
      <c r="C189" s="623">
        <f>IF(C185=0,0,+C188/C185)</f>
        <v>0.59911579624682421</v>
      </c>
      <c r="D189" s="623">
        <f>IF(D185=0,0,+D188/D185)</f>
        <v>0.58074976900588948</v>
      </c>
      <c r="E189" s="599">
        <f t="shared" si="22"/>
        <v>-1.8366027240934724E-2</v>
      </c>
    </row>
    <row r="190" spans="1:5" s="421" customFormat="1" x14ac:dyDescent="0.2">
      <c r="A190" s="588">
        <v>5</v>
      </c>
      <c r="B190" s="587" t="s">
        <v>763</v>
      </c>
      <c r="C190" s="589">
        <v>33807354</v>
      </c>
      <c r="D190" s="589">
        <v>33662529</v>
      </c>
      <c r="E190" s="622">
        <f t="shared" si="22"/>
        <v>-144825</v>
      </c>
    </row>
    <row r="191" spans="1:5" s="421" customFormat="1" x14ac:dyDescent="0.2">
      <c r="A191" s="588">
        <v>6</v>
      </c>
      <c r="B191" s="587" t="s">
        <v>749</v>
      </c>
      <c r="C191" s="589">
        <v>24985494</v>
      </c>
      <c r="D191" s="589">
        <v>25369317</v>
      </c>
      <c r="E191" s="622">
        <f t="shared" si="22"/>
        <v>383823</v>
      </c>
    </row>
    <row r="192" spans="1:5" ht="29.25" x14ac:dyDescent="0.2">
      <c r="A192" s="588">
        <v>7</v>
      </c>
      <c r="B192" s="624" t="s">
        <v>817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818</v>
      </c>
      <c r="C193" s="589">
        <v>30293193</v>
      </c>
      <c r="D193" s="589">
        <v>32247209</v>
      </c>
      <c r="E193" s="622">
        <f t="shared" si="22"/>
        <v>1954016</v>
      </c>
    </row>
    <row r="194" spans="1:5" s="421" customFormat="1" x14ac:dyDescent="0.2">
      <c r="A194" s="588">
        <v>9</v>
      </c>
      <c r="B194" s="587" t="s">
        <v>819</v>
      </c>
      <c r="C194" s="589">
        <v>40649514</v>
      </c>
      <c r="D194" s="589">
        <v>27957652</v>
      </c>
      <c r="E194" s="622">
        <f t="shared" si="22"/>
        <v>-12691862</v>
      </c>
    </row>
    <row r="195" spans="1:5" s="421" customFormat="1" x14ac:dyDescent="0.2">
      <c r="A195" s="588">
        <v>10</v>
      </c>
      <c r="B195" s="587" t="s">
        <v>820</v>
      </c>
      <c r="C195" s="589">
        <f>+C193+C194</f>
        <v>70942707</v>
      </c>
      <c r="D195" s="589">
        <f>+D193+D194</f>
        <v>60204861</v>
      </c>
      <c r="E195" s="625">
        <f t="shared" si="22"/>
        <v>-10737846</v>
      </c>
    </row>
    <row r="196" spans="1:5" s="421" customFormat="1" x14ac:dyDescent="0.2">
      <c r="A196" s="588">
        <v>11</v>
      </c>
      <c r="B196" s="587" t="s">
        <v>821</v>
      </c>
      <c r="C196" s="589">
        <v>21118033</v>
      </c>
      <c r="D196" s="589">
        <v>15601812</v>
      </c>
      <c r="E196" s="622">
        <f t="shared" si="22"/>
        <v>-5516221</v>
      </c>
    </row>
    <row r="197" spans="1:5" s="421" customFormat="1" x14ac:dyDescent="0.2">
      <c r="A197" s="588">
        <v>12</v>
      </c>
      <c r="B197" s="587" t="s">
        <v>711</v>
      </c>
      <c r="C197" s="589">
        <v>443491017</v>
      </c>
      <c r="D197" s="589">
        <v>447673528</v>
      </c>
      <c r="E197" s="622">
        <f t="shared" si="22"/>
        <v>4182511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822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823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657</v>
      </c>
      <c r="C203" s="629">
        <v>6595.0760000000009</v>
      </c>
      <c r="D203" s="629">
        <v>6501.8959199999999</v>
      </c>
      <c r="E203" s="630">
        <f t="shared" ref="E203:E211" si="23">D203-C203</f>
        <v>-93.180080000000999</v>
      </c>
    </row>
    <row r="204" spans="1:5" s="421" customFormat="1" x14ac:dyDescent="0.2">
      <c r="A204" s="588">
        <v>2</v>
      </c>
      <c r="B204" s="587" t="s">
        <v>636</v>
      </c>
      <c r="C204" s="629">
        <v>8386.5378400000009</v>
      </c>
      <c r="D204" s="629">
        <v>8876.9392800000005</v>
      </c>
      <c r="E204" s="630">
        <f t="shared" si="23"/>
        <v>490.40143999999964</v>
      </c>
    </row>
    <row r="205" spans="1:5" s="421" customFormat="1" x14ac:dyDescent="0.2">
      <c r="A205" s="588">
        <v>3</v>
      </c>
      <c r="B205" s="587" t="s">
        <v>778</v>
      </c>
      <c r="C205" s="629">
        <f>C206+C207</f>
        <v>3507.8576899999998</v>
      </c>
      <c r="D205" s="629">
        <f>D206+D207</f>
        <v>3551.3121999999994</v>
      </c>
      <c r="E205" s="630">
        <f t="shared" si="23"/>
        <v>43.454509999999573</v>
      </c>
    </row>
    <row r="206" spans="1:5" s="421" customFormat="1" x14ac:dyDescent="0.2">
      <c r="A206" s="588">
        <v>4</v>
      </c>
      <c r="B206" s="587" t="s">
        <v>115</v>
      </c>
      <c r="C206" s="629">
        <v>3418.6726399999998</v>
      </c>
      <c r="D206" s="629">
        <v>3458.1465999999996</v>
      </c>
      <c r="E206" s="630">
        <f t="shared" si="23"/>
        <v>39.473959999999806</v>
      </c>
    </row>
    <row r="207" spans="1:5" s="421" customFormat="1" x14ac:dyDescent="0.2">
      <c r="A207" s="588">
        <v>5</v>
      </c>
      <c r="B207" s="587" t="s">
        <v>744</v>
      </c>
      <c r="C207" s="629">
        <v>89.185050000000004</v>
      </c>
      <c r="D207" s="629">
        <v>93.165600000000012</v>
      </c>
      <c r="E207" s="630">
        <f t="shared" si="23"/>
        <v>3.980550000000008</v>
      </c>
    </row>
    <row r="208" spans="1:5" s="421" customFormat="1" x14ac:dyDescent="0.2">
      <c r="A208" s="588">
        <v>6</v>
      </c>
      <c r="B208" s="587" t="s">
        <v>424</v>
      </c>
      <c r="C208" s="629">
        <v>32.581050000000005</v>
      </c>
      <c r="D208" s="629">
        <v>19.349980000000002</v>
      </c>
      <c r="E208" s="630">
        <f t="shared" si="23"/>
        <v>-13.231070000000003</v>
      </c>
    </row>
    <row r="209" spans="1:5" s="421" customFormat="1" x14ac:dyDescent="0.2">
      <c r="A209" s="588">
        <v>7</v>
      </c>
      <c r="B209" s="587" t="s">
        <v>759</v>
      </c>
      <c r="C209" s="629">
        <v>424.99188000000004</v>
      </c>
      <c r="D209" s="629">
        <v>234.8038</v>
      </c>
      <c r="E209" s="630">
        <f t="shared" si="23"/>
        <v>-190.18808000000004</v>
      </c>
    </row>
    <row r="210" spans="1:5" s="421" customFormat="1" x14ac:dyDescent="0.2">
      <c r="A210" s="588"/>
      <c r="B210" s="592" t="s">
        <v>824</v>
      </c>
      <c r="C210" s="631">
        <f>C204+C205+C208</f>
        <v>11926.976580000002</v>
      </c>
      <c r="D210" s="631">
        <f>D204+D205+D208</f>
        <v>12447.60146</v>
      </c>
      <c r="E210" s="632">
        <f t="shared" si="23"/>
        <v>520.62487999999757</v>
      </c>
    </row>
    <row r="211" spans="1:5" s="421" customFormat="1" x14ac:dyDescent="0.2">
      <c r="A211" s="588"/>
      <c r="B211" s="592" t="s">
        <v>725</v>
      </c>
      <c r="C211" s="631">
        <f>C210+C203</f>
        <v>18522.052580000003</v>
      </c>
      <c r="D211" s="631">
        <f>D210+D203</f>
        <v>18949.497380000001</v>
      </c>
      <c r="E211" s="632">
        <f t="shared" si="23"/>
        <v>427.44479999999749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825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657</v>
      </c>
      <c r="C215" s="633">
        <f>IF(C14*C137=0,0,C25/C14*C137)</f>
        <v>17401.959784918472</v>
      </c>
      <c r="D215" s="633">
        <f>IF(D14*D137=0,0,D25/D14*D137)</f>
        <v>17344.497540321954</v>
      </c>
      <c r="E215" s="633">
        <f t="shared" ref="E215:E223" si="24">D215-C215</f>
        <v>-57.462244596517849</v>
      </c>
    </row>
    <row r="216" spans="1:5" s="421" customFormat="1" x14ac:dyDescent="0.2">
      <c r="A216" s="588">
        <v>2</v>
      </c>
      <c r="B216" s="587" t="s">
        <v>636</v>
      </c>
      <c r="C216" s="633">
        <f>IF(C15*C138=0,0,C26/C15*C138)</f>
        <v>6548.158330764516</v>
      </c>
      <c r="D216" s="633">
        <f>IF(D15*D138=0,0,D26/D15*D138)</f>
        <v>6655.8813928787349</v>
      </c>
      <c r="E216" s="633">
        <f t="shared" si="24"/>
        <v>107.72306211421892</v>
      </c>
    </row>
    <row r="217" spans="1:5" s="421" customFormat="1" x14ac:dyDescent="0.2">
      <c r="A217" s="588">
        <v>3</v>
      </c>
      <c r="B217" s="587" t="s">
        <v>778</v>
      </c>
      <c r="C217" s="633">
        <f>C218+C219</f>
        <v>4933.2823048587052</v>
      </c>
      <c r="D217" s="633">
        <f>D218+D219</f>
        <v>5551.6969159761538</v>
      </c>
      <c r="E217" s="633">
        <f t="shared" si="24"/>
        <v>618.41461111744866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4852.7033068462406</v>
      </c>
      <c r="D218" s="633">
        <f t="shared" si="25"/>
        <v>5480.3983976717764</v>
      </c>
      <c r="E218" s="633">
        <f t="shared" si="24"/>
        <v>627.69509082553577</v>
      </c>
    </row>
    <row r="219" spans="1:5" s="421" customFormat="1" x14ac:dyDescent="0.2">
      <c r="A219" s="588">
        <v>5</v>
      </c>
      <c r="B219" s="587" t="s">
        <v>744</v>
      </c>
      <c r="C219" s="633">
        <f t="shared" si="25"/>
        <v>80.578998012464169</v>
      </c>
      <c r="D219" s="633">
        <f t="shared" si="25"/>
        <v>71.298518304377879</v>
      </c>
      <c r="E219" s="633">
        <f t="shared" si="24"/>
        <v>-9.2804797080862897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21.272991629336786</v>
      </c>
      <c r="D220" s="633">
        <f t="shared" si="25"/>
        <v>24.576475627103406</v>
      </c>
      <c r="E220" s="633">
        <f t="shared" si="24"/>
        <v>3.3034839977666195</v>
      </c>
    </row>
    <row r="221" spans="1:5" s="421" customFormat="1" x14ac:dyDescent="0.2">
      <c r="A221" s="588">
        <v>7</v>
      </c>
      <c r="B221" s="587" t="s">
        <v>759</v>
      </c>
      <c r="C221" s="633">
        <f t="shared" si="25"/>
        <v>1181.3398990216622</v>
      </c>
      <c r="D221" s="633">
        <f t="shared" si="25"/>
        <v>1262.4925872548406</v>
      </c>
      <c r="E221" s="633">
        <f t="shared" si="24"/>
        <v>81.152688233178424</v>
      </c>
    </row>
    <row r="222" spans="1:5" s="421" customFormat="1" x14ac:dyDescent="0.2">
      <c r="A222" s="588"/>
      <c r="B222" s="592" t="s">
        <v>826</v>
      </c>
      <c r="C222" s="634">
        <f>C216+C218+C219+C220</f>
        <v>11502.713627252559</v>
      </c>
      <c r="D222" s="634">
        <f>D216+D218+D219+D220</f>
        <v>12232.154784481992</v>
      </c>
      <c r="E222" s="634">
        <f t="shared" si="24"/>
        <v>729.44115722943388</v>
      </c>
    </row>
    <row r="223" spans="1:5" s="421" customFormat="1" x14ac:dyDescent="0.2">
      <c r="A223" s="588"/>
      <c r="B223" s="592" t="s">
        <v>827</v>
      </c>
      <c r="C223" s="634">
        <f>C215+C222</f>
        <v>28904.673412171032</v>
      </c>
      <c r="D223" s="634">
        <f>D215+D222</f>
        <v>29576.652324803945</v>
      </c>
      <c r="E223" s="634">
        <f t="shared" si="24"/>
        <v>671.9789126329124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828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657</v>
      </c>
      <c r="C227" s="636">
        <f t="shared" ref="C227:D235" si="26">IF(C203=0,0,C47/C203)</f>
        <v>11994.366099799303</v>
      </c>
      <c r="D227" s="636">
        <f t="shared" si="26"/>
        <v>12748.177150150383</v>
      </c>
      <c r="E227" s="636">
        <f t="shared" ref="E227:E235" si="27">D227-C227</f>
        <v>753.81105035107976</v>
      </c>
    </row>
    <row r="228" spans="1:5" s="421" customFormat="1" x14ac:dyDescent="0.2">
      <c r="A228" s="588">
        <v>2</v>
      </c>
      <c r="B228" s="587" t="s">
        <v>636</v>
      </c>
      <c r="C228" s="636">
        <f t="shared" si="26"/>
        <v>8204.9235707019707</v>
      </c>
      <c r="D228" s="636">
        <f t="shared" si="26"/>
        <v>8827.7161224425981</v>
      </c>
      <c r="E228" s="636">
        <f t="shared" si="27"/>
        <v>622.79255174062746</v>
      </c>
    </row>
    <row r="229" spans="1:5" s="421" customFormat="1" x14ac:dyDescent="0.2">
      <c r="A229" s="588">
        <v>3</v>
      </c>
      <c r="B229" s="587" t="s">
        <v>778</v>
      </c>
      <c r="C229" s="636">
        <f t="shared" si="26"/>
        <v>4574.6527989851265</v>
      </c>
      <c r="D229" s="636">
        <f t="shared" si="26"/>
        <v>4215.2711890551336</v>
      </c>
      <c r="E229" s="636">
        <f t="shared" si="27"/>
        <v>-359.38160992999292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4597.8602385281329</v>
      </c>
      <c r="D230" s="636">
        <f t="shared" si="26"/>
        <v>4187.7813971218002</v>
      </c>
      <c r="E230" s="636">
        <f t="shared" si="27"/>
        <v>-410.07884140633269</v>
      </c>
    </row>
    <row r="231" spans="1:5" s="421" customFormat="1" x14ac:dyDescent="0.2">
      <c r="A231" s="588">
        <v>5</v>
      </c>
      <c r="B231" s="587" t="s">
        <v>744</v>
      </c>
      <c r="C231" s="636">
        <f t="shared" si="26"/>
        <v>3685.0570807551262</v>
      </c>
      <c r="D231" s="636">
        <f t="shared" si="26"/>
        <v>5235.6449161493074</v>
      </c>
      <c r="E231" s="636">
        <f t="shared" si="27"/>
        <v>1550.5878353941812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7055.0212470132165</v>
      </c>
      <c r="D232" s="636">
        <f t="shared" si="26"/>
        <v>6988.9994718340786</v>
      </c>
      <c r="E232" s="636">
        <f t="shared" si="27"/>
        <v>-66.021775179137876</v>
      </c>
    </row>
    <row r="233" spans="1:5" s="421" customFormat="1" x14ac:dyDescent="0.2">
      <c r="A233" s="588">
        <v>7</v>
      </c>
      <c r="B233" s="587" t="s">
        <v>759</v>
      </c>
      <c r="C233" s="636">
        <f t="shared" si="26"/>
        <v>270.68281869291241</v>
      </c>
      <c r="D233" s="636">
        <f t="shared" si="26"/>
        <v>746.78944718952596</v>
      </c>
      <c r="E233" s="636">
        <f t="shared" si="27"/>
        <v>476.10662849661355</v>
      </c>
    </row>
    <row r="234" spans="1:5" x14ac:dyDescent="0.2">
      <c r="A234" s="588"/>
      <c r="B234" s="592" t="s">
        <v>829</v>
      </c>
      <c r="C234" s="637">
        <f t="shared" si="26"/>
        <v>7134.0789871828511</v>
      </c>
      <c r="D234" s="637">
        <f t="shared" si="26"/>
        <v>7508.9230082082013</v>
      </c>
      <c r="E234" s="637">
        <f t="shared" si="27"/>
        <v>374.84402102535023</v>
      </c>
    </row>
    <row r="235" spans="1:5" s="421" customFormat="1" x14ac:dyDescent="0.2">
      <c r="A235" s="588"/>
      <c r="B235" s="592" t="s">
        <v>830</v>
      </c>
      <c r="C235" s="637">
        <f t="shared" si="26"/>
        <v>8864.6627197945236</v>
      </c>
      <c r="D235" s="637">
        <f t="shared" si="26"/>
        <v>9306.6005110052156</v>
      </c>
      <c r="E235" s="637">
        <f t="shared" si="27"/>
        <v>441.93779121069201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831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657</v>
      </c>
      <c r="C239" s="636">
        <f t="shared" ref="C239:D247" si="28">IF(C215=0,0,C58/C215)</f>
        <v>13665.092549293815</v>
      </c>
      <c r="D239" s="636">
        <f t="shared" si="28"/>
        <v>14323.642205399306</v>
      </c>
      <c r="E239" s="638">
        <f t="shared" ref="E239:E247" si="29">D239-C239</f>
        <v>658.54965610549152</v>
      </c>
    </row>
    <row r="240" spans="1:5" s="421" customFormat="1" x14ac:dyDescent="0.2">
      <c r="A240" s="588">
        <v>2</v>
      </c>
      <c r="B240" s="587" t="s">
        <v>636</v>
      </c>
      <c r="C240" s="636">
        <f t="shared" si="28"/>
        <v>7647.6148667213547</v>
      </c>
      <c r="D240" s="636">
        <f t="shared" si="28"/>
        <v>8075.1954290389858</v>
      </c>
      <c r="E240" s="638">
        <f t="shared" si="29"/>
        <v>427.58056231763112</v>
      </c>
    </row>
    <row r="241" spans="1:5" x14ac:dyDescent="0.2">
      <c r="A241" s="588">
        <v>3</v>
      </c>
      <c r="B241" s="587" t="s">
        <v>778</v>
      </c>
      <c r="C241" s="636">
        <f t="shared" si="28"/>
        <v>5079.8965985218965</v>
      </c>
      <c r="D241" s="636">
        <f t="shared" si="28"/>
        <v>4393.8625197285137</v>
      </c>
      <c r="E241" s="638">
        <f t="shared" si="29"/>
        <v>-686.03407879338283</v>
      </c>
    </row>
    <row r="242" spans="1:5" x14ac:dyDescent="0.2">
      <c r="A242" s="588">
        <v>4</v>
      </c>
      <c r="B242" s="587" t="s">
        <v>115</v>
      </c>
      <c r="C242" s="636">
        <f t="shared" si="28"/>
        <v>5145.3858645702594</v>
      </c>
      <c r="D242" s="636">
        <f t="shared" si="28"/>
        <v>4398.1401078870203</v>
      </c>
      <c r="E242" s="638">
        <f t="shared" si="29"/>
        <v>-747.24575668323905</v>
      </c>
    </row>
    <row r="243" spans="1:5" x14ac:dyDescent="0.2">
      <c r="A243" s="588">
        <v>5</v>
      </c>
      <c r="B243" s="587" t="s">
        <v>744</v>
      </c>
      <c r="C243" s="636">
        <f t="shared" si="28"/>
        <v>1135.9411541186134</v>
      </c>
      <c r="D243" s="636">
        <f t="shared" si="28"/>
        <v>4065.0634388036597</v>
      </c>
      <c r="E243" s="638">
        <f t="shared" si="29"/>
        <v>2929.122284685046</v>
      </c>
    </row>
    <row r="244" spans="1:5" x14ac:dyDescent="0.2">
      <c r="A244" s="588">
        <v>6</v>
      </c>
      <c r="B244" s="587" t="s">
        <v>424</v>
      </c>
      <c r="C244" s="636">
        <f t="shared" si="28"/>
        <v>8911.2525075491722</v>
      </c>
      <c r="D244" s="636">
        <f t="shared" si="28"/>
        <v>1809.4132240409092</v>
      </c>
      <c r="E244" s="638">
        <f t="shared" si="29"/>
        <v>-7101.8392835082632</v>
      </c>
    </row>
    <row r="245" spans="1:5" x14ac:dyDescent="0.2">
      <c r="A245" s="588">
        <v>7</v>
      </c>
      <c r="B245" s="587" t="s">
        <v>759</v>
      </c>
      <c r="C245" s="636">
        <f t="shared" si="28"/>
        <v>1302.4583367363145</v>
      </c>
      <c r="D245" s="636">
        <f t="shared" si="28"/>
        <v>1362.5228515126116</v>
      </c>
      <c r="E245" s="638">
        <f t="shared" si="29"/>
        <v>60.064514776297074</v>
      </c>
    </row>
    <row r="246" spans="1:5" ht="25.5" x14ac:dyDescent="0.2">
      <c r="A246" s="588"/>
      <c r="B246" s="592" t="s">
        <v>832</v>
      </c>
      <c r="C246" s="637">
        <f t="shared" si="28"/>
        <v>6548.7091516849487</v>
      </c>
      <c r="D246" s="637">
        <f t="shared" si="28"/>
        <v>6391.7933003257849</v>
      </c>
      <c r="E246" s="639">
        <f t="shared" si="29"/>
        <v>-156.91585135916375</v>
      </c>
    </row>
    <row r="247" spans="1:5" x14ac:dyDescent="0.2">
      <c r="A247" s="588"/>
      <c r="B247" s="592" t="s">
        <v>833</v>
      </c>
      <c r="C247" s="637">
        <f t="shared" si="28"/>
        <v>10833.103440917965</v>
      </c>
      <c r="D247" s="637">
        <f t="shared" si="28"/>
        <v>11043.230261934828</v>
      </c>
      <c r="E247" s="639">
        <f t="shared" si="29"/>
        <v>210.12682101686369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761</v>
      </c>
      <c r="B249" s="626" t="s">
        <v>758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12142574.95322519</v>
      </c>
      <c r="D251" s="622">
        <f>((IF((IF(D15=0,0,D26/D15)*D138)=0,0,D59/(IF(D15=0,0,D26/D15)*D138)))-(IF((IF(D17=0,0,D28/D17)*D140)=0,0,D61/(IF(D17=0,0,D28/D17)*D140))))*(IF(D17=0,0,D28/D17)*D140)</f>
        <v>20151728.090191711</v>
      </c>
      <c r="E251" s="622">
        <f>D251-C251</f>
        <v>8009153.1369665209</v>
      </c>
    </row>
    <row r="252" spans="1:5" x14ac:dyDescent="0.2">
      <c r="A252" s="588">
        <v>2</v>
      </c>
      <c r="B252" s="587" t="s">
        <v>744</v>
      </c>
      <c r="C252" s="622">
        <f>IF(C231=0,0,(C228-C231)*C207)+IF(C243=0,0,(C240-C243)*C219)</f>
        <v>927808.6620448652</v>
      </c>
      <c r="D252" s="622">
        <f>IF(D231=0,0,(D228-D231)*D207)+IF(D243=0,0,(D240-D243)*D219)</f>
        <v>620573.93828580296</v>
      </c>
      <c r="E252" s="622">
        <f>D252-C252</f>
        <v>-307234.72375906224</v>
      </c>
    </row>
    <row r="253" spans="1:5" x14ac:dyDescent="0.2">
      <c r="A253" s="588">
        <v>3</v>
      </c>
      <c r="B253" s="587" t="s">
        <v>759</v>
      </c>
      <c r="C253" s="622">
        <f>IF(C233=0,0,(C228-C233)*C209+IF(C221=0,0,(C240-C245)*C221))</f>
        <v>10867774.467978111</v>
      </c>
      <c r="D253" s="622">
        <f>IF(D233=0,0,(D228-D233)*D209+IF(D221=0,0,(D240-D245)*D221))</f>
        <v>10372131.660666678</v>
      </c>
      <c r="E253" s="622">
        <f>D253-C253</f>
        <v>-495642.80731143244</v>
      </c>
    </row>
    <row r="254" spans="1:5" ht="15" customHeight="1" x14ac:dyDescent="0.2">
      <c r="A254" s="588"/>
      <c r="B254" s="592" t="s">
        <v>760</v>
      </c>
      <c r="C254" s="640">
        <f>+C251+C252+C253</f>
        <v>23938158.083248168</v>
      </c>
      <c r="D254" s="640">
        <f>+D251+D252+D253</f>
        <v>31144433.68914419</v>
      </c>
      <c r="E254" s="640">
        <f>D254-C254</f>
        <v>7206275.6058960222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834</v>
      </c>
      <c r="B256" s="626" t="s">
        <v>835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726</v>
      </c>
      <c r="C258" s="622">
        <f>+C44</f>
        <v>1779032454</v>
      </c>
      <c r="D258" s="625">
        <f>+D44</f>
        <v>1872448686</v>
      </c>
      <c r="E258" s="622">
        <f t="shared" ref="E258:E271" si="30">D258-C258</f>
        <v>93416232</v>
      </c>
    </row>
    <row r="259" spans="1:5" x14ac:dyDescent="0.2">
      <c r="A259" s="588">
        <v>2</v>
      </c>
      <c r="B259" s="587" t="s">
        <v>743</v>
      </c>
      <c r="C259" s="622">
        <f>+(C43-C76)</f>
        <v>780702797</v>
      </c>
      <c r="D259" s="625">
        <f>+(D43-D76)</f>
        <v>847214045</v>
      </c>
      <c r="E259" s="622">
        <f t="shared" si="30"/>
        <v>66511248</v>
      </c>
    </row>
    <row r="260" spans="1:5" x14ac:dyDescent="0.2">
      <c r="A260" s="588">
        <v>3</v>
      </c>
      <c r="B260" s="587" t="s">
        <v>747</v>
      </c>
      <c r="C260" s="622">
        <f>C195</f>
        <v>70942707</v>
      </c>
      <c r="D260" s="622">
        <f>D195</f>
        <v>60204861</v>
      </c>
      <c r="E260" s="622">
        <f t="shared" si="30"/>
        <v>-10737846</v>
      </c>
    </row>
    <row r="261" spans="1:5" x14ac:dyDescent="0.2">
      <c r="A261" s="588">
        <v>4</v>
      </c>
      <c r="B261" s="587" t="s">
        <v>748</v>
      </c>
      <c r="C261" s="622">
        <f>C188</f>
        <v>427897093</v>
      </c>
      <c r="D261" s="622">
        <f>D188</f>
        <v>440169266</v>
      </c>
      <c r="E261" s="622">
        <f t="shared" si="30"/>
        <v>12272173</v>
      </c>
    </row>
    <row r="262" spans="1:5" x14ac:dyDescent="0.2">
      <c r="A262" s="588">
        <v>5</v>
      </c>
      <c r="B262" s="587" t="s">
        <v>749</v>
      </c>
      <c r="C262" s="622">
        <f>C191</f>
        <v>24985494</v>
      </c>
      <c r="D262" s="622">
        <f>D191</f>
        <v>25369317</v>
      </c>
      <c r="E262" s="622">
        <f t="shared" si="30"/>
        <v>383823</v>
      </c>
    </row>
    <row r="263" spans="1:5" x14ac:dyDescent="0.2">
      <c r="A263" s="588">
        <v>6</v>
      </c>
      <c r="B263" s="587" t="s">
        <v>750</v>
      </c>
      <c r="C263" s="622">
        <f>+C259+C260+C261+C262</f>
        <v>1304528091</v>
      </c>
      <c r="D263" s="622">
        <f>+D259+D260+D261+D262</f>
        <v>1372957489</v>
      </c>
      <c r="E263" s="622">
        <f t="shared" si="30"/>
        <v>68429398</v>
      </c>
    </row>
    <row r="264" spans="1:5" x14ac:dyDescent="0.2">
      <c r="A264" s="588">
        <v>7</v>
      </c>
      <c r="B264" s="587" t="s">
        <v>655</v>
      </c>
      <c r="C264" s="622">
        <f>+C258-C263</f>
        <v>474504363</v>
      </c>
      <c r="D264" s="622">
        <f>+D258-D263</f>
        <v>499491197</v>
      </c>
      <c r="E264" s="622">
        <f t="shared" si="30"/>
        <v>24986834</v>
      </c>
    </row>
    <row r="265" spans="1:5" x14ac:dyDescent="0.2">
      <c r="A265" s="588">
        <v>8</v>
      </c>
      <c r="B265" s="587" t="s">
        <v>836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837</v>
      </c>
      <c r="C266" s="622">
        <f>+C264+C265</f>
        <v>474504363</v>
      </c>
      <c r="D266" s="622">
        <f>+D264+D265</f>
        <v>499491197</v>
      </c>
      <c r="E266" s="641">
        <f t="shared" si="30"/>
        <v>24986834</v>
      </c>
    </row>
    <row r="267" spans="1:5" x14ac:dyDescent="0.2">
      <c r="A267" s="588">
        <v>10</v>
      </c>
      <c r="B267" s="587" t="s">
        <v>838</v>
      </c>
      <c r="C267" s="642">
        <f>IF(C258=0,0,C266/C258)</f>
        <v>0.26672046478585487</v>
      </c>
      <c r="D267" s="642">
        <f>IF(D258=0,0,D266/D258)</f>
        <v>0.26675828327612711</v>
      </c>
      <c r="E267" s="643">
        <f t="shared" si="30"/>
        <v>3.7818490272234495E-5</v>
      </c>
    </row>
    <row r="268" spans="1:5" x14ac:dyDescent="0.2">
      <c r="A268" s="588">
        <v>11</v>
      </c>
      <c r="B268" s="587" t="s">
        <v>717</v>
      </c>
      <c r="C268" s="622">
        <f>+C260*C267</f>
        <v>18921871.784206718</v>
      </c>
      <c r="D268" s="644">
        <f>+D260*D267</f>
        <v>16060145.365237856</v>
      </c>
      <c r="E268" s="622">
        <f t="shared" si="30"/>
        <v>-2861726.4189688619</v>
      </c>
    </row>
    <row r="269" spans="1:5" x14ac:dyDescent="0.2">
      <c r="A269" s="588">
        <v>12</v>
      </c>
      <c r="B269" s="587" t="s">
        <v>839</v>
      </c>
      <c r="C269" s="622">
        <f>((C17+C18+C28+C29)*C267)-(C50+C51+C61+C62)</f>
        <v>32168235.873994291</v>
      </c>
      <c r="D269" s="644">
        <f>((D17+D18+D28+D29)*D267)-(D50+D51+D61+D62)</f>
        <v>40020304.923259512</v>
      </c>
      <c r="E269" s="622">
        <f t="shared" si="30"/>
        <v>7852069.0492652208</v>
      </c>
    </row>
    <row r="270" spans="1:5" s="648" customFormat="1" x14ac:dyDescent="0.2">
      <c r="A270" s="645">
        <v>13</v>
      </c>
      <c r="B270" s="646" t="s">
        <v>840</v>
      </c>
      <c r="C270" s="647">
        <v>0</v>
      </c>
      <c r="D270" s="647">
        <v>0</v>
      </c>
      <c r="E270" s="622">
        <f t="shared" si="30"/>
        <v>0</v>
      </c>
    </row>
    <row r="271" spans="1:5" ht="25.5" x14ac:dyDescent="0.2">
      <c r="A271" s="588">
        <v>14</v>
      </c>
      <c r="B271" s="587" t="s">
        <v>841</v>
      </c>
      <c r="C271" s="622">
        <f>+C268+C269+C270</f>
        <v>51090107.658201009</v>
      </c>
      <c r="D271" s="622">
        <f>+D268+D269+D270</f>
        <v>56080450.288497366</v>
      </c>
      <c r="E271" s="625">
        <f t="shared" si="30"/>
        <v>4990342.630296357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842</v>
      </c>
      <c r="B273" s="626" t="s">
        <v>843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844</v>
      </c>
      <c r="C275" s="425"/>
      <c r="D275" s="425"/>
      <c r="E275" s="596"/>
    </row>
    <row r="276" spans="1:5" x14ac:dyDescent="0.2">
      <c r="A276" s="588">
        <v>1</v>
      </c>
      <c r="B276" s="587" t="s">
        <v>657</v>
      </c>
      <c r="C276" s="623">
        <f t="shared" ref="C276:D284" si="31">IF(C14=0,0,+C47/C14)</f>
        <v>0.36639941545624927</v>
      </c>
      <c r="D276" s="623">
        <f t="shared" si="31"/>
        <v>0.38442096956578703</v>
      </c>
      <c r="E276" s="650">
        <f t="shared" ref="E276:E284" si="32">D276-C276</f>
        <v>1.8021554109537763E-2</v>
      </c>
    </row>
    <row r="277" spans="1:5" x14ac:dyDescent="0.2">
      <c r="A277" s="588">
        <v>2</v>
      </c>
      <c r="B277" s="587" t="s">
        <v>636</v>
      </c>
      <c r="C277" s="623">
        <f t="shared" si="31"/>
        <v>0.23057999696057929</v>
      </c>
      <c r="D277" s="623">
        <f t="shared" si="31"/>
        <v>0.24085264561554387</v>
      </c>
      <c r="E277" s="650">
        <f t="shared" si="32"/>
        <v>1.0272648654964578E-2</v>
      </c>
    </row>
    <row r="278" spans="1:5" x14ac:dyDescent="0.2">
      <c r="A278" s="588">
        <v>3</v>
      </c>
      <c r="B278" s="587" t="s">
        <v>778</v>
      </c>
      <c r="C278" s="623">
        <f t="shared" si="31"/>
        <v>0.14162988934917081</v>
      </c>
      <c r="D278" s="623">
        <f t="shared" si="31"/>
        <v>0.13045077220422091</v>
      </c>
      <c r="E278" s="650">
        <f t="shared" si="32"/>
        <v>-1.1179117144949902E-2</v>
      </c>
    </row>
    <row r="279" spans="1:5" x14ac:dyDescent="0.2">
      <c r="A279" s="588">
        <v>4</v>
      </c>
      <c r="B279" s="587" t="s">
        <v>115</v>
      </c>
      <c r="C279" s="623">
        <f t="shared" si="31"/>
        <v>0.1428270613091609</v>
      </c>
      <c r="D279" s="623">
        <f t="shared" si="31"/>
        <v>0.13006185857734029</v>
      </c>
      <c r="E279" s="650">
        <f t="shared" si="32"/>
        <v>-1.2765202731820607E-2</v>
      </c>
    </row>
    <row r="280" spans="1:5" x14ac:dyDescent="0.2">
      <c r="A280" s="588">
        <v>5</v>
      </c>
      <c r="B280" s="587" t="s">
        <v>744</v>
      </c>
      <c r="C280" s="623">
        <f t="shared" si="31"/>
        <v>0.10110008155018567</v>
      </c>
      <c r="D280" s="623">
        <f t="shared" si="31"/>
        <v>0.14316023649605472</v>
      </c>
      <c r="E280" s="650">
        <f t="shared" si="32"/>
        <v>4.2060154945869052E-2</v>
      </c>
    </row>
    <row r="281" spans="1:5" x14ac:dyDescent="0.2">
      <c r="A281" s="588">
        <v>6</v>
      </c>
      <c r="B281" s="587" t="s">
        <v>424</v>
      </c>
      <c r="C281" s="623">
        <f t="shared" si="31"/>
        <v>0.31829291089986361</v>
      </c>
      <c r="D281" s="623">
        <f t="shared" si="31"/>
        <v>0.19179642238695688</v>
      </c>
      <c r="E281" s="650">
        <f t="shared" si="32"/>
        <v>-0.12649648851290674</v>
      </c>
    </row>
    <row r="282" spans="1:5" x14ac:dyDescent="0.2">
      <c r="A282" s="588">
        <v>7</v>
      </c>
      <c r="B282" s="587" t="s">
        <v>759</v>
      </c>
      <c r="C282" s="623">
        <f t="shared" si="31"/>
        <v>7.234894128715935E-3</v>
      </c>
      <c r="D282" s="623">
        <f t="shared" si="31"/>
        <v>2.1334889099920488E-2</v>
      </c>
      <c r="E282" s="650">
        <f t="shared" si="32"/>
        <v>1.4099994971204552E-2</v>
      </c>
    </row>
    <row r="283" spans="1:5" ht="29.25" customHeight="1" x14ac:dyDescent="0.2">
      <c r="A283" s="588"/>
      <c r="B283" s="592" t="s">
        <v>845</v>
      </c>
      <c r="C283" s="651">
        <f t="shared" si="31"/>
        <v>0.20629820859953407</v>
      </c>
      <c r="D283" s="651">
        <f t="shared" si="31"/>
        <v>0.21203418111989517</v>
      </c>
      <c r="E283" s="652">
        <f t="shared" si="32"/>
        <v>5.7359725203610934E-3</v>
      </c>
    </row>
    <row r="284" spans="1:5" x14ac:dyDescent="0.2">
      <c r="A284" s="588"/>
      <c r="B284" s="592" t="s">
        <v>846</v>
      </c>
      <c r="C284" s="651">
        <f t="shared" si="31"/>
        <v>0.261307730055372</v>
      </c>
      <c r="D284" s="651">
        <f t="shared" si="31"/>
        <v>0.2686574822949136</v>
      </c>
      <c r="E284" s="652">
        <f t="shared" si="32"/>
        <v>7.349752239541596E-3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847</v>
      </c>
      <c r="C286" s="596"/>
      <c r="D286" s="596"/>
      <c r="E286" s="596"/>
    </row>
    <row r="287" spans="1:5" x14ac:dyDescent="0.2">
      <c r="A287" s="588">
        <v>1</v>
      </c>
      <c r="B287" s="587" t="s">
        <v>657</v>
      </c>
      <c r="C287" s="623">
        <f t="shared" ref="C287:D295" si="33">IF(C25=0,0,+C58/C25)</f>
        <v>0.38230253959356214</v>
      </c>
      <c r="D287" s="623">
        <f t="shared" si="33"/>
        <v>0.3894199932378436</v>
      </c>
      <c r="E287" s="650">
        <f t="shared" ref="E287:E295" si="34">D287-C287</f>
        <v>7.1174536442814573E-3</v>
      </c>
    </row>
    <row r="288" spans="1:5" x14ac:dyDescent="0.2">
      <c r="A288" s="588">
        <v>2</v>
      </c>
      <c r="B288" s="587" t="s">
        <v>636</v>
      </c>
      <c r="C288" s="623">
        <f t="shared" si="33"/>
        <v>0.13674334773139316</v>
      </c>
      <c r="D288" s="623">
        <f t="shared" si="33"/>
        <v>0.13630863950944583</v>
      </c>
      <c r="E288" s="650">
        <f t="shared" si="34"/>
        <v>-4.347082219473275E-4</v>
      </c>
    </row>
    <row r="289" spans="1:5" x14ac:dyDescent="0.2">
      <c r="A289" s="588">
        <v>3</v>
      </c>
      <c r="B289" s="587" t="s">
        <v>778</v>
      </c>
      <c r="C289" s="623">
        <f t="shared" si="33"/>
        <v>0.15524518849089122</v>
      </c>
      <c r="D289" s="623">
        <f t="shared" si="33"/>
        <v>0.13341993356097365</v>
      </c>
      <c r="E289" s="650">
        <f t="shared" si="34"/>
        <v>-2.1825254929917576E-2</v>
      </c>
    </row>
    <row r="290" spans="1:5" x14ac:dyDescent="0.2">
      <c r="A290" s="588">
        <v>4</v>
      </c>
      <c r="B290" s="587" t="s">
        <v>115</v>
      </c>
      <c r="C290" s="623">
        <f t="shared" si="33"/>
        <v>0.1578401938072129</v>
      </c>
      <c r="D290" s="623">
        <f t="shared" si="33"/>
        <v>0.13406130738168137</v>
      </c>
      <c r="E290" s="650">
        <f t="shared" si="34"/>
        <v>-2.3778886425531526E-2</v>
      </c>
    </row>
    <row r="291" spans="1:5" x14ac:dyDescent="0.2">
      <c r="A291" s="588">
        <v>5</v>
      </c>
      <c r="B291" s="587" t="s">
        <v>744</v>
      </c>
      <c r="C291" s="623">
        <f t="shared" si="33"/>
        <v>2.8304538565795768E-2</v>
      </c>
      <c r="D291" s="623">
        <f t="shared" si="33"/>
        <v>9.5445169074807587E-2</v>
      </c>
      <c r="E291" s="650">
        <f t="shared" si="34"/>
        <v>6.7140630509011812E-2</v>
      </c>
    </row>
    <row r="292" spans="1:5" x14ac:dyDescent="0.2">
      <c r="A292" s="588">
        <v>6</v>
      </c>
      <c r="B292" s="587" t="s">
        <v>424</v>
      </c>
      <c r="C292" s="623">
        <f t="shared" si="33"/>
        <v>0.18509452495376763</v>
      </c>
      <c r="D292" s="623">
        <f t="shared" si="33"/>
        <v>4.8756928036138174E-2</v>
      </c>
      <c r="E292" s="650">
        <f t="shared" si="34"/>
        <v>-0.13633759691762945</v>
      </c>
    </row>
    <row r="293" spans="1:5" x14ac:dyDescent="0.2">
      <c r="A293" s="588">
        <v>7</v>
      </c>
      <c r="B293" s="587" t="s">
        <v>759</v>
      </c>
      <c r="C293" s="623">
        <f t="shared" si="33"/>
        <v>2.9980286787377651E-2</v>
      </c>
      <c r="D293" s="623">
        <f t="shared" si="33"/>
        <v>3.1995448329296988E-2</v>
      </c>
      <c r="E293" s="650">
        <f t="shared" si="34"/>
        <v>2.0151615419193372E-3</v>
      </c>
    </row>
    <row r="294" spans="1:5" ht="29.25" customHeight="1" x14ac:dyDescent="0.2">
      <c r="A294" s="588"/>
      <c r="B294" s="592" t="s">
        <v>848</v>
      </c>
      <c r="C294" s="651">
        <f t="shared" si="33"/>
        <v>0.1424864546704297</v>
      </c>
      <c r="D294" s="651">
        <f t="shared" si="33"/>
        <v>0.13525683173208308</v>
      </c>
      <c r="E294" s="652">
        <f t="shared" si="34"/>
        <v>-7.2296229383466137E-3</v>
      </c>
    </row>
    <row r="295" spans="1:5" x14ac:dyDescent="0.2">
      <c r="A295" s="588"/>
      <c r="B295" s="592" t="s">
        <v>849</v>
      </c>
      <c r="C295" s="651">
        <f t="shared" si="33"/>
        <v>0.27212226350445134</v>
      </c>
      <c r="D295" s="651">
        <f t="shared" si="33"/>
        <v>0.26859978101893628</v>
      </c>
      <c r="E295" s="652">
        <f t="shared" si="34"/>
        <v>-3.522482485515066E-3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850</v>
      </c>
      <c r="B297" s="579" t="s">
        <v>851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852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655</v>
      </c>
      <c r="C301" s="590">
        <f>+C48+C47+C50+C51+C52+C59+C58+C61+C62+C63</f>
        <v>477319066</v>
      </c>
      <c r="D301" s="590">
        <f>+D48+D47+D50+D51+D52+D59+D58+D61+D62+D63</f>
        <v>502977184</v>
      </c>
      <c r="E301" s="590">
        <f>D301-C301</f>
        <v>25658118</v>
      </c>
    </row>
    <row r="302" spans="1:5" ht="25.5" x14ac:dyDescent="0.2">
      <c r="A302" s="588">
        <v>2</v>
      </c>
      <c r="B302" s="587" t="s">
        <v>853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854</v>
      </c>
      <c r="C303" s="593">
        <f>+C301+C302</f>
        <v>477319066</v>
      </c>
      <c r="D303" s="593">
        <f>+D301+D302</f>
        <v>502977184</v>
      </c>
      <c r="E303" s="593">
        <f>D303-C303</f>
        <v>25658118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855</v>
      </c>
      <c r="C305" s="589">
        <v>-19512086</v>
      </c>
      <c r="D305" s="654">
        <v>-26565184</v>
      </c>
      <c r="E305" s="655">
        <f>D305-C305</f>
        <v>-7053098</v>
      </c>
    </row>
    <row r="306" spans="1:5" x14ac:dyDescent="0.2">
      <c r="A306" s="588">
        <v>4</v>
      </c>
      <c r="B306" s="592" t="s">
        <v>856</v>
      </c>
      <c r="C306" s="593">
        <f>+C303+C305+C194+C190-C191</f>
        <v>507278354</v>
      </c>
      <c r="D306" s="593">
        <f>+D303+D305</f>
        <v>476412000</v>
      </c>
      <c r="E306" s="656">
        <f>D306-C306</f>
        <v>-30866354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857</v>
      </c>
      <c r="C308" s="589">
        <v>457807000</v>
      </c>
      <c r="D308" s="589">
        <v>476412000</v>
      </c>
      <c r="E308" s="590">
        <f>D308-C308</f>
        <v>18605000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858</v>
      </c>
      <c r="C310" s="657">
        <f>C306-C308</f>
        <v>49471354</v>
      </c>
      <c r="D310" s="658">
        <f>D306-D308</f>
        <v>0</v>
      </c>
      <c r="E310" s="656">
        <f>D310-C310</f>
        <v>-49471354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859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860</v>
      </c>
      <c r="C314" s="590">
        <f>+C14+C15+C16+C19+C25+C26+C27+C30</f>
        <v>1779032454</v>
      </c>
      <c r="D314" s="590">
        <f>+D14+D15+D16+D19+D25+D26+D27+D30</f>
        <v>1872448686</v>
      </c>
      <c r="E314" s="590">
        <f>D314-C314</f>
        <v>93416232</v>
      </c>
    </row>
    <row r="315" spans="1:5" x14ac:dyDescent="0.2">
      <c r="A315" s="588">
        <v>2</v>
      </c>
      <c r="B315" s="659" t="s">
        <v>861</v>
      </c>
      <c r="C315" s="589">
        <v>546</v>
      </c>
      <c r="D315" s="589">
        <v>-686</v>
      </c>
      <c r="E315" s="590">
        <f>D315-C315</f>
        <v>-1232</v>
      </c>
    </row>
    <row r="316" spans="1:5" x14ac:dyDescent="0.2">
      <c r="A316" s="588"/>
      <c r="B316" s="592" t="s">
        <v>862</v>
      </c>
      <c r="C316" s="657">
        <f>C314+C315</f>
        <v>1779033000</v>
      </c>
      <c r="D316" s="657">
        <f>D314+D315</f>
        <v>1872448000</v>
      </c>
      <c r="E316" s="593">
        <f>D316-C316</f>
        <v>93415000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863</v>
      </c>
      <c r="C318" s="589">
        <v>1779033000</v>
      </c>
      <c r="D318" s="589">
        <v>1872448000</v>
      </c>
      <c r="E318" s="590">
        <f>D318-C318</f>
        <v>93415000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858</v>
      </c>
      <c r="C320" s="657">
        <f>C316-C318</f>
        <v>0</v>
      </c>
      <c r="D320" s="657">
        <f>D316-D318</f>
        <v>0</v>
      </c>
      <c r="E320" s="593">
        <f>D320-C320</f>
        <v>0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864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865</v>
      </c>
      <c r="C324" s="589">
        <f>+C193+C194</f>
        <v>70942707</v>
      </c>
      <c r="D324" s="589">
        <f>+D193+D194</f>
        <v>60204861</v>
      </c>
      <c r="E324" s="590">
        <f>D324-C324</f>
        <v>-10737846</v>
      </c>
    </row>
    <row r="325" spans="1:5" x14ac:dyDescent="0.2">
      <c r="A325" s="588">
        <v>2</v>
      </c>
      <c r="B325" s="587" t="s">
        <v>866</v>
      </c>
      <c r="C325" s="589">
        <v>0</v>
      </c>
      <c r="D325" s="589">
        <v>139</v>
      </c>
      <c r="E325" s="590">
        <f>D325-C325</f>
        <v>139</v>
      </c>
    </row>
    <row r="326" spans="1:5" x14ac:dyDescent="0.2">
      <c r="A326" s="588"/>
      <c r="B326" s="592" t="s">
        <v>867</v>
      </c>
      <c r="C326" s="657">
        <f>C324+C325</f>
        <v>70942707</v>
      </c>
      <c r="D326" s="657">
        <f>D324+D325</f>
        <v>60205000</v>
      </c>
      <c r="E326" s="593">
        <f>D326-C326</f>
        <v>-10737707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868</v>
      </c>
      <c r="C328" s="589">
        <v>70943000</v>
      </c>
      <c r="D328" s="589">
        <v>60205000</v>
      </c>
      <c r="E328" s="590">
        <f>D328-C328</f>
        <v>-10738000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869</v>
      </c>
      <c r="C330" s="657">
        <f>C326-C328</f>
        <v>-293</v>
      </c>
      <c r="D330" s="657">
        <f>D326-D328</f>
        <v>0</v>
      </c>
      <c r="E330" s="593">
        <f>D330-C330</f>
        <v>293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69" fitToHeight="0" orientation="portrait" horizontalDpi="1200" verticalDpi="1200" r:id="rId1"/>
  <headerFooter>
    <oddHeader>_x000D_
                &amp;LOFFICE OF HEALTH CARE ACCESS&amp;CTWELVE MONTHS ACTUAL FILING&amp;RSTAMFORD HOSPITAL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143"/>
  <sheetViews>
    <sheetView zoomScaleSheetLayoutView="75" workbookViewId="0"/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630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870</v>
      </c>
      <c r="B5" s="824"/>
      <c r="C5" s="825"/>
      <c r="D5" s="661"/>
    </row>
    <row r="6" spans="1:58" s="662" customFormat="1" ht="15.75" customHeight="1" x14ac:dyDescent="0.25">
      <c r="A6" s="823" t="s">
        <v>871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872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873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777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657</v>
      </c>
      <c r="C14" s="589">
        <v>215616024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636</v>
      </c>
      <c r="C15" s="591">
        <v>325357024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778</v>
      </c>
      <c r="C16" s="591">
        <v>114753970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111346725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744</v>
      </c>
      <c r="C18" s="591">
        <v>3407245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705107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759</v>
      </c>
      <c r="C20" s="591">
        <v>8218885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779</v>
      </c>
      <c r="C21" s="593">
        <f>SUM(C15+C16+C19)</f>
        <v>440816101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656432125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780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657</v>
      </c>
      <c r="C25" s="589">
        <v>637965131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636</v>
      </c>
      <c r="C26" s="591">
        <v>394307677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778</v>
      </c>
      <c r="C27" s="591">
        <v>182831698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179795054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744</v>
      </c>
      <c r="C29" s="591">
        <v>3036644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912055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759</v>
      </c>
      <c r="C31" s="594">
        <v>53763116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781</v>
      </c>
      <c r="C32" s="593">
        <f>SUM(C26+C27+C30)</f>
        <v>578051430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1216016561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654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874</v>
      </c>
      <c r="C36" s="590">
        <f>SUM(C14+C25)</f>
        <v>853581155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875</v>
      </c>
      <c r="C37" s="594">
        <f>SUM(C21+C32)</f>
        <v>1018867531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654</v>
      </c>
      <c r="C38" s="593">
        <f>SUM(+C36+C37)</f>
        <v>1872448686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790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657</v>
      </c>
      <c r="C41" s="589">
        <v>82887321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636</v>
      </c>
      <c r="C42" s="591">
        <v>78363100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778</v>
      </c>
      <c r="C43" s="591">
        <v>14969744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14481962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744</v>
      </c>
      <c r="C45" s="591">
        <v>487782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135237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759</v>
      </c>
      <c r="C47" s="591">
        <v>175349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791</v>
      </c>
      <c r="C48" s="593">
        <f>SUM(C42+C43+C46)</f>
        <v>93468081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176355402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792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657</v>
      </c>
      <c r="C52" s="589">
        <v>248436377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636</v>
      </c>
      <c r="C53" s="591">
        <v>53747543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778</v>
      </c>
      <c r="C54" s="591">
        <v>24393393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24103560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744</v>
      </c>
      <c r="C56" s="591">
        <v>289833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44469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759</v>
      </c>
      <c r="C58" s="591">
        <v>1720175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793</v>
      </c>
      <c r="C59" s="593">
        <f>SUM(C53+C54+C57)</f>
        <v>78185405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326621782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655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876</v>
      </c>
      <c r="C63" s="590">
        <f>SUM(C41+C52)</f>
        <v>331323698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877</v>
      </c>
      <c r="C64" s="594">
        <f>SUM(C48+C59)</f>
        <v>171653486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655</v>
      </c>
      <c r="C65" s="593">
        <f>SUM(+C63+C64)</f>
        <v>502977184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878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879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657</v>
      </c>
      <c r="C70" s="606">
        <v>5862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636</v>
      </c>
      <c r="C71" s="606">
        <v>5492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778</v>
      </c>
      <c r="C72" s="606">
        <v>3474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3394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744</v>
      </c>
      <c r="C74" s="606">
        <v>80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19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759</v>
      </c>
      <c r="C76" s="621">
        <v>193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808</v>
      </c>
      <c r="C77" s="608">
        <f>SUM(C71+C72+C75)</f>
        <v>8985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14847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812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657</v>
      </c>
      <c r="C81" s="617">
        <v>1.1091599999999999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636</v>
      </c>
      <c r="C82" s="617">
        <v>1.6163400000000001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778</v>
      </c>
      <c r="C83" s="617">
        <f>((C73*C84)+(C74*C85))/(C73+C74)</f>
        <v>1.0222545192861254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1.0188999999999999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744</v>
      </c>
      <c r="C85" s="617">
        <v>1.1645700000000001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1.0184200000000001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759</v>
      </c>
      <c r="C87" s="617">
        <v>1.2165999999999999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813</v>
      </c>
      <c r="C88" s="619">
        <f>((C71*C82)+(C73*C84)+(C74*C85)+(C75*C86))/(C71+C73+C74+C75)</f>
        <v>1.3853757885364497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724</v>
      </c>
      <c r="C89" s="619">
        <f>((C70*C81)+(C71*C82)+(C73*C84)+(C74*C85)+(C75*C86))/(C70+C71+C73+C74+C75)</f>
        <v>1.2763182717047215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814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815</v>
      </c>
      <c r="C92" s="589">
        <v>757932744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816</v>
      </c>
      <c r="C93" s="622">
        <v>317763478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669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748</v>
      </c>
      <c r="C95" s="589">
        <f>+C92-C93</f>
        <v>440169266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671</v>
      </c>
      <c r="C96" s="681">
        <f>(+C92-C93)/C92</f>
        <v>0.58074976900588948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763</v>
      </c>
      <c r="C98" s="589">
        <v>33662529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749</v>
      </c>
      <c r="C99" s="589">
        <v>25369317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880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818</v>
      </c>
      <c r="C103" s="589">
        <v>32247209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819</v>
      </c>
      <c r="C104" s="589">
        <v>27957652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820</v>
      </c>
      <c r="C105" s="654">
        <f>+C103+C104</f>
        <v>60204861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821</v>
      </c>
      <c r="C107" s="589">
        <v>15601812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711</v>
      </c>
      <c r="C108" s="589">
        <v>447673528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851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852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655</v>
      </c>
      <c r="C114" s="590">
        <f>+C65</f>
        <v>502977184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853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854</v>
      </c>
      <c r="C116" s="593">
        <f>+C114+C115</f>
        <v>502977184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855</v>
      </c>
      <c r="C118" s="654">
        <v>-26565184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856</v>
      </c>
      <c r="C119" s="656">
        <f>+C116+C118</f>
        <v>476412000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857</v>
      </c>
      <c r="C121" s="589">
        <v>476412000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858</v>
      </c>
      <c r="C123" s="658">
        <f>C119-C121</f>
        <v>0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859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860</v>
      </c>
      <c r="C127" s="590">
        <f>C38</f>
        <v>1872448686</v>
      </c>
      <c r="D127" s="664"/>
      <c r="AR127" s="485"/>
    </row>
    <row r="128" spans="1:58" s="421" customFormat="1" ht="12.75" x14ac:dyDescent="0.2">
      <c r="A128" s="588">
        <v>2</v>
      </c>
      <c r="B128" s="659" t="s">
        <v>861</v>
      </c>
      <c r="C128" s="589">
        <v>-686</v>
      </c>
      <c r="D128" s="664"/>
      <c r="AR128" s="485"/>
    </row>
    <row r="129" spans="1:44" s="421" customFormat="1" ht="12.75" x14ac:dyDescent="0.2">
      <c r="A129" s="588"/>
      <c r="B129" s="671" t="s">
        <v>862</v>
      </c>
      <c r="C129" s="657">
        <f>C127+C128</f>
        <v>1872448000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863</v>
      </c>
      <c r="C131" s="589">
        <v>1872448000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858</v>
      </c>
      <c r="C133" s="657">
        <f>C129-C131</f>
        <v>0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864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865</v>
      </c>
      <c r="C137" s="589">
        <f>C105</f>
        <v>60204861</v>
      </c>
      <c r="D137" s="664"/>
      <c r="AR137" s="485"/>
    </row>
    <row r="138" spans="1:44" s="421" customFormat="1" ht="12.75" x14ac:dyDescent="0.2">
      <c r="A138" s="588">
        <v>2</v>
      </c>
      <c r="B138" s="669" t="s">
        <v>881</v>
      </c>
      <c r="C138" s="589">
        <v>139</v>
      </c>
      <c r="D138" s="664"/>
      <c r="AR138" s="485"/>
    </row>
    <row r="139" spans="1:44" s="421" customFormat="1" ht="12.75" x14ac:dyDescent="0.2">
      <c r="A139" s="588"/>
      <c r="B139" s="671" t="s">
        <v>867</v>
      </c>
      <c r="C139" s="657">
        <f>C137+C138</f>
        <v>60205000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882</v>
      </c>
      <c r="C141" s="589">
        <v>60205000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869</v>
      </c>
      <c r="C143" s="657">
        <f>C139-C141</f>
        <v>0</v>
      </c>
      <c r="D143" s="664"/>
      <c r="AR143" s="485"/>
    </row>
  </sheetData>
  <mergeCells count="6">
    <mergeCell ref="A7:C7"/>
    <mergeCell ref="A2:C2"/>
    <mergeCell ref="A3:C3"/>
    <mergeCell ref="A4:C4"/>
    <mergeCell ref="A5:C5"/>
    <mergeCell ref="A6:C6"/>
  </mergeCells>
  <printOptions gridLines="1"/>
  <pageMargins left="0.5" right="0.5" top="0.5" bottom="0.5" header="0.25" footer="0.25"/>
  <pageSetup scale="74" fitToHeight="0" orientation="portrait" r:id="rId1"/>
  <headerFooter>
    <oddHeader>&amp;LOFFICE OF HEALTH CARE ACCESS&amp;CTWELVE MONTHS ACTUAL FILING&amp;RSTAMFORD HOSPITAL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SheetLayoutView="90" workbookViewId="0">
      <selection activeCell="B43" sqref="B43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6"/>
      <c r="B1" s="827"/>
      <c r="C1" s="827"/>
      <c r="D1" s="827"/>
      <c r="E1" s="827"/>
      <c r="F1" s="82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630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883</v>
      </c>
      <c r="B5" s="830"/>
      <c r="C5" s="830"/>
      <c r="D5" s="830"/>
      <c r="E5" s="830"/>
      <c r="F5" s="831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633</v>
      </c>
      <c r="D8" s="177" t="s">
        <v>633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884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885</v>
      </c>
      <c r="C12" s="185">
        <v>2099</v>
      </c>
      <c r="D12" s="185">
        <v>1807</v>
      </c>
      <c r="E12" s="185">
        <f>+D12-C12</f>
        <v>-292</v>
      </c>
      <c r="F12" s="77">
        <f>IF(C12=0,0,+E12/C12)</f>
        <v>-0.1391138637446403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886</v>
      </c>
      <c r="C13" s="185">
        <v>1623</v>
      </c>
      <c r="D13" s="185">
        <v>1460</v>
      </c>
      <c r="E13" s="185">
        <f>+D13-C13</f>
        <v>-163</v>
      </c>
      <c r="F13" s="77">
        <f>IF(C13=0,0,+E13/C13)</f>
        <v>-0.1004313000616143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887</v>
      </c>
      <c r="C15" s="76">
        <v>30293193</v>
      </c>
      <c r="D15" s="76">
        <v>32247209</v>
      </c>
      <c r="E15" s="76">
        <f>+D15-C15</f>
        <v>1954016</v>
      </c>
      <c r="F15" s="77">
        <f>IF(C15=0,0,+E15/C15)</f>
        <v>6.4503467825263588E-2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888</v>
      </c>
      <c r="C16" s="79">
        <f>IF(C13=0,0,+C15/+C13)</f>
        <v>18664.937153419593</v>
      </c>
      <c r="D16" s="79">
        <f>IF(D13=0,0,+D15/+D13)</f>
        <v>22087.129452054796</v>
      </c>
      <c r="E16" s="79">
        <f>+D16-C16</f>
        <v>3422.1922986352038</v>
      </c>
      <c r="F16" s="80">
        <f>IF(C16=0,0,+E16/C16)</f>
        <v>0.18334871800027602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889</v>
      </c>
      <c r="C18" s="704">
        <v>0.26094499999999998</v>
      </c>
      <c r="D18" s="704">
        <v>0.246363</v>
      </c>
      <c r="E18" s="704">
        <f>+D18-C18</f>
        <v>-1.4581999999999984E-2</v>
      </c>
      <c r="F18" s="77">
        <f>IF(C18=0,0,+E18/C18)</f>
        <v>-5.5881507597386366E-2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890</v>
      </c>
      <c r="C19" s="79">
        <f>+C15*C18</f>
        <v>7904857.2473849999</v>
      </c>
      <c r="D19" s="79">
        <f>+D15*D18</f>
        <v>7944519.1508670002</v>
      </c>
      <c r="E19" s="79">
        <f>+D19-C19</f>
        <v>39661.903482000344</v>
      </c>
      <c r="F19" s="80">
        <f>IF(C19=0,0,+E19/C19)</f>
        <v>5.0174092005419663E-3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891</v>
      </c>
      <c r="C20" s="79">
        <f>IF(C13=0,0,+C19/C13)</f>
        <v>4870.5220254990754</v>
      </c>
      <c r="D20" s="79">
        <f>IF(D13=0,0,+D19/D13)</f>
        <v>5441.4514731965755</v>
      </c>
      <c r="E20" s="79">
        <f>+D20-C20</f>
        <v>570.92944769750011</v>
      </c>
      <c r="F20" s="80">
        <f>IF(C20=0,0,+E20/C20)</f>
        <v>0.1172214076249861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892</v>
      </c>
      <c r="C22" s="76">
        <v>6031664</v>
      </c>
      <c r="D22" s="76">
        <v>5593941</v>
      </c>
      <c r="E22" s="76">
        <f>+D22-C22</f>
        <v>-437723</v>
      </c>
      <c r="F22" s="77">
        <f>IF(C22=0,0,+E22/C22)</f>
        <v>-7.2570852753071124E-2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893</v>
      </c>
      <c r="C23" s="185">
        <v>17762711</v>
      </c>
      <c r="D23" s="185">
        <v>20298365</v>
      </c>
      <c r="E23" s="185">
        <f>+D23-C23</f>
        <v>2535654</v>
      </c>
      <c r="F23" s="77">
        <f>IF(C23=0,0,+E23/C23)</f>
        <v>0.14275152030565605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894</v>
      </c>
      <c r="C24" s="185">
        <v>6498818</v>
      </c>
      <c r="D24" s="185">
        <v>6354903</v>
      </c>
      <c r="E24" s="185">
        <f>+D24-C24</f>
        <v>-143915</v>
      </c>
      <c r="F24" s="77">
        <f>IF(C24=0,0,+E24/C24)</f>
        <v>-2.2144796176781684E-2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895</v>
      </c>
      <c r="C25" s="79">
        <f>+C22+C23+C24</f>
        <v>30293193</v>
      </c>
      <c r="D25" s="79">
        <f>+D22+D23+D24</f>
        <v>32247209</v>
      </c>
      <c r="E25" s="79">
        <f>+E22+E23+E24</f>
        <v>1954016</v>
      </c>
      <c r="F25" s="80">
        <f>IF(C25=0,0,+E25/C25)</f>
        <v>6.4503467825263588E-2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896</v>
      </c>
      <c r="C27" s="185">
        <v>709</v>
      </c>
      <c r="D27" s="185">
        <v>511</v>
      </c>
      <c r="E27" s="185">
        <f>+D27-C27</f>
        <v>-198</v>
      </c>
      <c r="F27" s="77">
        <f>IF(C27=0,0,+E27/C27)</f>
        <v>-0.27926657263751764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897</v>
      </c>
      <c r="C28" s="185">
        <v>136</v>
      </c>
      <c r="D28" s="185">
        <v>114</v>
      </c>
      <c r="E28" s="185">
        <f>+D28-C28</f>
        <v>-22</v>
      </c>
      <c r="F28" s="77">
        <f>IF(C28=0,0,+E28/C28)</f>
        <v>-0.16176470588235295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898</v>
      </c>
      <c r="C29" s="185">
        <v>1040</v>
      </c>
      <c r="D29" s="185">
        <v>1020</v>
      </c>
      <c r="E29" s="185">
        <f>+D29-C29</f>
        <v>-20</v>
      </c>
      <c r="F29" s="77">
        <f>IF(C29=0,0,+E29/C29)</f>
        <v>-1.9230769230769232E-2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899</v>
      </c>
      <c r="C30" s="185">
        <v>8720</v>
      </c>
      <c r="D30" s="185">
        <v>8297</v>
      </c>
      <c r="E30" s="185">
        <f>+D30-C30</f>
        <v>-423</v>
      </c>
      <c r="F30" s="77">
        <f>IF(C30=0,0,+E30/C30)</f>
        <v>-4.8509174311926605E-2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900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901</v>
      </c>
      <c r="C33" s="76">
        <v>8883712</v>
      </c>
      <c r="D33" s="76">
        <v>4195834</v>
      </c>
      <c r="E33" s="76">
        <f>+D33-C33</f>
        <v>-4687878</v>
      </c>
      <c r="F33" s="77">
        <f>IF(C33=0,0,+E33/C33)</f>
        <v>-0.52769360375482677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902</v>
      </c>
      <c r="C34" s="185">
        <v>12232981</v>
      </c>
      <c r="D34" s="185">
        <v>10751616</v>
      </c>
      <c r="E34" s="185">
        <f>+D34-C34</f>
        <v>-1481365</v>
      </c>
      <c r="F34" s="77">
        <f>IF(C34=0,0,+E34/C34)</f>
        <v>-0.12109599450861569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903</v>
      </c>
      <c r="C35" s="185">
        <v>19532821</v>
      </c>
      <c r="D35" s="185">
        <v>13010202</v>
      </c>
      <c r="E35" s="185">
        <f>+D35-C35</f>
        <v>-6522619</v>
      </c>
      <c r="F35" s="77">
        <f>IF(C35=0,0,+E35/C35)</f>
        <v>-0.33393123297448946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904</v>
      </c>
      <c r="C36" s="79">
        <f>+C33+C34+C35</f>
        <v>40649514</v>
      </c>
      <c r="D36" s="79">
        <f>+D33+D34+D35</f>
        <v>27957652</v>
      </c>
      <c r="E36" s="79">
        <f>+E33+E34+E35</f>
        <v>-12691862</v>
      </c>
      <c r="F36" s="80">
        <f>IF(C36=0,0,+E36/C36)</f>
        <v>-0.31222666032366342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905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906</v>
      </c>
      <c r="C39" s="76">
        <f>+C25</f>
        <v>30293193</v>
      </c>
      <c r="D39" s="76">
        <f>+D25</f>
        <v>32247209</v>
      </c>
      <c r="E39" s="76">
        <f>+D39-C39</f>
        <v>1954016</v>
      </c>
      <c r="F39" s="77">
        <f>IF(C39=0,0,+E39/C39)</f>
        <v>6.4503467825263588E-2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907</v>
      </c>
      <c r="C40" s="185">
        <f>+C36</f>
        <v>40649514</v>
      </c>
      <c r="D40" s="185">
        <f>+D36</f>
        <v>27957652</v>
      </c>
      <c r="E40" s="185">
        <f>+D40-C40</f>
        <v>-12691862</v>
      </c>
      <c r="F40" s="77">
        <f>IF(C40=0,0,+E40/C40)</f>
        <v>-0.31222666032366342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908</v>
      </c>
      <c r="C41" s="79">
        <f>+C39+C40</f>
        <v>70942707</v>
      </c>
      <c r="D41" s="79">
        <f>+D39+D40</f>
        <v>60204861</v>
      </c>
      <c r="E41" s="79">
        <f>+E39+E40</f>
        <v>-10737846</v>
      </c>
      <c r="F41" s="80">
        <f>IF(C41=0,0,+E41/C41)</f>
        <v>-0.15135940611908141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909</v>
      </c>
      <c r="C43" s="76">
        <f t="shared" ref="C43:D45" si="0">+C22+C33</f>
        <v>14915376</v>
      </c>
      <c r="D43" s="76">
        <f t="shared" si="0"/>
        <v>9789775</v>
      </c>
      <c r="E43" s="76">
        <f>+D43-C43</f>
        <v>-5125601</v>
      </c>
      <c r="F43" s="77">
        <f>IF(C43=0,0,+E43/C43)</f>
        <v>-0.34364544346719789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910</v>
      </c>
      <c r="C44" s="185">
        <f t="shared" si="0"/>
        <v>29995692</v>
      </c>
      <c r="D44" s="185">
        <f t="shared" si="0"/>
        <v>31049981</v>
      </c>
      <c r="E44" s="185">
        <f>+D44-C44</f>
        <v>1054289</v>
      </c>
      <c r="F44" s="77">
        <f>IF(C44=0,0,+E44/C44)</f>
        <v>3.5148013921465791E-2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911</v>
      </c>
      <c r="C45" s="185">
        <f t="shared" si="0"/>
        <v>26031639</v>
      </c>
      <c r="D45" s="185">
        <f t="shared" si="0"/>
        <v>19365105</v>
      </c>
      <c r="E45" s="185">
        <f>+D45-C45</f>
        <v>-6666534</v>
      </c>
      <c r="F45" s="77">
        <f>IF(C45=0,0,+E45/C45)</f>
        <v>-0.25609351758450555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908</v>
      </c>
      <c r="C46" s="79">
        <f>+C43+C44+C45</f>
        <v>70942707</v>
      </c>
      <c r="D46" s="79">
        <f>+D43+D44+D45</f>
        <v>60204861</v>
      </c>
      <c r="E46" s="79">
        <f>+E43+E44+E45</f>
        <v>-10737846</v>
      </c>
      <c r="F46" s="80">
        <f>IF(C46=0,0,+E46/C46)</f>
        <v>-0.15135940611908141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32" t="s">
        <v>912</v>
      </c>
      <c r="B48" s="833"/>
      <c r="C48" s="833"/>
      <c r="D48" s="833"/>
      <c r="E48" s="833"/>
      <c r="F48" s="834"/>
    </row>
  </sheetData>
  <mergeCells count="6">
    <mergeCell ref="A48:F48"/>
    <mergeCell ref="A1:F1"/>
    <mergeCell ref="A2:F2"/>
    <mergeCell ref="A3:F3"/>
    <mergeCell ref="A4:F4"/>
    <mergeCell ref="A5:F5"/>
  </mergeCells>
  <pageMargins left="0.25" right="0.25" top="0.5" bottom="0.5" header="0.25" footer="0.25"/>
  <pageSetup paperSize="9" scale="73" orientation="portrait" horizontalDpi="1200" verticalDpi="1200" r:id="rId1"/>
  <headerFooter>
    <oddHeader>_x000D_
                  &amp;LOFFICE OF HEALTH CARE ACCESS&amp;CTWELVE MONTHS ACTUAL FILING&amp;RSTAMFORD HOSPITAL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SheetLayoutView="90" workbookViewId="0">
      <selection activeCell="H65" sqref="H65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630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913</v>
      </c>
      <c r="B5" s="830"/>
      <c r="C5" s="830"/>
      <c r="D5" s="830"/>
      <c r="E5" s="830"/>
      <c r="F5" s="831"/>
    </row>
    <row r="6" spans="1:14" ht="15.75" customHeight="1" x14ac:dyDescent="0.25">
      <c r="A6" s="829" t="s">
        <v>914</v>
      </c>
      <c r="B6" s="830"/>
      <c r="C6" s="830"/>
      <c r="D6" s="830"/>
      <c r="E6" s="830"/>
      <c r="F6" s="831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915</v>
      </c>
      <c r="D10" s="177" t="s">
        <v>915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916</v>
      </c>
      <c r="D11" s="693" t="s">
        <v>916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917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714214340</v>
      </c>
      <c r="D15" s="76">
        <v>757932744</v>
      </c>
      <c r="E15" s="76">
        <f>+D15-C15</f>
        <v>43718404</v>
      </c>
      <c r="F15" s="77">
        <f>IF(C15=0,0,E15/C15)</f>
        <v>6.1211882136110569E-2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918</v>
      </c>
      <c r="C17" s="76">
        <v>427897093</v>
      </c>
      <c r="D17" s="76">
        <v>440169266</v>
      </c>
      <c r="E17" s="76">
        <f>+D17-C17</f>
        <v>12272173</v>
      </c>
      <c r="F17" s="77">
        <f>IF(C17=0,0,E17/C17)</f>
        <v>2.8680197180026179E-2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919</v>
      </c>
      <c r="C19" s="79">
        <f>+C15-C17</f>
        <v>286317247</v>
      </c>
      <c r="D19" s="79">
        <f>+D15-D17</f>
        <v>317763478</v>
      </c>
      <c r="E19" s="79">
        <f>+D19-C19</f>
        <v>31446231</v>
      </c>
      <c r="F19" s="80">
        <f>IF(C19=0,0,E19/C19)</f>
        <v>0.10983002710975354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920</v>
      </c>
      <c r="C21" s="720">
        <f>IF(C15=0,0,C17/C15)</f>
        <v>0.59911579624682421</v>
      </c>
      <c r="D21" s="720">
        <f>IF(D15=0,0,D17/D15)</f>
        <v>0.58074976900588948</v>
      </c>
      <c r="E21" s="720">
        <f>+D21-C21</f>
        <v>-1.8366027240934724E-2</v>
      </c>
      <c r="F21" s="80">
        <f>IF(C21=0,0,E21/C21)</f>
        <v>-3.0655221170914133E-2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921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6:F26"/>
    <mergeCell ref="A2:F2"/>
    <mergeCell ref="A3:F3"/>
    <mergeCell ref="A4:F4"/>
    <mergeCell ref="A5:F5"/>
    <mergeCell ref="A6:F6"/>
  </mergeCells>
  <pageMargins left="0.25" right="0.25" top="0.5" bottom="0.5" header="0.25" footer="0.5"/>
  <pageSetup scale="89" orientation="landscape" horizontalDpi="1200" verticalDpi="1200" r:id="rId1"/>
  <headerFooter>
    <oddHeader>&amp;L&amp;12OFFICE OF HEALTH CARE ACCESS&amp;C&amp;12TWELVE MONTHS ACTUAL FILING&amp;R&amp;12STAMFORD HOSPITAL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zoomScale="75" workbookViewId="0">
      <selection activeCell="A8" sqref="A8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922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923</v>
      </c>
      <c r="B6" s="734" t="s">
        <v>924</v>
      </c>
      <c r="C6" s="734" t="s">
        <v>925</v>
      </c>
      <c r="D6" s="734" t="s">
        <v>926</v>
      </c>
      <c r="E6" s="734" t="s">
        <v>927</v>
      </c>
    </row>
    <row r="7" spans="1:6" ht="37.5" customHeight="1" x14ac:dyDescent="0.25">
      <c r="A7" s="735" t="s">
        <v>8</v>
      </c>
      <c r="B7" s="736" t="s">
        <v>9</v>
      </c>
      <c r="C7" s="737" t="s">
        <v>928</v>
      </c>
      <c r="D7" s="737" t="s">
        <v>929</v>
      </c>
      <c r="E7" s="737" t="s">
        <v>930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931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932</v>
      </c>
      <c r="C10" s="744">
        <v>620481767</v>
      </c>
      <c r="D10" s="744">
        <v>628346314</v>
      </c>
      <c r="E10" s="744">
        <v>656432125</v>
      </c>
    </row>
    <row r="11" spans="1:6" ht="26.1" customHeight="1" x14ac:dyDescent="0.25">
      <c r="A11" s="742">
        <v>2</v>
      </c>
      <c r="B11" s="743" t="s">
        <v>933</v>
      </c>
      <c r="C11" s="744">
        <v>1100327328</v>
      </c>
      <c r="D11" s="744">
        <v>1150686140</v>
      </c>
      <c r="E11" s="744">
        <v>1216016561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1720809095</v>
      </c>
      <c r="D12" s="744">
        <f>+D11+D10</f>
        <v>1779032454</v>
      </c>
      <c r="E12" s="744">
        <f>+E11+E10</f>
        <v>1872448686</v>
      </c>
    </row>
    <row r="13" spans="1:6" ht="26.1" customHeight="1" x14ac:dyDescent="0.25">
      <c r="A13" s="742">
        <v>4</v>
      </c>
      <c r="B13" s="743" t="s">
        <v>507</v>
      </c>
      <c r="C13" s="744">
        <v>465884745</v>
      </c>
      <c r="D13" s="744">
        <v>457806205</v>
      </c>
      <c r="E13" s="744">
        <v>476412504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934</v>
      </c>
      <c r="C16" s="744">
        <v>453664905</v>
      </c>
      <c r="D16" s="744">
        <v>443491017</v>
      </c>
      <c r="E16" s="744">
        <v>447673528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935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71656</v>
      </c>
      <c r="D19" s="747">
        <v>71084</v>
      </c>
      <c r="E19" s="747">
        <v>73202</v>
      </c>
    </row>
    <row r="20" spans="1:5" ht="26.1" customHeight="1" x14ac:dyDescent="0.25">
      <c r="A20" s="742">
        <v>2</v>
      </c>
      <c r="B20" s="743" t="s">
        <v>381</v>
      </c>
      <c r="C20" s="748">
        <v>14871</v>
      </c>
      <c r="D20" s="748">
        <v>14848</v>
      </c>
      <c r="E20" s="748">
        <v>14847</v>
      </c>
    </row>
    <row r="21" spans="1:5" ht="26.1" customHeight="1" x14ac:dyDescent="0.25">
      <c r="A21" s="742">
        <v>3</v>
      </c>
      <c r="B21" s="743" t="s">
        <v>936</v>
      </c>
      <c r="C21" s="749">
        <f>IF(C20=0,0,+C19/C20)</f>
        <v>4.8185058166902026</v>
      </c>
      <c r="D21" s="749">
        <f>IF(D20=0,0,+D19/D20)</f>
        <v>4.7874461206896548</v>
      </c>
      <c r="E21" s="749">
        <f>IF(E20=0,0,+E19/E20)</f>
        <v>4.930423654610359</v>
      </c>
    </row>
    <row r="22" spans="1:5" ht="26.1" customHeight="1" x14ac:dyDescent="0.25">
      <c r="A22" s="742">
        <v>4</v>
      </c>
      <c r="B22" s="743" t="s">
        <v>937</v>
      </c>
      <c r="C22" s="748">
        <f>IF(C10=0,0,C19*(C12/C10))</f>
        <v>198726.70410204012</v>
      </c>
      <c r="D22" s="748">
        <f>IF(D10=0,0,D19*(D12/D10))</f>
        <v>201259.62409980176</v>
      </c>
      <c r="E22" s="748">
        <f>IF(E10=0,0,E19*(E12/E10))</f>
        <v>208806.03415405971</v>
      </c>
    </row>
    <row r="23" spans="1:5" ht="26.1" customHeight="1" x14ac:dyDescent="0.25">
      <c r="A23" s="742">
        <v>0</v>
      </c>
      <c r="B23" s="743" t="s">
        <v>938</v>
      </c>
      <c r="C23" s="748">
        <f>IF(C10=0,0,C20*(C12/C10))</f>
        <v>41242.391658778586</v>
      </c>
      <c r="D23" s="748">
        <f>IF(D10=0,0,D20*(D12/D10))</f>
        <v>42039.036894854769</v>
      </c>
      <c r="E23" s="748">
        <f>IF(E10=0,0,E20*(E12/E10))</f>
        <v>42350.525792810644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939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1.2589443393181361</v>
      </c>
      <c r="D26" s="750">
        <v>1.2474442739762934</v>
      </c>
      <c r="E26" s="750">
        <v>1.2763182717047215</v>
      </c>
    </row>
    <row r="27" spans="1:5" ht="26.1" customHeight="1" x14ac:dyDescent="0.25">
      <c r="A27" s="742">
        <v>2</v>
      </c>
      <c r="B27" s="743" t="s">
        <v>940</v>
      </c>
      <c r="C27" s="748">
        <f>C19*C26</f>
        <v>90210.915578180357</v>
      </c>
      <c r="D27" s="748">
        <f>D19*D26</f>
        <v>88673.328771330838</v>
      </c>
      <c r="E27" s="748">
        <f>E19*E26</f>
        <v>93429.050125329013</v>
      </c>
    </row>
    <row r="28" spans="1:5" ht="26.1" customHeight="1" x14ac:dyDescent="0.25">
      <c r="A28" s="742">
        <v>3</v>
      </c>
      <c r="B28" s="743" t="s">
        <v>941</v>
      </c>
      <c r="C28" s="748">
        <f>C20*C26</f>
        <v>18721.761270000003</v>
      </c>
      <c r="D28" s="748">
        <f>D20*D26</f>
        <v>18522.052580000003</v>
      </c>
      <c r="E28" s="748">
        <f>E20*E26</f>
        <v>18949.497380000001</v>
      </c>
    </row>
    <row r="29" spans="1:5" ht="26.1" customHeight="1" x14ac:dyDescent="0.25">
      <c r="A29" s="742">
        <v>4</v>
      </c>
      <c r="B29" s="743" t="s">
        <v>942</v>
      </c>
      <c r="C29" s="748">
        <f>C22*C26</f>
        <v>250185.85920061363</v>
      </c>
      <c r="D29" s="748">
        <f>D22*D26</f>
        <v>251060.16566591893</v>
      </c>
      <c r="E29" s="748">
        <f>E22*E26</f>
        <v>266502.95663302654</v>
      </c>
    </row>
    <row r="30" spans="1:5" ht="26.1" customHeight="1" x14ac:dyDescent="0.25">
      <c r="A30" s="742">
        <v>5</v>
      </c>
      <c r="B30" s="743" t="s">
        <v>943</v>
      </c>
      <c r="C30" s="748">
        <f>C23*C26</f>
        <v>51921.875518760811</v>
      </c>
      <c r="D30" s="748">
        <f>D23*D26</f>
        <v>52441.355857964722</v>
      </c>
      <c r="E30" s="748">
        <f>E23*E26</f>
        <v>54052.749885666308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944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945</v>
      </c>
      <c r="C33" s="744">
        <f>IF(C19=0,0,C12/C19)</f>
        <v>24014.864003014402</v>
      </c>
      <c r="D33" s="744">
        <f>IF(D19=0,0,D12/D19)</f>
        <v>25027.185498846437</v>
      </c>
      <c r="E33" s="744">
        <f>IF(E19=0,0,E12/E19)</f>
        <v>25579.201196688617</v>
      </c>
    </row>
    <row r="34" spans="1:5" ht="26.1" customHeight="1" x14ac:dyDescent="0.25">
      <c r="A34" s="742">
        <v>2</v>
      </c>
      <c r="B34" s="743" t="s">
        <v>946</v>
      </c>
      <c r="C34" s="744">
        <f>IF(C20=0,0,C12/C20)</f>
        <v>115715.76188554906</v>
      </c>
      <c r="D34" s="744">
        <f>IF(D20=0,0,D12/D20)</f>
        <v>119816.30212823275</v>
      </c>
      <c r="E34" s="744">
        <f>IF(E20=0,0,E12/E20)</f>
        <v>126116.29864619115</v>
      </c>
    </row>
    <row r="35" spans="1:5" ht="26.1" customHeight="1" x14ac:dyDescent="0.25">
      <c r="A35" s="742">
        <v>3</v>
      </c>
      <c r="B35" s="743" t="s">
        <v>947</v>
      </c>
      <c r="C35" s="744">
        <f>IF(C22=0,0,C12/C22)</f>
        <v>8659.1739282125709</v>
      </c>
      <c r="D35" s="744">
        <f>IF(D22=0,0,D12/D22)</f>
        <v>8839.4900962241845</v>
      </c>
      <c r="E35" s="744">
        <f>IF(E22=0,0,E12/E22)</f>
        <v>8967.4069697549257</v>
      </c>
    </row>
    <row r="36" spans="1:5" ht="26.1" customHeight="1" x14ac:dyDescent="0.25">
      <c r="A36" s="742">
        <v>4</v>
      </c>
      <c r="B36" s="743" t="s">
        <v>948</v>
      </c>
      <c r="C36" s="744">
        <f>IF(C23=0,0,C12/C23)</f>
        <v>41724.279940824425</v>
      </c>
      <c r="D36" s="744">
        <f>IF(D23=0,0,D12/D23)</f>
        <v>42318.582570043101</v>
      </c>
      <c r="E36" s="744">
        <f>IF(E23=0,0,E12/E23)</f>
        <v>44213.11544419748</v>
      </c>
    </row>
    <row r="37" spans="1:5" ht="26.1" customHeight="1" x14ac:dyDescent="0.25">
      <c r="A37" s="742">
        <v>5</v>
      </c>
      <c r="B37" s="743" t="s">
        <v>949</v>
      </c>
      <c r="C37" s="744">
        <f>IF(C29=0,0,C12/C29)</f>
        <v>6878.1229302818219</v>
      </c>
      <c r="D37" s="744">
        <f>IF(D29=0,0,D12/D29)</f>
        <v>7086.0801405162983</v>
      </c>
      <c r="E37" s="744">
        <f>IF(E29=0,0,E12/E29)</f>
        <v>7025.9959201066349</v>
      </c>
    </row>
    <row r="38" spans="1:5" ht="26.1" customHeight="1" x14ac:dyDescent="0.25">
      <c r="A38" s="742">
        <v>6</v>
      </c>
      <c r="B38" s="743" t="s">
        <v>950</v>
      </c>
      <c r="C38" s="744">
        <f>IF(C30=0,0,C12/C30)</f>
        <v>33142.275347473224</v>
      </c>
      <c r="D38" s="744">
        <f>IF(D30=0,0,D12/D30)</f>
        <v>33924.22687961076</v>
      </c>
      <c r="E38" s="744">
        <f>IF(E30=0,0,E12/E30)</f>
        <v>34641.136481689631</v>
      </c>
    </row>
    <row r="39" spans="1:5" ht="26.1" customHeight="1" x14ac:dyDescent="0.25">
      <c r="A39" s="742">
        <v>7</v>
      </c>
      <c r="B39" s="743" t="s">
        <v>951</v>
      </c>
      <c r="C39" s="744">
        <f>IF(C22=0,0,C10/C22)</f>
        <v>3122.2868099367333</v>
      </c>
      <c r="D39" s="744">
        <f>IF(D22=0,0,D10/D22)</f>
        <v>3122.068406966775</v>
      </c>
      <c r="E39" s="744">
        <f>IF(E22=0,0,E10/E22)</f>
        <v>3143.7411646623013</v>
      </c>
    </row>
    <row r="40" spans="1:5" ht="26.1" customHeight="1" x14ac:dyDescent="0.25">
      <c r="A40" s="742">
        <v>8</v>
      </c>
      <c r="B40" s="743" t="s">
        <v>952</v>
      </c>
      <c r="C40" s="744">
        <f>IF(C23=0,0,C10/C23)</f>
        <v>15044.757155055247</v>
      </c>
      <c r="D40" s="744">
        <f>IF(D23=0,0,D10/D23)</f>
        <v>14946.734283460819</v>
      </c>
      <c r="E40" s="744">
        <f>IF(E23=0,0,E10/E23)</f>
        <v>15499.975802223331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953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954</v>
      </c>
      <c r="C43" s="744">
        <f>IF(C19=0,0,C13/C19)</f>
        <v>6501.685064753824</v>
      </c>
      <c r="D43" s="744">
        <f>IF(D19=0,0,D13/D19)</f>
        <v>6440.3551432108488</v>
      </c>
      <c r="E43" s="744">
        <f>IF(E19=0,0,E13/E19)</f>
        <v>6508.1897215923063</v>
      </c>
    </row>
    <row r="44" spans="1:5" ht="26.1" customHeight="1" x14ac:dyDescent="0.25">
      <c r="A44" s="742">
        <v>2</v>
      </c>
      <c r="B44" s="743" t="s">
        <v>955</v>
      </c>
      <c r="C44" s="744">
        <f>IF(C20=0,0,C13/C20)</f>
        <v>31328.407302804117</v>
      </c>
      <c r="D44" s="744">
        <f>IF(D20=0,0,D13/D20)</f>
        <v>30832.853246228449</v>
      </c>
      <c r="E44" s="744">
        <f>IF(E20=0,0,E13/E20)</f>
        <v>32088.132552030715</v>
      </c>
    </row>
    <row r="45" spans="1:5" ht="26.1" customHeight="1" x14ac:dyDescent="0.25">
      <c r="A45" s="742">
        <v>3</v>
      </c>
      <c r="B45" s="743" t="s">
        <v>956</v>
      </c>
      <c r="C45" s="744">
        <f>IF(C22=0,0,C13/C22)</f>
        <v>2344.3489746641312</v>
      </c>
      <c r="D45" s="744">
        <f>IF(D22=0,0,D13/D22)</f>
        <v>2274.704660945707</v>
      </c>
      <c r="E45" s="744">
        <f>IF(E22=0,0,E13/E22)</f>
        <v>2281.6031439421758</v>
      </c>
    </row>
    <row r="46" spans="1:5" ht="26.1" customHeight="1" x14ac:dyDescent="0.25">
      <c r="A46" s="742">
        <v>4</v>
      </c>
      <c r="B46" s="743" t="s">
        <v>957</v>
      </c>
      <c r="C46" s="744">
        <f>IF(C23=0,0,C13/C23)</f>
        <v>11296.259170770831</v>
      </c>
      <c r="D46" s="744">
        <f>IF(D23=0,0,D13/D23)</f>
        <v>10890.026004759202</v>
      </c>
      <c r="E46" s="744">
        <f>IF(E23=0,0,E13/E23)</f>
        <v>11249.270111325866</v>
      </c>
    </row>
    <row r="47" spans="1:5" ht="26.1" customHeight="1" x14ac:dyDescent="0.25">
      <c r="A47" s="742">
        <v>5</v>
      </c>
      <c r="B47" s="743" t="s">
        <v>958</v>
      </c>
      <c r="C47" s="744">
        <f>IF(C29=0,0,C13/C29)</f>
        <v>1862.1545857490946</v>
      </c>
      <c r="D47" s="744">
        <f>IF(D29=0,0,D13/D29)</f>
        <v>1823.4920055346181</v>
      </c>
      <c r="E47" s="744">
        <f>IF(E29=0,0,E13/E29)</f>
        <v>1787.6443474359576</v>
      </c>
    </row>
    <row r="48" spans="1:5" ht="26.1" customHeight="1" x14ac:dyDescent="0.25">
      <c r="A48" s="742">
        <v>6</v>
      </c>
      <c r="B48" s="743" t="s">
        <v>959</v>
      </c>
      <c r="C48" s="744">
        <f>IF(C30=0,0,C13/C30)</f>
        <v>8972.8027030083485</v>
      </c>
      <c r="D48" s="744">
        <f>IF(D30=0,0,D13/D30)</f>
        <v>8729.8697280053075</v>
      </c>
      <c r="E48" s="744">
        <f>IF(E30=0,0,E13/E30)</f>
        <v>8813.8439766287429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960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961</v>
      </c>
      <c r="C51" s="744">
        <f>IF(C19=0,0,C16/C19)</f>
        <v>6331.1502874846492</v>
      </c>
      <c r="D51" s="744">
        <f>IF(D19=0,0,D16/D19)</f>
        <v>6238.9710342693152</v>
      </c>
      <c r="E51" s="744">
        <f>IF(E19=0,0,E16/E19)</f>
        <v>6115.5914865714049</v>
      </c>
    </row>
    <row r="52" spans="1:6" ht="26.1" customHeight="1" x14ac:dyDescent="0.25">
      <c r="A52" s="742">
        <v>2</v>
      </c>
      <c r="B52" s="743" t="s">
        <v>962</v>
      </c>
      <c r="C52" s="744">
        <f>IF(C20=0,0,C16/C20)</f>
        <v>30506.684486584629</v>
      </c>
      <c r="D52" s="744">
        <f>IF(D20=0,0,D16/D20)</f>
        <v>29868.737675107757</v>
      </c>
      <c r="E52" s="744">
        <f>IF(E20=0,0,E16/E20)</f>
        <v>30152.456927325387</v>
      </c>
    </row>
    <row r="53" spans="1:6" ht="26.1" customHeight="1" x14ac:dyDescent="0.25">
      <c r="A53" s="742">
        <v>3</v>
      </c>
      <c r="B53" s="743" t="s">
        <v>963</v>
      </c>
      <c r="C53" s="744">
        <f>IF(C22=0,0,C16/C22)</f>
        <v>2282.8582955165243</v>
      </c>
      <c r="D53" s="744">
        <f>IF(D22=0,0,D16/D22)</f>
        <v>2203.5766934558078</v>
      </c>
      <c r="E53" s="744">
        <f>IF(E22=0,0,E16/E22)</f>
        <v>2143.9683475320489</v>
      </c>
    </row>
    <row r="54" spans="1:6" ht="26.1" customHeight="1" x14ac:dyDescent="0.25">
      <c r="A54" s="742">
        <v>4</v>
      </c>
      <c r="B54" s="743" t="s">
        <v>964</v>
      </c>
      <c r="C54" s="744">
        <f>IF(C23=0,0,C16/C23)</f>
        <v>10999.965975625855</v>
      </c>
      <c r="D54" s="744">
        <f>IF(D23=0,0,D16/D23)</f>
        <v>10549.504692727145</v>
      </c>
      <c r="E54" s="744">
        <f>IF(E23=0,0,E16/E23)</f>
        <v>10570.672255407897</v>
      </c>
    </row>
    <row r="55" spans="1:6" ht="26.1" customHeight="1" x14ac:dyDescent="0.25">
      <c r="A55" s="742">
        <v>5</v>
      </c>
      <c r="B55" s="743" t="s">
        <v>965</v>
      </c>
      <c r="C55" s="744">
        <f>IF(C29=0,0,C16/C29)</f>
        <v>1813.3115374687304</v>
      </c>
      <c r="D55" s="744">
        <f>IF(D29=0,0,D16/D29)</f>
        <v>1766.4730516833372</v>
      </c>
      <c r="E55" s="744">
        <f>IF(E29=0,0,E16/E29)</f>
        <v>1679.8069847174138</v>
      </c>
    </row>
    <row r="56" spans="1:6" ht="26.1" customHeight="1" x14ac:dyDescent="0.25">
      <c r="A56" s="742">
        <v>6</v>
      </c>
      <c r="B56" s="743" t="s">
        <v>966</v>
      </c>
      <c r="C56" s="744">
        <f>IF(C30=0,0,C16/C30)</f>
        <v>8737.4521907645321</v>
      </c>
      <c r="D56" s="744">
        <f>IF(D30=0,0,D16/D30)</f>
        <v>8456.8945585842084</v>
      </c>
      <c r="E56" s="744">
        <f>IF(E30=0,0,E16/E30)</f>
        <v>8282.1600926304382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967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968</v>
      </c>
      <c r="C59" s="752">
        <v>57236804</v>
      </c>
      <c r="D59" s="752">
        <v>56682682</v>
      </c>
      <c r="E59" s="752">
        <v>57680343</v>
      </c>
    </row>
    <row r="60" spans="1:6" ht="26.1" customHeight="1" x14ac:dyDescent="0.25">
      <c r="A60" s="742">
        <v>2</v>
      </c>
      <c r="B60" s="743" t="s">
        <v>969</v>
      </c>
      <c r="C60" s="752">
        <v>18519095</v>
      </c>
      <c r="D60" s="752">
        <v>14315699</v>
      </c>
      <c r="E60" s="752">
        <v>14861218</v>
      </c>
    </row>
    <row r="61" spans="1:6" ht="26.1" customHeight="1" x14ac:dyDescent="0.25">
      <c r="A61" s="753">
        <v>3</v>
      </c>
      <c r="B61" s="754" t="s">
        <v>970</v>
      </c>
      <c r="C61" s="755">
        <f>C59+C60</f>
        <v>75755899</v>
      </c>
      <c r="D61" s="755">
        <f>D59+D60</f>
        <v>70998381</v>
      </c>
      <c r="E61" s="755">
        <f>E59+E60</f>
        <v>72541561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971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972</v>
      </c>
      <c r="C64" s="744">
        <v>24150084</v>
      </c>
      <c r="D64" s="744">
        <v>23802174</v>
      </c>
      <c r="E64" s="752">
        <v>24318376</v>
      </c>
      <c r="F64" s="756"/>
    </row>
    <row r="65" spans="1:6" ht="26.1" customHeight="1" x14ac:dyDescent="0.25">
      <c r="A65" s="742">
        <v>2</v>
      </c>
      <c r="B65" s="743" t="s">
        <v>973</v>
      </c>
      <c r="C65" s="752">
        <v>7811344</v>
      </c>
      <c r="D65" s="752">
        <v>6011575</v>
      </c>
      <c r="E65" s="752">
        <v>6268293</v>
      </c>
      <c r="F65" s="756"/>
    </row>
    <row r="66" spans="1:6" ht="26.1" customHeight="1" x14ac:dyDescent="0.25">
      <c r="A66" s="753">
        <v>3</v>
      </c>
      <c r="B66" s="754" t="s">
        <v>974</v>
      </c>
      <c r="C66" s="757">
        <f>C64+C65</f>
        <v>31961428</v>
      </c>
      <c r="D66" s="757">
        <f>D64+D65</f>
        <v>29813749</v>
      </c>
      <c r="E66" s="757">
        <f>E64+E65</f>
        <v>30586669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975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976</v>
      </c>
      <c r="C69" s="752">
        <v>103195126</v>
      </c>
      <c r="D69" s="752">
        <v>102909633</v>
      </c>
      <c r="E69" s="752">
        <v>105564140</v>
      </c>
    </row>
    <row r="70" spans="1:6" ht="26.1" customHeight="1" x14ac:dyDescent="0.25">
      <c r="A70" s="742">
        <v>2</v>
      </c>
      <c r="B70" s="743" t="s">
        <v>977</v>
      </c>
      <c r="C70" s="752">
        <v>33389313</v>
      </c>
      <c r="D70" s="752">
        <v>25986862</v>
      </c>
      <c r="E70" s="752">
        <v>27199654</v>
      </c>
    </row>
    <row r="71" spans="1:6" ht="26.1" customHeight="1" x14ac:dyDescent="0.25">
      <c r="A71" s="753">
        <v>3</v>
      </c>
      <c r="B71" s="754" t="s">
        <v>978</v>
      </c>
      <c r="C71" s="755">
        <f>C69+C70</f>
        <v>136584439</v>
      </c>
      <c r="D71" s="755">
        <f>D69+D70</f>
        <v>128896495</v>
      </c>
      <c r="E71" s="755">
        <f>E69+E70</f>
        <v>132763794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979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980</v>
      </c>
      <c r="C75" s="744">
        <f t="shared" ref="C75:E76" si="0">+C59+C64+C69</f>
        <v>184582014</v>
      </c>
      <c r="D75" s="744">
        <f t="shared" si="0"/>
        <v>183394489</v>
      </c>
      <c r="E75" s="744">
        <f t="shared" si="0"/>
        <v>187562859</v>
      </c>
    </row>
    <row r="76" spans="1:6" ht="26.1" customHeight="1" x14ac:dyDescent="0.25">
      <c r="A76" s="742">
        <v>2</v>
      </c>
      <c r="B76" s="743" t="s">
        <v>981</v>
      </c>
      <c r="C76" s="744">
        <f t="shared" si="0"/>
        <v>59719752</v>
      </c>
      <c r="D76" s="744">
        <f t="shared" si="0"/>
        <v>46314136</v>
      </c>
      <c r="E76" s="744">
        <f t="shared" si="0"/>
        <v>48329165</v>
      </c>
    </row>
    <row r="77" spans="1:6" ht="26.1" customHeight="1" x14ac:dyDescent="0.25">
      <c r="A77" s="753">
        <v>3</v>
      </c>
      <c r="B77" s="754" t="s">
        <v>979</v>
      </c>
      <c r="C77" s="757">
        <f>C75+C76</f>
        <v>244301766</v>
      </c>
      <c r="D77" s="757">
        <f>D75+D76</f>
        <v>229708625</v>
      </c>
      <c r="E77" s="757">
        <f>E75+E76</f>
        <v>235892024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982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805.4</v>
      </c>
      <c r="D80" s="749">
        <v>791.8</v>
      </c>
      <c r="E80" s="749">
        <v>803.7</v>
      </c>
    </row>
    <row r="81" spans="1:5" ht="26.1" customHeight="1" x14ac:dyDescent="0.25">
      <c r="A81" s="742">
        <v>2</v>
      </c>
      <c r="B81" s="743" t="s">
        <v>617</v>
      </c>
      <c r="C81" s="749">
        <v>115.7</v>
      </c>
      <c r="D81" s="749">
        <v>113.3</v>
      </c>
      <c r="E81" s="749">
        <v>116.5</v>
      </c>
    </row>
    <row r="82" spans="1:5" ht="26.1" customHeight="1" x14ac:dyDescent="0.25">
      <c r="A82" s="742">
        <v>3</v>
      </c>
      <c r="B82" s="743" t="s">
        <v>983</v>
      </c>
      <c r="C82" s="749">
        <v>1033</v>
      </c>
      <c r="D82" s="749">
        <v>1051.5999999999999</v>
      </c>
      <c r="E82" s="749">
        <v>1058.5</v>
      </c>
    </row>
    <row r="83" spans="1:5" ht="26.1" customHeight="1" x14ac:dyDescent="0.25">
      <c r="A83" s="753">
        <v>4</v>
      </c>
      <c r="B83" s="754" t="s">
        <v>982</v>
      </c>
      <c r="C83" s="759">
        <f>C80+C81+C82</f>
        <v>1954.1</v>
      </c>
      <c r="D83" s="759">
        <f>D80+D81+D82</f>
        <v>1956.6999999999998</v>
      </c>
      <c r="E83" s="759">
        <f>E80+E81+E82</f>
        <v>1978.7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984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985</v>
      </c>
      <c r="C86" s="752">
        <f>IF(C80=0,0,C59/C80)</f>
        <v>71066.307424882049</v>
      </c>
      <c r="D86" s="752">
        <f>IF(D80=0,0,D59/D80)</f>
        <v>71587.120484970961</v>
      </c>
      <c r="E86" s="752">
        <f>IF(E80=0,0,E59/E80)</f>
        <v>71768.499440089581</v>
      </c>
    </row>
    <row r="87" spans="1:5" ht="26.1" customHeight="1" x14ac:dyDescent="0.25">
      <c r="A87" s="742">
        <v>2</v>
      </c>
      <c r="B87" s="743" t="s">
        <v>986</v>
      </c>
      <c r="C87" s="752">
        <f>IF(C80=0,0,C60/C80)</f>
        <v>22993.661534641175</v>
      </c>
      <c r="D87" s="752">
        <f>IF(D80=0,0,D60/D80)</f>
        <v>18079.943167466532</v>
      </c>
      <c r="E87" s="752">
        <f>IF(E80=0,0,E60/E80)</f>
        <v>18491.001617518974</v>
      </c>
    </row>
    <row r="88" spans="1:5" ht="26.1" customHeight="1" x14ac:dyDescent="0.25">
      <c r="A88" s="753">
        <v>3</v>
      </c>
      <c r="B88" s="754" t="s">
        <v>987</v>
      </c>
      <c r="C88" s="755">
        <f>+C86+C87</f>
        <v>94059.968959523219</v>
      </c>
      <c r="D88" s="755">
        <f>+D86+D87</f>
        <v>89667.0636524375</v>
      </c>
      <c r="E88" s="755">
        <f>+E86+E87</f>
        <v>90259.501057608548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988</v>
      </c>
    </row>
    <row r="91" spans="1:5" ht="26.1" customHeight="1" x14ac:dyDescent="0.25">
      <c r="A91" s="742">
        <v>1</v>
      </c>
      <c r="B91" s="743" t="s">
        <v>989</v>
      </c>
      <c r="C91" s="744">
        <f>IF(C81=0,0,C64/C81)</f>
        <v>208730.19878997406</v>
      </c>
      <c r="D91" s="744">
        <f>IF(D81=0,0,D64/D81)</f>
        <v>210080.97087378643</v>
      </c>
      <c r="E91" s="744">
        <f>IF(E81=0,0,E64/E81)</f>
        <v>208741.42489270386</v>
      </c>
    </row>
    <row r="92" spans="1:5" ht="26.1" customHeight="1" x14ac:dyDescent="0.25">
      <c r="A92" s="742">
        <v>2</v>
      </c>
      <c r="B92" s="743" t="s">
        <v>990</v>
      </c>
      <c r="C92" s="744">
        <f>IF(C81=0,0,C65/C81)</f>
        <v>67513.77700950735</v>
      </c>
      <c r="D92" s="744">
        <f>IF(D81=0,0,D65/D81)</f>
        <v>53058.914386584293</v>
      </c>
      <c r="E92" s="744">
        <f>IF(E81=0,0,E65/E81)</f>
        <v>53805.090128755364</v>
      </c>
    </row>
    <row r="93" spans="1:5" ht="26.1" customHeight="1" x14ac:dyDescent="0.25">
      <c r="A93" s="753">
        <v>3</v>
      </c>
      <c r="B93" s="754" t="s">
        <v>991</v>
      </c>
      <c r="C93" s="757">
        <f>+C91+C92</f>
        <v>276243.97579948138</v>
      </c>
      <c r="D93" s="757">
        <f>+D91+D92</f>
        <v>263139.88526037073</v>
      </c>
      <c r="E93" s="757">
        <f>+E91+E92</f>
        <v>262546.5150214592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992</v>
      </c>
      <c r="B95" s="745" t="s">
        <v>993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994</v>
      </c>
      <c r="C96" s="752">
        <f>IF(C82=0,0,C69/C82)</f>
        <v>99898.476282671836</v>
      </c>
      <c r="D96" s="752">
        <f>IF(D82=0,0,D69/D82)</f>
        <v>97860.054203119071</v>
      </c>
      <c r="E96" s="752">
        <f>IF(E82=0,0,E69/E82)</f>
        <v>99729.938592347666</v>
      </c>
    </row>
    <row r="97" spans="1:5" ht="26.1" customHeight="1" x14ac:dyDescent="0.25">
      <c r="A97" s="742">
        <v>2</v>
      </c>
      <c r="B97" s="743" t="s">
        <v>995</v>
      </c>
      <c r="C97" s="752">
        <f>IF(C82=0,0,C70/C82)</f>
        <v>32322.665053242981</v>
      </c>
      <c r="D97" s="752">
        <f>IF(D82=0,0,D70/D82)</f>
        <v>24711.736401673643</v>
      </c>
      <c r="E97" s="752">
        <f>IF(E82=0,0,E70/E82)</f>
        <v>25696.413793103449</v>
      </c>
    </row>
    <row r="98" spans="1:5" ht="26.1" customHeight="1" x14ac:dyDescent="0.25">
      <c r="A98" s="753">
        <v>3</v>
      </c>
      <c r="B98" s="754" t="s">
        <v>996</v>
      </c>
      <c r="C98" s="757">
        <f>+C96+C97</f>
        <v>132221.14133591481</v>
      </c>
      <c r="D98" s="757">
        <f>+D96+D97</f>
        <v>122571.79060479271</v>
      </c>
      <c r="E98" s="757">
        <f>+E96+E97</f>
        <v>125426.35238545111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997</v>
      </c>
      <c r="B100" s="745" t="s">
        <v>998</v>
      </c>
    </row>
    <row r="101" spans="1:5" ht="26.1" customHeight="1" x14ac:dyDescent="0.25">
      <c r="A101" s="742">
        <v>1</v>
      </c>
      <c r="B101" s="743" t="s">
        <v>999</v>
      </c>
      <c r="C101" s="744">
        <f>IF(C83=0,0,C75/C83)</f>
        <v>94458.837316411649</v>
      </c>
      <c r="D101" s="744">
        <f>IF(D83=0,0,D75/D83)</f>
        <v>93726.421526038743</v>
      </c>
      <c r="E101" s="744">
        <f>IF(E83=0,0,E75/E83)</f>
        <v>94790.953151058769</v>
      </c>
    </row>
    <row r="102" spans="1:5" ht="26.1" customHeight="1" x14ac:dyDescent="0.25">
      <c r="A102" s="742">
        <v>2</v>
      </c>
      <c r="B102" s="743" t="s">
        <v>1000</v>
      </c>
      <c r="C102" s="761">
        <f>IF(C83=0,0,C76/C83)</f>
        <v>30561.256844583186</v>
      </c>
      <c r="D102" s="761">
        <f>IF(D83=0,0,D76/D83)</f>
        <v>23669.51295548628</v>
      </c>
      <c r="E102" s="761">
        <f>IF(E83=0,0,E76/E83)</f>
        <v>24424.705614797593</v>
      </c>
    </row>
    <row r="103" spans="1:5" ht="26.1" customHeight="1" x14ac:dyDescent="0.25">
      <c r="A103" s="753">
        <v>3</v>
      </c>
      <c r="B103" s="754" t="s">
        <v>998</v>
      </c>
      <c r="C103" s="757">
        <f>+C101+C102</f>
        <v>125020.09416099483</v>
      </c>
      <c r="D103" s="757">
        <f>+D101+D102</f>
        <v>117395.93448152502</v>
      </c>
      <c r="E103" s="757">
        <f>+E101+E102</f>
        <v>119215.65876585637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1001</v>
      </c>
      <c r="B107" s="736" t="s">
        <v>1002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1003</v>
      </c>
      <c r="C108" s="744">
        <f>IF(C19=0,0,C77/C19)</f>
        <v>3409.3692921737188</v>
      </c>
      <c r="D108" s="744">
        <f>IF(D19=0,0,D77/D19)</f>
        <v>3231.5095520792302</v>
      </c>
      <c r="E108" s="744">
        <f>IF(E19=0,0,E77/E19)</f>
        <v>3222.4805879620776</v>
      </c>
    </row>
    <row r="109" spans="1:5" ht="26.1" customHeight="1" x14ac:dyDescent="0.25">
      <c r="A109" s="742">
        <v>2</v>
      </c>
      <c r="B109" s="743" t="s">
        <v>1004</v>
      </c>
      <c r="C109" s="744">
        <f>IF(C20=0,0,C77/C20)</f>
        <v>16428.065765584022</v>
      </c>
      <c r="D109" s="744">
        <f>IF(D20=0,0,D77/D20)</f>
        <v>15470.677869073275</v>
      </c>
      <c r="E109" s="744">
        <f>IF(E20=0,0,E77/E20)</f>
        <v>15888.194517410924</v>
      </c>
    </row>
    <row r="110" spans="1:5" ht="26.1" customHeight="1" x14ac:dyDescent="0.25">
      <c r="A110" s="742">
        <v>3</v>
      </c>
      <c r="B110" s="743" t="s">
        <v>1005</v>
      </c>
      <c r="C110" s="744">
        <f>IF(C22=0,0,C77/C22)</f>
        <v>1229.3353684090612</v>
      </c>
      <c r="D110" s="744">
        <f>IF(D22=0,0,D77/D22)</f>
        <v>1141.354735344685</v>
      </c>
      <c r="E110" s="744">
        <f>IF(E22=0,0,E77/E22)</f>
        <v>1129.7184248322819</v>
      </c>
    </row>
    <row r="111" spans="1:5" ht="26.1" customHeight="1" x14ac:dyDescent="0.25">
      <c r="A111" s="742">
        <v>4</v>
      </c>
      <c r="B111" s="743" t="s">
        <v>1006</v>
      </c>
      <c r="C111" s="744">
        <f>IF(C23=0,0,C77/C23)</f>
        <v>5923.5596233420556</v>
      </c>
      <c r="D111" s="744">
        <f>IF(D23=0,0,D77/D23)</f>
        <v>5464.1743000566803</v>
      </c>
      <c r="E111" s="744">
        <f>IF(E23=0,0,E77/E23)</f>
        <v>5569.9904448422376</v>
      </c>
    </row>
    <row r="112" spans="1:5" ht="26.1" customHeight="1" x14ac:dyDescent="0.25">
      <c r="A112" s="742">
        <v>5</v>
      </c>
      <c r="B112" s="743" t="s">
        <v>1007</v>
      </c>
      <c r="C112" s="744">
        <f>IF(C29=0,0,C77/C29)</f>
        <v>976.48111200443418</v>
      </c>
      <c r="D112" s="744">
        <f>IF(D29=0,0,D77/D29)</f>
        <v>914.95448666941843</v>
      </c>
      <c r="E112" s="744">
        <f>IF(E29=0,0,E77/E29)</f>
        <v>885.13848769348681</v>
      </c>
    </row>
    <row r="113" spans="1:7" ht="25.5" customHeight="1" x14ac:dyDescent="0.25">
      <c r="A113" s="742">
        <v>6</v>
      </c>
      <c r="B113" s="743" t="s">
        <v>1008</v>
      </c>
      <c r="C113" s="744">
        <f>IF(C30=0,0,C77/C30)</f>
        <v>4705.1799180814842</v>
      </c>
      <c r="D113" s="744">
        <f>IF(D30=0,0,D77/D30)</f>
        <v>4380.2953078131022</v>
      </c>
      <c r="E113" s="744">
        <f>IF(E30=0,0,E77/E30)</f>
        <v>4364.1077373300077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paperSize="9" scale="65" fitToHeight="5" orientation="portrait" horizontalDpi="1200" verticalDpi="1200" r:id="rId1"/>
  <headerFooter>
    <oddHeader>&amp;L&amp;"Arial,Bold"&amp;12OFFICE OF HEALTH CARE ACCESS&amp;C&amp;"Arial,Bold"&amp;12TWELVE MONTHS ACTUAL FILING&amp;R&amp;"Arial,Bold"&amp;12STAMFORD HOSPITAL</oddHeader>
    <oddFooter>&amp;L&amp;"Arial,Bold"&amp;12REPORT 700&amp;C&amp;"Arial,Bold"&amp;12PAGE &amp;P of &amp;N&amp;R&amp;"Arial,Bold"&amp;12&amp;D,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1779032454</v>
      </c>
      <c r="D12" s="76">
        <v>1872448686</v>
      </c>
      <c r="E12" s="76">
        <f t="shared" ref="E12:E21" si="0">D12-C12</f>
        <v>93416232</v>
      </c>
      <c r="F12" s="77">
        <f t="shared" ref="F12:F21" si="1">IF(C12=0,0,E12/C12)</f>
        <v>5.2509571587613095E-2</v>
      </c>
    </row>
    <row r="13" spans="1:8" ht="23.1" customHeight="1" x14ac:dyDescent="0.2">
      <c r="A13" s="74">
        <v>2</v>
      </c>
      <c r="B13" s="75" t="s">
        <v>72</v>
      </c>
      <c r="C13" s="76">
        <v>1250283548</v>
      </c>
      <c r="D13" s="76">
        <v>1335831323</v>
      </c>
      <c r="E13" s="76">
        <f t="shared" si="0"/>
        <v>85547775</v>
      </c>
      <c r="F13" s="77">
        <f t="shared" si="1"/>
        <v>6.8422699104411469E-2</v>
      </c>
    </row>
    <row r="14" spans="1:8" ht="23.1" customHeight="1" x14ac:dyDescent="0.2">
      <c r="A14" s="74">
        <v>3</v>
      </c>
      <c r="B14" s="75" t="s">
        <v>73</v>
      </c>
      <c r="C14" s="76">
        <v>30293187</v>
      </c>
      <c r="D14" s="76">
        <v>32247209</v>
      </c>
      <c r="E14" s="76">
        <f t="shared" si="0"/>
        <v>1954022</v>
      </c>
      <c r="F14" s="77">
        <f t="shared" si="1"/>
        <v>6.4503678665437214E-2</v>
      </c>
    </row>
    <row r="15" spans="1:8" ht="23.1" customHeight="1" x14ac:dyDescent="0.2">
      <c r="A15" s="74">
        <v>4</v>
      </c>
      <c r="B15" s="75" t="s">
        <v>74</v>
      </c>
      <c r="C15" s="76">
        <v>0</v>
      </c>
      <c r="D15" s="76">
        <v>0</v>
      </c>
      <c r="E15" s="76">
        <f t="shared" si="0"/>
        <v>0</v>
      </c>
      <c r="F15" s="77">
        <f t="shared" si="1"/>
        <v>0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498455719</v>
      </c>
      <c r="D16" s="79">
        <f>D12-D13-D14-D15</f>
        <v>504370154</v>
      </c>
      <c r="E16" s="79">
        <f t="shared" si="0"/>
        <v>5914435</v>
      </c>
      <c r="F16" s="80">
        <f t="shared" si="1"/>
        <v>1.1865517386109076E-2</v>
      </c>
    </row>
    <row r="17" spans="1:7" ht="23.1" customHeight="1" x14ac:dyDescent="0.2">
      <c r="A17" s="74">
        <v>5</v>
      </c>
      <c r="B17" s="75" t="s">
        <v>76</v>
      </c>
      <c r="C17" s="76">
        <v>40649514</v>
      </c>
      <c r="D17" s="76">
        <v>27957650</v>
      </c>
      <c r="E17" s="76">
        <f t="shared" si="0"/>
        <v>-12691864</v>
      </c>
      <c r="F17" s="77">
        <f t="shared" si="1"/>
        <v>-0.31222670952474363</v>
      </c>
      <c r="G17" s="65"/>
    </row>
    <row r="18" spans="1:7" ht="31.5" customHeight="1" x14ac:dyDescent="0.25">
      <c r="A18" s="71"/>
      <c r="B18" s="81" t="s">
        <v>77</v>
      </c>
      <c r="C18" s="79">
        <f>C16-C17</f>
        <v>457806205</v>
      </c>
      <c r="D18" s="79">
        <f>D16-D17</f>
        <v>476412504</v>
      </c>
      <c r="E18" s="79">
        <f t="shared" si="0"/>
        <v>18606299</v>
      </c>
      <c r="F18" s="80">
        <f t="shared" si="1"/>
        <v>4.0642304094589542E-2</v>
      </c>
    </row>
    <row r="19" spans="1:7" ht="23.1" customHeight="1" x14ac:dyDescent="0.2">
      <c r="A19" s="74">
        <v>6</v>
      </c>
      <c r="B19" s="75" t="s">
        <v>78</v>
      </c>
      <c r="C19" s="76">
        <v>21118033</v>
      </c>
      <c r="D19" s="76">
        <v>15601812</v>
      </c>
      <c r="E19" s="76">
        <f t="shared" si="0"/>
        <v>-5516221</v>
      </c>
      <c r="F19" s="77">
        <f t="shared" si="1"/>
        <v>-0.26120903400425599</v>
      </c>
      <c r="G19" s="65"/>
    </row>
    <row r="20" spans="1:7" ht="33" customHeight="1" x14ac:dyDescent="0.2">
      <c r="A20" s="74">
        <v>7</v>
      </c>
      <c r="B20" s="82" t="s">
        <v>79</v>
      </c>
      <c r="C20" s="76">
        <v>1495297</v>
      </c>
      <c r="D20" s="76">
        <v>1638154</v>
      </c>
      <c r="E20" s="76">
        <f t="shared" si="0"/>
        <v>142857</v>
      </c>
      <c r="F20" s="77">
        <f t="shared" si="1"/>
        <v>9.5537542040143197E-2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480419535</v>
      </c>
      <c r="D21" s="79">
        <f>SUM(D18:D20)</f>
        <v>493652470</v>
      </c>
      <c r="E21" s="79">
        <f t="shared" si="0"/>
        <v>13232935</v>
      </c>
      <c r="F21" s="80">
        <f t="shared" si="1"/>
        <v>2.754453979478582E-2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183394489</v>
      </c>
      <c r="D24" s="76">
        <v>187562859</v>
      </c>
      <c r="E24" s="76">
        <f t="shared" ref="E24:E33" si="2">D24-C24</f>
        <v>4168370</v>
      </c>
      <c r="F24" s="77">
        <f t="shared" ref="F24:F33" si="3">IF(C24=0,0,E24/C24)</f>
        <v>2.2728981785270549E-2</v>
      </c>
    </row>
    <row r="25" spans="1:7" ht="23.1" customHeight="1" x14ac:dyDescent="0.2">
      <c r="A25" s="74">
        <v>2</v>
      </c>
      <c r="B25" s="75" t="s">
        <v>83</v>
      </c>
      <c r="C25" s="76">
        <v>46314136</v>
      </c>
      <c r="D25" s="76">
        <v>48329165</v>
      </c>
      <c r="E25" s="76">
        <f t="shared" si="2"/>
        <v>2015029</v>
      </c>
      <c r="F25" s="77">
        <f t="shared" si="3"/>
        <v>4.3507861185189768E-2</v>
      </c>
    </row>
    <row r="26" spans="1:7" ht="23.1" customHeight="1" x14ac:dyDescent="0.2">
      <c r="A26" s="74">
        <v>3</v>
      </c>
      <c r="B26" s="75" t="s">
        <v>84</v>
      </c>
      <c r="C26" s="76">
        <v>10919257</v>
      </c>
      <c r="D26" s="76">
        <v>11231023</v>
      </c>
      <c r="E26" s="76">
        <f t="shared" si="2"/>
        <v>311766</v>
      </c>
      <c r="F26" s="77">
        <f t="shared" si="3"/>
        <v>2.8551942682546991E-2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64543067</v>
      </c>
      <c r="D27" s="76">
        <v>63499078</v>
      </c>
      <c r="E27" s="76">
        <f t="shared" si="2"/>
        <v>-1043989</v>
      </c>
      <c r="F27" s="77">
        <f t="shared" si="3"/>
        <v>-1.6175075783120128E-2</v>
      </c>
    </row>
    <row r="28" spans="1:7" ht="23.1" customHeight="1" x14ac:dyDescent="0.2">
      <c r="A28" s="74">
        <v>5</v>
      </c>
      <c r="B28" s="75" t="s">
        <v>86</v>
      </c>
      <c r="C28" s="76">
        <v>24086230</v>
      </c>
      <c r="D28" s="76">
        <v>23802655</v>
      </c>
      <c r="E28" s="76">
        <f t="shared" si="2"/>
        <v>-283575</v>
      </c>
      <c r="F28" s="77">
        <f t="shared" si="3"/>
        <v>-1.1773324426446147E-2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6006820</v>
      </c>
      <c r="D30" s="76">
        <v>5743115</v>
      </c>
      <c r="E30" s="76">
        <f t="shared" si="2"/>
        <v>-263705</v>
      </c>
      <c r="F30" s="77">
        <f t="shared" si="3"/>
        <v>-4.3900932606603826E-2</v>
      </c>
    </row>
    <row r="31" spans="1:7" ht="23.1" customHeight="1" x14ac:dyDescent="0.2">
      <c r="A31" s="74">
        <v>8</v>
      </c>
      <c r="B31" s="75" t="s">
        <v>89</v>
      </c>
      <c r="C31" s="76">
        <v>9395508</v>
      </c>
      <c r="D31" s="76">
        <v>6712666</v>
      </c>
      <c r="E31" s="76">
        <f t="shared" si="2"/>
        <v>-2682842</v>
      </c>
      <c r="F31" s="77">
        <f t="shared" si="3"/>
        <v>-0.28554517754654674</v>
      </c>
    </row>
    <row r="32" spans="1:7" ht="23.1" customHeight="1" x14ac:dyDescent="0.2">
      <c r="A32" s="74">
        <v>9</v>
      </c>
      <c r="B32" s="75" t="s">
        <v>90</v>
      </c>
      <c r="C32" s="76">
        <v>98831510</v>
      </c>
      <c r="D32" s="76">
        <v>100792967</v>
      </c>
      <c r="E32" s="76">
        <f t="shared" si="2"/>
        <v>1961457</v>
      </c>
      <c r="F32" s="77">
        <f t="shared" si="3"/>
        <v>1.9846474064799779E-2</v>
      </c>
    </row>
    <row r="33" spans="1:6" ht="23.1" customHeight="1" x14ac:dyDescent="0.25">
      <c r="A33" s="71"/>
      <c r="B33" s="78" t="s">
        <v>91</v>
      </c>
      <c r="C33" s="79">
        <f>SUM(C24:C32)</f>
        <v>443491017</v>
      </c>
      <c r="D33" s="79">
        <f>SUM(D24:D32)</f>
        <v>447673528</v>
      </c>
      <c r="E33" s="79">
        <f t="shared" si="2"/>
        <v>4182511</v>
      </c>
      <c r="F33" s="80">
        <f t="shared" si="3"/>
        <v>9.4308809867055324E-3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36928518</v>
      </c>
      <c r="D35" s="79">
        <f>+D21-D33</f>
        <v>45978942</v>
      </c>
      <c r="E35" s="79">
        <f>D35-C35</f>
        <v>9050424</v>
      </c>
      <c r="F35" s="80">
        <f>IF(C35=0,0,E35/C35)</f>
        <v>0.24507953446710209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444982</v>
      </c>
      <c r="D38" s="76">
        <v>252412</v>
      </c>
      <c r="E38" s="76">
        <f>D38-C38</f>
        <v>-192570</v>
      </c>
      <c r="F38" s="77">
        <f>IF(C38=0,0,E38/C38)</f>
        <v>-0.43275907789528567</v>
      </c>
    </row>
    <row r="39" spans="1:6" ht="23.1" customHeight="1" x14ac:dyDescent="0.2">
      <c r="A39" s="85">
        <v>2</v>
      </c>
      <c r="B39" s="75" t="s">
        <v>95</v>
      </c>
      <c r="C39" s="76">
        <v>0</v>
      </c>
      <c r="D39" s="76">
        <v>0</v>
      </c>
      <c r="E39" s="76">
        <f>D39-C39</f>
        <v>0</v>
      </c>
      <c r="F39" s="77">
        <f>IF(C39=0,0,E39/C39)</f>
        <v>0</v>
      </c>
    </row>
    <row r="40" spans="1:6" ht="23.1" customHeight="1" x14ac:dyDescent="0.2">
      <c r="A40" s="85">
        <v>3</v>
      </c>
      <c r="B40" s="75" t="s">
        <v>96</v>
      </c>
      <c r="C40" s="76">
        <v>685785</v>
      </c>
      <c r="D40" s="76">
        <v>2462029</v>
      </c>
      <c r="E40" s="76">
        <f>D40-C40</f>
        <v>1776244</v>
      </c>
      <c r="F40" s="77">
        <f>IF(C40=0,0,E40/C40)</f>
        <v>2.5900887304330076</v>
      </c>
    </row>
    <row r="41" spans="1:6" ht="23.1" customHeight="1" x14ac:dyDescent="0.25">
      <c r="A41" s="83"/>
      <c r="B41" s="78" t="s">
        <v>97</v>
      </c>
      <c r="C41" s="79">
        <f>SUM(C38:C40)</f>
        <v>1130767</v>
      </c>
      <c r="D41" s="79">
        <f>SUM(D38:D40)</f>
        <v>2714441</v>
      </c>
      <c r="E41" s="79">
        <f>D41-C41</f>
        <v>1583674</v>
      </c>
      <c r="F41" s="80">
        <f>IF(C41=0,0,E41/C41)</f>
        <v>1.4005307901627833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38059285</v>
      </c>
      <c r="D43" s="79">
        <f>D35+D41</f>
        <v>48693383</v>
      </c>
      <c r="E43" s="79">
        <f>D43-C43</f>
        <v>10634098</v>
      </c>
      <c r="F43" s="80">
        <f>IF(C43=0,0,E43/C43)</f>
        <v>0.27940876976538054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363258</v>
      </c>
      <c r="D46" s="76">
        <v>-2678999</v>
      </c>
      <c r="E46" s="76">
        <f>D46-C46</f>
        <v>-3042257</v>
      </c>
      <c r="F46" s="77">
        <f>IF(C46=0,0,E46/C46)</f>
        <v>-8.3749208551497833</v>
      </c>
    </row>
    <row r="47" spans="1:6" ht="23.1" customHeight="1" x14ac:dyDescent="0.2">
      <c r="A47" s="85"/>
      <c r="B47" s="75" t="s">
        <v>101</v>
      </c>
      <c r="C47" s="76">
        <v>1224897</v>
      </c>
      <c r="D47" s="76">
        <v>-617584</v>
      </c>
      <c r="E47" s="76">
        <f>D47-C47</f>
        <v>-1842481</v>
      </c>
      <c r="F47" s="77">
        <f>IF(C47=0,0,E47/C47)</f>
        <v>-1.5041925974183952</v>
      </c>
    </row>
    <row r="48" spans="1:6" ht="23.1" customHeight="1" x14ac:dyDescent="0.25">
      <c r="A48" s="83"/>
      <c r="B48" s="78" t="s">
        <v>102</v>
      </c>
      <c r="C48" s="79">
        <f>SUM(C46:C47)</f>
        <v>1588155</v>
      </c>
      <c r="D48" s="79">
        <f>SUM(D46:D47)</f>
        <v>-3296583</v>
      </c>
      <c r="E48" s="79">
        <f>D48-C48</f>
        <v>-4884738</v>
      </c>
      <c r="F48" s="80">
        <f>IF(C48=0,0,E48/C48)</f>
        <v>-3.0757312730810278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39647440</v>
      </c>
      <c r="D50" s="79">
        <f>D43+D48</f>
        <v>45396800</v>
      </c>
      <c r="E50" s="79">
        <f>D50-C50</f>
        <v>5749360</v>
      </c>
      <c r="F50" s="80">
        <f>IF(C50=0,0,E50/C50)</f>
        <v>0.1450121369753003</v>
      </c>
    </row>
    <row r="51" spans="1:6" ht="23.1" customHeight="1" x14ac:dyDescent="0.2">
      <c r="A51" s="85"/>
      <c r="B51" s="75" t="s">
        <v>104</v>
      </c>
      <c r="C51" s="76">
        <v>5376000</v>
      </c>
      <c r="D51" s="76">
        <v>5295000</v>
      </c>
      <c r="E51" s="76">
        <f>D51-C51</f>
        <v>-81000</v>
      </c>
      <c r="F51" s="77">
        <f>IF(C51=0,0,E51/C51)</f>
        <v>-1.5066964285714286E-2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70" orientation="portrait" horizontalDpi="1200" verticalDpi="1200" r:id="rId1"/>
  <headerFooter>
    <oddHeader>&amp;LOFFICE OF HEALTH CARE ACCESS&amp;CTWELVE MONTHS ACTUAL FILING&amp;RSTAMFORD HOSPITAL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zoomScale="75" workbookViewId="0">
      <selection activeCell="D93" sqref="D93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69" t="s">
        <v>0</v>
      </c>
      <c r="B2" s="769"/>
      <c r="C2" s="769"/>
      <c r="D2" s="769"/>
      <c r="E2" s="769"/>
      <c r="F2" s="769"/>
    </row>
    <row r="3" spans="1:6" ht="15.75" customHeight="1" x14ac:dyDescent="0.25">
      <c r="A3" s="769" t="s">
        <v>1</v>
      </c>
      <c r="B3" s="769"/>
      <c r="C3" s="769"/>
      <c r="D3" s="769"/>
      <c r="E3" s="769"/>
      <c r="F3" s="769"/>
    </row>
    <row r="4" spans="1:6" ht="15.75" customHeight="1" x14ac:dyDescent="0.25">
      <c r="A4" s="769" t="s">
        <v>2</v>
      </c>
      <c r="B4" s="769"/>
      <c r="C4" s="769"/>
      <c r="D4" s="769"/>
      <c r="E4" s="769"/>
      <c r="F4" s="769"/>
    </row>
    <row r="5" spans="1:6" ht="15.75" customHeight="1" x14ac:dyDescent="0.25">
      <c r="A5" s="769" t="s">
        <v>105</v>
      </c>
      <c r="B5" s="769"/>
      <c r="C5" s="769"/>
      <c r="D5" s="769"/>
      <c r="E5" s="769"/>
      <c r="F5" s="76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70"/>
      <c r="D9" s="771"/>
      <c r="E9" s="771"/>
      <c r="F9" s="772"/>
    </row>
    <row r="10" spans="1:6" x14ac:dyDescent="0.2">
      <c r="A10" s="773" t="s">
        <v>12</v>
      </c>
      <c r="B10" s="775" t="s">
        <v>111</v>
      </c>
      <c r="C10" s="777"/>
      <c r="D10" s="778"/>
      <c r="E10" s="778"/>
      <c r="F10" s="779"/>
    </row>
    <row r="11" spans="1:6" x14ac:dyDescent="0.2">
      <c r="A11" s="774"/>
      <c r="B11" s="776"/>
      <c r="C11" s="780"/>
      <c r="D11" s="781"/>
      <c r="E11" s="781"/>
      <c r="F11" s="782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246752076</v>
      </c>
      <c r="D14" s="113">
        <v>268461126</v>
      </c>
      <c r="E14" s="113">
        <f t="shared" ref="E14:E25" si="0">D14-C14</f>
        <v>21709050</v>
      </c>
      <c r="F14" s="114">
        <f t="shared" ref="F14:F25" si="1">IF(C14=0,0,E14/C14)</f>
        <v>8.797919900783327E-2</v>
      </c>
    </row>
    <row r="15" spans="1:6" x14ac:dyDescent="0.2">
      <c r="A15" s="115">
        <v>2</v>
      </c>
      <c r="B15" s="116" t="s">
        <v>114</v>
      </c>
      <c r="C15" s="113">
        <v>51673212</v>
      </c>
      <c r="D15" s="113">
        <v>56895898</v>
      </c>
      <c r="E15" s="113">
        <f t="shared" si="0"/>
        <v>5222686</v>
      </c>
      <c r="F15" s="114">
        <f t="shared" si="1"/>
        <v>0.1010714410398951</v>
      </c>
    </row>
    <row r="16" spans="1:6" x14ac:dyDescent="0.2">
      <c r="A16" s="115">
        <v>3</v>
      </c>
      <c r="B16" s="116" t="s">
        <v>115</v>
      </c>
      <c r="C16" s="113">
        <v>110053227</v>
      </c>
      <c r="D16" s="113">
        <v>111346725</v>
      </c>
      <c r="E16" s="113">
        <f t="shared" si="0"/>
        <v>1293498</v>
      </c>
      <c r="F16" s="114">
        <f t="shared" si="1"/>
        <v>1.1753385477737967E-2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722165</v>
      </c>
      <c r="D18" s="113">
        <v>705107</v>
      </c>
      <c r="E18" s="113">
        <f t="shared" si="0"/>
        <v>-17058</v>
      </c>
      <c r="F18" s="114">
        <f t="shared" si="1"/>
        <v>-2.362064071230259E-2</v>
      </c>
    </row>
    <row r="19" spans="1:6" x14ac:dyDescent="0.2">
      <c r="A19" s="115">
        <v>6</v>
      </c>
      <c r="B19" s="116" t="s">
        <v>118</v>
      </c>
      <c r="C19" s="113">
        <v>49522064</v>
      </c>
      <c r="D19" s="113">
        <v>49981620</v>
      </c>
      <c r="E19" s="113">
        <f t="shared" si="0"/>
        <v>459556</v>
      </c>
      <c r="F19" s="114">
        <f t="shared" si="1"/>
        <v>9.2798232319234505E-3</v>
      </c>
    </row>
    <row r="20" spans="1:6" x14ac:dyDescent="0.2">
      <c r="A20" s="115">
        <v>7</v>
      </c>
      <c r="B20" s="116" t="s">
        <v>119</v>
      </c>
      <c r="C20" s="113">
        <v>145731595</v>
      </c>
      <c r="D20" s="113">
        <v>151427080</v>
      </c>
      <c r="E20" s="113">
        <f t="shared" si="0"/>
        <v>5695485</v>
      </c>
      <c r="F20" s="114">
        <f t="shared" si="1"/>
        <v>3.9082019242292654E-2</v>
      </c>
    </row>
    <row r="21" spans="1:6" x14ac:dyDescent="0.2">
      <c r="A21" s="115">
        <v>8</v>
      </c>
      <c r="B21" s="116" t="s">
        <v>120</v>
      </c>
      <c r="C21" s="113">
        <v>4740776</v>
      </c>
      <c r="D21" s="113">
        <v>5988439</v>
      </c>
      <c r="E21" s="113">
        <f t="shared" si="0"/>
        <v>1247663</v>
      </c>
      <c r="F21" s="114">
        <f t="shared" si="1"/>
        <v>0.26317695668388469</v>
      </c>
    </row>
    <row r="22" spans="1:6" x14ac:dyDescent="0.2">
      <c r="A22" s="115">
        <v>9</v>
      </c>
      <c r="B22" s="116" t="s">
        <v>121</v>
      </c>
      <c r="C22" s="113">
        <v>15900440</v>
      </c>
      <c r="D22" s="113">
        <v>8218885</v>
      </c>
      <c r="E22" s="113">
        <f t="shared" si="0"/>
        <v>-7681555</v>
      </c>
      <c r="F22" s="114">
        <f t="shared" si="1"/>
        <v>-0.48310329777037614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3250759</v>
      </c>
      <c r="D24" s="113">
        <v>3407245</v>
      </c>
      <c r="E24" s="113">
        <f t="shared" si="0"/>
        <v>156486</v>
      </c>
      <c r="F24" s="114">
        <f t="shared" si="1"/>
        <v>4.81382963178753E-2</v>
      </c>
    </row>
    <row r="25" spans="1:6" ht="15.75" x14ac:dyDescent="0.25">
      <c r="A25" s="117"/>
      <c r="B25" s="118" t="s">
        <v>124</v>
      </c>
      <c r="C25" s="119">
        <f>SUM(C14:C24)</f>
        <v>628346314</v>
      </c>
      <c r="D25" s="119">
        <f>SUM(D14:D24)</f>
        <v>656432125</v>
      </c>
      <c r="E25" s="119">
        <f t="shared" si="0"/>
        <v>28085811</v>
      </c>
      <c r="F25" s="120">
        <f t="shared" si="1"/>
        <v>4.4697980037804438E-2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302143221</v>
      </c>
      <c r="D27" s="113">
        <v>325798695</v>
      </c>
      <c r="E27" s="113">
        <f t="shared" ref="E27:E38" si="2">D27-C27</f>
        <v>23655474</v>
      </c>
      <c r="F27" s="114">
        <f t="shared" ref="F27:F38" si="3">IF(C27=0,0,E27/C27)</f>
        <v>7.8292254652306104E-2</v>
      </c>
    </row>
    <row r="28" spans="1:6" x14ac:dyDescent="0.2">
      <c r="A28" s="115">
        <v>2</v>
      </c>
      <c r="B28" s="116" t="s">
        <v>114</v>
      </c>
      <c r="C28" s="113">
        <v>64074177</v>
      </c>
      <c r="D28" s="113">
        <v>68508982</v>
      </c>
      <c r="E28" s="113">
        <f t="shared" si="2"/>
        <v>4434805</v>
      </c>
      <c r="F28" s="114">
        <f t="shared" si="3"/>
        <v>6.9213608471319105E-2</v>
      </c>
    </row>
    <row r="29" spans="1:6" x14ac:dyDescent="0.2">
      <c r="A29" s="115">
        <v>3</v>
      </c>
      <c r="B29" s="116" t="s">
        <v>115</v>
      </c>
      <c r="C29" s="113">
        <v>158191842</v>
      </c>
      <c r="D29" s="113">
        <v>179795054</v>
      </c>
      <c r="E29" s="113">
        <f t="shared" si="2"/>
        <v>21603212</v>
      </c>
      <c r="F29" s="114">
        <f t="shared" si="3"/>
        <v>0.13656337600519247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1024174</v>
      </c>
      <c r="D31" s="113">
        <v>912055</v>
      </c>
      <c r="E31" s="113">
        <f t="shared" si="2"/>
        <v>-112119</v>
      </c>
      <c r="F31" s="114">
        <f t="shared" si="3"/>
        <v>-0.10947260914649269</v>
      </c>
    </row>
    <row r="32" spans="1:6" x14ac:dyDescent="0.2">
      <c r="A32" s="115">
        <v>6</v>
      </c>
      <c r="B32" s="116" t="s">
        <v>118</v>
      </c>
      <c r="C32" s="113">
        <v>147198767</v>
      </c>
      <c r="D32" s="113">
        <v>144031939</v>
      </c>
      <c r="E32" s="113">
        <f t="shared" si="2"/>
        <v>-3166828</v>
      </c>
      <c r="F32" s="114">
        <f t="shared" si="3"/>
        <v>-2.1513957382537044E-2</v>
      </c>
    </row>
    <row r="33" spans="1:6" x14ac:dyDescent="0.2">
      <c r="A33" s="115">
        <v>7</v>
      </c>
      <c r="B33" s="116" t="s">
        <v>119</v>
      </c>
      <c r="C33" s="113">
        <v>412797004</v>
      </c>
      <c r="D33" s="113">
        <v>429128547</v>
      </c>
      <c r="E33" s="113">
        <f t="shared" si="2"/>
        <v>16331543</v>
      </c>
      <c r="F33" s="114">
        <f t="shared" si="3"/>
        <v>3.9563133554137909E-2</v>
      </c>
    </row>
    <row r="34" spans="1:6" x14ac:dyDescent="0.2">
      <c r="A34" s="115">
        <v>8</v>
      </c>
      <c r="B34" s="116" t="s">
        <v>120</v>
      </c>
      <c r="C34" s="113">
        <v>10701168</v>
      </c>
      <c r="D34" s="113">
        <v>11041529</v>
      </c>
      <c r="E34" s="113">
        <f t="shared" si="2"/>
        <v>340361</v>
      </c>
      <c r="F34" s="114">
        <f t="shared" si="3"/>
        <v>3.1805967348610915E-2</v>
      </c>
    </row>
    <row r="35" spans="1:6" x14ac:dyDescent="0.2">
      <c r="A35" s="115">
        <v>9</v>
      </c>
      <c r="B35" s="116" t="s">
        <v>121</v>
      </c>
      <c r="C35" s="113">
        <v>51321924</v>
      </c>
      <c r="D35" s="113">
        <v>53763116</v>
      </c>
      <c r="E35" s="113">
        <f t="shared" si="2"/>
        <v>2441192</v>
      </c>
      <c r="F35" s="114">
        <f t="shared" si="3"/>
        <v>4.7566260376364689E-2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3233863</v>
      </c>
      <c r="D37" s="113">
        <v>3036644</v>
      </c>
      <c r="E37" s="113">
        <f t="shared" si="2"/>
        <v>-197219</v>
      </c>
      <c r="F37" s="114">
        <f t="shared" si="3"/>
        <v>-6.0985576692642825E-2</v>
      </c>
    </row>
    <row r="38" spans="1:6" ht="15.75" x14ac:dyDescent="0.25">
      <c r="A38" s="117"/>
      <c r="B38" s="118" t="s">
        <v>126</v>
      </c>
      <c r="C38" s="119">
        <f>SUM(C27:C37)</f>
        <v>1150686140</v>
      </c>
      <c r="D38" s="119">
        <f>SUM(D27:D37)</f>
        <v>1216016561</v>
      </c>
      <c r="E38" s="119">
        <f t="shared" si="2"/>
        <v>65330421</v>
      </c>
      <c r="F38" s="120">
        <f t="shared" si="3"/>
        <v>5.6775187193964113E-2</v>
      </c>
    </row>
    <row r="39" spans="1:6" ht="15" customHeight="1" x14ac:dyDescent="0.2">
      <c r="A39" s="773" t="s">
        <v>127</v>
      </c>
      <c r="B39" s="775" t="s">
        <v>128</v>
      </c>
      <c r="C39" s="777"/>
      <c r="D39" s="778"/>
      <c r="E39" s="778"/>
      <c r="F39" s="779"/>
    </row>
    <row r="40" spans="1:6" ht="15" customHeight="1" x14ac:dyDescent="0.2">
      <c r="A40" s="774"/>
      <c r="B40" s="776"/>
      <c r="C40" s="780"/>
      <c r="D40" s="781"/>
      <c r="E40" s="781"/>
      <c r="F40" s="782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548895297</v>
      </c>
      <c r="D41" s="119">
        <f t="shared" si="4"/>
        <v>594259821</v>
      </c>
      <c r="E41" s="123">
        <f t="shared" ref="E41:E52" si="5">D41-C41</f>
        <v>45364524</v>
      </c>
      <c r="F41" s="124">
        <f t="shared" ref="F41:F52" si="6">IF(C41=0,0,E41/C41)</f>
        <v>8.2646953340538454E-2</v>
      </c>
    </row>
    <row r="42" spans="1:6" ht="15.75" x14ac:dyDescent="0.25">
      <c r="A42" s="121">
        <v>2</v>
      </c>
      <c r="B42" s="122" t="s">
        <v>114</v>
      </c>
      <c r="C42" s="119">
        <f t="shared" si="4"/>
        <v>115747389</v>
      </c>
      <c r="D42" s="119">
        <f t="shared" si="4"/>
        <v>125404880</v>
      </c>
      <c r="E42" s="123">
        <f t="shared" si="5"/>
        <v>9657491</v>
      </c>
      <c r="F42" s="124">
        <f t="shared" si="6"/>
        <v>8.3435929600105277E-2</v>
      </c>
    </row>
    <row r="43" spans="1:6" ht="15.75" x14ac:dyDescent="0.25">
      <c r="A43" s="121">
        <v>3</v>
      </c>
      <c r="B43" s="122" t="s">
        <v>115</v>
      </c>
      <c r="C43" s="119">
        <f t="shared" si="4"/>
        <v>268245069</v>
      </c>
      <c r="D43" s="119">
        <f t="shared" si="4"/>
        <v>291141779</v>
      </c>
      <c r="E43" s="123">
        <f t="shared" si="5"/>
        <v>22896710</v>
      </c>
      <c r="F43" s="124">
        <f t="shared" si="6"/>
        <v>8.5357431118333063E-2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1746339</v>
      </c>
      <c r="D45" s="119">
        <f t="shared" si="4"/>
        <v>1617162</v>
      </c>
      <c r="E45" s="123">
        <f t="shared" si="5"/>
        <v>-129177</v>
      </c>
      <c r="F45" s="124">
        <f t="shared" si="6"/>
        <v>-7.3970174175804357E-2</v>
      </c>
    </row>
    <row r="46" spans="1:6" ht="15.75" x14ac:dyDescent="0.25">
      <c r="A46" s="121">
        <v>6</v>
      </c>
      <c r="B46" s="122" t="s">
        <v>118</v>
      </c>
      <c r="C46" s="119">
        <f t="shared" si="4"/>
        <v>196720831</v>
      </c>
      <c r="D46" s="119">
        <f t="shared" si="4"/>
        <v>194013559</v>
      </c>
      <c r="E46" s="123">
        <f t="shared" si="5"/>
        <v>-2707272</v>
      </c>
      <c r="F46" s="124">
        <f t="shared" si="6"/>
        <v>-1.3761999612537221E-2</v>
      </c>
    </row>
    <row r="47" spans="1:6" ht="15.75" x14ac:dyDescent="0.25">
      <c r="A47" s="121">
        <v>7</v>
      </c>
      <c r="B47" s="122" t="s">
        <v>119</v>
      </c>
      <c r="C47" s="119">
        <f t="shared" si="4"/>
        <v>558528599</v>
      </c>
      <c r="D47" s="119">
        <f t="shared" si="4"/>
        <v>580555627</v>
      </c>
      <c r="E47" s="123">
        <f t="shared" si="5"/>
        <v>22027028</v>
      </c>
      <c r="F47" s="124">
        <f t="shared" si="6"/>
        <v>3.9437600938318287E-2</v>
      </c>
    </row>
    <row r="48" spans="1:6" ht="15.75" x14ac:dyDescent="0.25">
      <c r="A48" s="121">
        <v>8</v>
      </c>
      <c r="B48" s="122" t="s">
        <v>120</v>
      </c>
      <c r="C48" s="119">
        <f t="shared" si="4"/>
        <v>15441944</v>
      </c>
      <c r="D48" s="119">
        <f t="shared" si="4"/>
        <v>17029968</v>
      </c>
      <c r="E48" s="123">
        <f t="shared" si="5"/>
        <v>1588024</v>
      </c>
      <c r="F48" s="124">
        <f t="shared" si="6"/>
        <v>0.10283834729616945</v>
      </c>
    </row>
    <row r="49" spans="1:6" ht="15.75" x14ac:dyDescent="0.25">
      <c r="A49" s="121">
        <v>9</v>
      </c>
      <c r="B49" s="122" t="s">
        <v>121</v>
      </c>
      <c r="C49" s="119">
        <f t="shared" si="4"/>
        <v>67222364</v>
      </c>
      <c r="D49" s="119">
        <f t="shared" si="4"/>
        <v>61982001</v>
      </c>
      <c r="E49" s="123">
        <f t="shared" si="5"/>
        <v>-5240363</v>
      </c>
      <c r="F49" s="124">
        <f t="shared" si="6"/>
        <v>-7.7955648807590289E-2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6484622</v>
      </c>
      <c r="D51" s="119">
        <f t="shared" si="4"/>
        <v>6443889</v>
      </c>
      <c r="E51" s="123">
        <f t="shared" si="5"/>
        <v>-40733</v>
      </c>
      <c r="F51" s="124">
        <f t="shared" si="6"/>
        <v>-6.2814763913763977E-3</v>
      </c>
    </row>
    <row r="52" spans="1:6" ht="18.75" customHeight="1" thickBot="1" x14ac:dyDescent="0.3">
      <c r="A52" s="125"/>
      <c r="B52" s="126" t="s">
        <v>128</v>
      </c>
      <c r="C52" s="127">
        <f>SUM(C41:C51)</f>
        <v>1779032454</v>
      </c>
      <c r="D52" s="128">
        <f>SUM(D41:D51)</f>
        <v>1872448686</v>
      </c>
      <c r="E52" s="127">
        <f t="shared" si="5"/>
        <v>93416232</v>
      </c>
      <c r="F52" s="129">
        <f t="shared" si="6"/>
        <v>5.2509571587613095E-2</v>
      </c>
    </row>
    <row r="53" spans="1:6" x14ac:dyDescent="0.2">
      <c r="A53" s="773" t="s">
        <v>44</v>
      </c>
      <c r="B53" s="775" t="s">
        <v>129</v>
      </c>
      <c r="C53" s="777"/>
      <c r="D53" s="778"/>
      <c r="E53" s="778"/>
      <c r="F53" s="779"/>
    </row>
    <row r="54" spans="1:6" ht="15" customHeight="1" x14ac:dyDescent="0.2">
      <c r="A54" s="774"/>
      <c r="B54" s="776"/>
      <c r="C54" s="780"/>
      <c r="D54" s="781"/>
      <c r="E54" s="781"/>
      <c r="F54" s="782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57591876</v>
      </c>
      <c r="D57" s="113">
        <v>66249926</v>
      </c>
      <c r="E57" s="113">
        <f t="shared" ref="E57:E68" si="7">D57-C57</f>
        <v>8658050</v>
      </c>
      <c r="F57" s="114">
        <f t="shared" ref="F57:F68" si="8">IF(C57=0,0,E57/C57)</f>
        <v>0.1503345714940767</v>
      </c>
    </row>
    <row r="58" spans="1:6" x14ac:dyDescent="0.2">
      <c r="A58" s="115">
        <v>2</v>
      </c>
      <c r="B58" s="116" t="s">
        <v>114</v>
      </c>
      <c r="C58" s="113">
        <v>11219026</v>
      </c>
      <c r="D58" s="113">
        <v>12113174</v>
      </c>
      <c r="E58" s="113">
        <f t="shared" si="7"/>
        <v>894148</v>
      </c>
      <c r="F58" s="114">
        <f t="shared" si="8"/>
        <v>7.969925374983533E-2</v>
      </c>
    </row>
    <row r="59" spans="1:6" x14ac:dyDescent="0.2">
      <c r="A59" s="115">
        <v>3</v>
      </c>
      <c r="B59" s="116" t="s">
        <v>115</v>
      </c>
      <c r="C59" s="113">
        <v>15718579</v>
      </c>
      <c r="D59" s="113">
        <v>14481962</v>
      </c>
      <c r="E59" s="113">
        <f t="shared" si="7"/>
        <v>-1236617</v>
      </c>
      <c r="F59" s="114">
        <f t="shared" si="8"/>
        <v>-7.8672315099221124E-2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229860</v>
      </c>
      <c r="D61" s="113">
        <v>135237</v>
      </c>
      <c r="E61" s="113">
        <f t="shared" si="7"/>
        <v>-94623</v>
      </c>
      <c r="F61" s="114">
        <f t="shared" si="8"/>
        <v>-0.41165492038632212</v>
      </c>
    </row>
    <row r="62" spans="1:6" x14ac:dyDescent="0.2">
      <c r="A62" s="115">
        <v>6</v>
      </c>
      <c r="B62" s="116" t="s">
        <v>118</v>
      </c>
      <c r="C62" s="113">
        <v>17119729</v>
      </c>
      <c r="D62" s="113">
        <v>22409554</v>
      </c>
      <c r="E62" s="113">
        <f t="shared" si="7"/>
        <v>5289825</v>
      </c>
      <c r="F62" s="114">
        <f t="shared" si="8"/>
        <v>0.30898999627856261</v>
      </c>
    </row>
    <row r="63" spans="1:6" x14ac:dyDescent="0.2">
      <c r="A63" s="115">
        <v>7</v>
      </c>
      <c r="B63" s="116" t="s">
        <v>119</v>
      </c>
      <c r="C63" s="113">
        <v>60948208</v>
      </c>
      <c r="D63" s="113">
        <v>59677070</v>
      </c>
      <c r="E63" s="113">
        <f t="shared" si="7"/>
        <v>-1271138</v>
      </c>
      <c r="F63" s="114">
        <f t="shared" si="8"/>
        <v>-2.0856035668841977E-2</v>
      </c>
    </row>
    <row r="64" spans="1:6" x14ac:dyDescent="0.2">
      <c r="A64" s="115">
        <v>8</v>
      </c>
      <c r="B64" s="116" t="s">
        <v>120</v>
      </c>
      <c r="C64" s="113">
        <v>920781</v>
      </c>
      <c r="D64" s="113">
        <v>625348</v>
      </c>
      <c r="E64" s="113">
        <f t="shared" si="7"/>
        <v>-295433</v>
      </c>
      <c r="F64" s="114">
        <f t="shared" si="8"/>
        <v>-0.32085045195328749</v>
      </c>
    </row>
    <row r="65" spans="1:6" x14ac:dyDescent="0.2">
      <c r="A65" s="115">
        <v>9</v>
      </c>
      <c r="B65" s="116" t="s">
        <v>121</v>
      </c>
      <c r="C65" s="113">
        <v>115038</v>
      </c>
      <c r="D65" s="113">
        <v>175349</v>
      </c>
      <c r="E65" s="113">
        <f t="shared" si="7"/>
        <v>60311</v>
      </c>
      <c r="F65" s="114">
        <f t="shared" si="8"/>
        <v>0.52427024113771103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328652</v>
      </c>
      <c r="D67" s="113">
        <v>487782</v>
      </c>
      <c r="E67" s="113">
        <f t="shared" si="7"/>
        <v>159130</v>
      </c>
      <c r="F67" s="114">
        <f t="shared" si="8"/>
        <v>0.48418996385234231</v>
      </c>
    </row>
    <row r="68" spans="1:6" ht="15.75" x14ac:dyDescent="0.25">
      <c r="A68" s="117"/>
      <c r="B68" s="118" t="s">
        <v>131</v>
      </c>
      <c r="C68" s="119">
        <f>SUM(C57:C67)</f>
        <v>164191749</v>
      </c>
      <c r="D68" s="119">
        <f>SUM(D57:D67)</f>
        <v>176355402</v>
      </c>
      <c r="E68" s="119">
        <f t="shared" si="7"/>
        <v>12163653</v>
      </c>
      <c r="F68" s="120">
        <f t="shared" si="8"/>
        <v>7.4081999089978631E-2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42156848</v>
      </c>
      <c r="D70" s="113">
        <v>44875439</v>
      </c>
      <c r="E70" s="113">
        <f t="shared" ref="E70:E81" si="9">D70-C70</f>
        <v>2718591</v>
      </c>
      <c r="F70" s="114">
        <f t="shared" ref="F70:F81" si="10">IF(C70=0,0,E70/C70)</f>
        <v>6.4487529997498863E-2</v>
      </c>
    </row>
    <row r="71" spans="1:6" x14ac:dyDescent="0.2">
      <c r="A71" s="115">
        <v>2</v>
      </c>
      <c r="B71" s="116" t="s">
        <v>114</v>
      </c>
      <c r="C71" s="113">
        <v>7920945</v>
      </c>
      <c r="D71" s="113">
        <v>8872104</v>
      </c>
      <c r="E71" s="113">
        <f t="shared" si="9"/>
        <v>951159</v>
      </c>
      <c r="F71" s="114">
        <f t="shared" si="10"/>
        <v>0.12008150542643586</v>
      </c>
    </row>
    <row r="72" spans="1:6" x14ac:dyDescent="0.2">
      <c r="A72" s="115">
        <v>3</v>
      </c>
      <c r="B72" s="116" t="s">
        <v>115</v>
      </c>
      <c r="C72" s="113">
        <v>24969031</v>
      </c>
      <c r="D72" s="113">
        <v>24103560</v>
      </c>
      <c r="E72" s="113">
        <f t="shared" si="9"/>
        <v>-865471</v>
      </c>
      <c r="F72" s="114">
        <f t="shared" si="10"/>
        <v>-3.4661777623649075E-2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189569</v>
      </c>
      <c r="D74" s="113">
        <v>44469</v>
      </c>
      <c r="E74" s="113">
        <f t="shared" si="9"/>
        <v>-145100</v>
      </c>
      <c r="F74" s="114">
        <f t="shared" si="10"/>
        <v>-0.76542050651741578</v>
      </c>
    </row>
    <row r="75" spans="1:6" x14ac:dyDescent="0.2">
      <c r="A75" s="115">
        <v>6</v>
      </c>
      <c r="B75" s="116" t="s">
        <v>118</v>
      </c>
      <c r="C75" s="113">
        <v>58911949</v>
      </c>
      <c r="D75" s="113">
        <v>69421992</v>
      </c>
      <c r="E75" s="113">
        <f t="shared" si="9"/>
        <v>10510043</v>
      </c>
      <c r="F75" s="114">
        <f t="shared" si="10"/>
        <v>0.17840256821243514</v>
      </c>
    </row>
    <row r="76" spans="1:6" x14ac:dyDescent="0.2">
      <c r="A76" s="115">
        <v>7</v>
      </c>
      <c r="B76" s="116" t="s">
        <v>119</v>
      </c>
      <c r="C76" s="113">
        <v>171808671</v>
      </c>
      <c r="D76" s="113">
        <v>173791103</v>
      </c>
      <c r="E76" s="113">
        <f t="shared" si="9"/>
        <v>1982432</v>
      </c>
      <c r="F76" s="114">
        <f t="shared" si="10"/>
        <v>1.1538602728613156E-2</v>
      </c>
    </row>
    <row r="77" spans="1:6" x14ac:dyDescent="0.2">
      <c r="A77" s="115">
        <v>8</v>
      </c>
      <c r="B77" s="116" t="s">
        <v>120</v>
      </c>
      <c r="C77" s="113">
        <v>5540125</v>
      </c>
      <c r="D77" s="113">
        <v>3503107</v>
      </c>
      <c r="E77" s="113">
        <f t="shared" si="9"/>
        <v>-2037018</v>
      </c>
      <c r="F77" s="114">
        <f t="shared" si="10"/>
        <v>-0.36768448365334716</v>
      </c>
    </row>
    <row r="78" spans="1:6" x14ac:dyDescent="0.2">
      <c r="A78" s="115">
        <v>9</v>
      </c>
      <c r="B78" s="116" t="s">
        <v>121</v>
      </c>
      <c r="C78" s="113">
        <v>1538646</v>
      </c>
      <c r="D78" s="113">
        <v>1720175</v>
      </c>
      <c r="E78" s="113">
        <f t="shared" si="9"/>
        <v>181529</v>
      </c>
      <c r="F78" s="114">
        <f t="shared" si="10"/>
        <v>0.11797970423346241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91553</v>
      </c>
      <c r="D80" s="113">
        <v>289833</v>
      </c>
      <c r="E80" s="113">
        <f t="shared" si="9"/>
        <v>198280</v>
      </c>
      <c r="F80" s="114">
        <f t="shared" si="10"/>
        <v>2.1657400631328301</v>
      </c>
    </row>
    <row r="81" spans="1:6" ht="15.75" x14ac:dyDescent="0.25">
      <c r="A81" s="117"/>
      <c r="B81" s="118" t="s">
        <v>133</v>
      </c>
      <c r="C81" s="119">
        <f>SUM(C70:C80)</f>
        <v>313127337</v>
      </c>
      <c r="D81" s="119">
        <f>SUM(D70:D80)</f>
        <v>326621782</v>
      </c>
      <c r="E81" s="119">
        <f t="shared" si="9"/>
        <v>13494445</v>
      </c>
      <c r="F81" s="120">
        <f t="shared" si="10"/>
        <v>4.3095710292455236E-2</v>
      </c>
    </row>
    <row r="82" spans="1:6" ht="15" customHeight="1" x14ac:dyDescent="0.2">
      <c r="A82" s="773" t="s">
        <v>127</v>
      </c>
      <c r="B82" s="775" t="s">
        <v>134</v>
      </c>
      <c r="C82" s="777"/>
      <c r="D82" s="778"/>
      <c r="E82" s="778"/>
      <c r="F82" s="779"/>
    </row>
    <row r="83" spans="1:6" ht="15" customHeight="1" x14ac:dyDescent="0.2">
      <c r="A83" s="774"/>
      <c r="B83" s="776"/>
      <c r="C83" s="780"/>
      <c r="D83" s="781"/>
      <c r="E83" s="781"/>
      <c r="F83" s="782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99748724</v>
      </c>
      <c r="D84" s="119">
        <f t="shared" si="11"/>
        <v>111125365</v>
      </c>
      <c r="E84" s="119">
        <f t="shared" ref="E84:E95" si="12">D84-C84</f>
        <v>11376641</v>
      </c>
      <c r="F84" s="120">
        <f t="shared" ref="F84:F95" si="13">IF(C84=0,0,E84/C84)</f>
        <v>0.11405299781077902</v>
      </c>
    </row>
    <row r="85" spans="1:6" ht="15.75" x14ac:dyDescent="0.25">
      <c r="A85" s="130">
        <v>2</v>
      </c>
      <c r="B85" s="122" t="s">
        <v>114</v>
      </c>
      <c r="C85" s="119">
        <f t="shared" si="11"/>
        <v>19139971</v>
      </c>
      <c r="D85" s="119">
        <f t="shared" si="11"/>
        <v>20985278</v>
      </c>
      <c r="E85" s="119">
        <f t="shared" si="12"/>
        <v>1845307</v>
      </c>
      <c r="F85" s="120">
        <f t="shared" si="13"/>
        <v>9.6411170110968294E-2</v>
      </c>
    </row>
    <row r="86" spans="1:6" ht="15.75" x14ac:dyDescent="0.25">
      <c r="A86" s="130">
        <v>3</v>
      </c>
      <c r="B86" s="122" t="s">
        <v>115</v>
      </c>
      <c r="C86" s="119">
        <f t="shared" si="11"/>
        <v>40687610</v>
      </c>
      <c r="D86" s="119">
        <f t="shared" si="11"/>
        <v>38585522</v>
      </c>
      <c r="E86" s="119">
        <f t="shared" si="12"/>
        <v>-2102088</v>
      </c>
      <c r="F86" s="120">
        <f t="shared" si="13"/>
        <v>-5.1664081522606022E-2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419429</v>
      </c>
      <c r="D88" s="119">
        <f t="shared" si="11"/>
        <v>179706</v>
      </c>
      <c r="E88" s="119">
        <f t="shared" si="12"/>
        <v>-239723</v>
      </c>
      <c r="F88" s="120">
        <f t="shared" si="13"/>
        <v>-0.57154607812049241</v>
      </c>
    </row>
    <row r="89" spans="1:6" ht="15.75" x14ac:dyDescent="0.25">
      <c r="A89" s="130">
        <v>6</v>
      </c>
      <c r="B89" s="122" t="s">
        <v>118</v>
      </c>
      <c r="C89" s="119">
        <f t="shared" si="11"/>
        <v>76031678</v>
      </c>
      <c r="D89" s="119">
        <f t="shared" si="11"/>
        <v>91831546</v>
      </c>
      <c r="E89" s="119">
        <f t="shared" si="12"/>
        <v>15799868</v>
      </c>
      <c r="F89" s="120">
        <f t="shared" si="13"/>
        <v>0.20780638301840451</v>
      </c>
    </row>
    <row r="90" spans="1:6" ht="15.75" x14ac:dyDescent="0.25">
      <c r="A90" s="130">
        <v>7</v>
      </c>
      <c r="B90" s="122" t="s">
        <v>119</v>
      </c>
      <c r="C90" s="119">
        <f t="shared" si="11"/>
        <v>232756879</v>
      </c>
      <c r="D90" s="119">
        <f t="shared" si="11"/>
        <v>233468173</v>
      </c>
      <c r="E90" s="119">
        <f t="shared" si="12"/>
        <v>711294</v>
      </c>
      <c r="F90" s="120">
        <f t="shared" si="13"/>
        <v>3.0559526449055025E-3</v>
      </c>
    </row>
    <row r="91" spans="1:6" ht="15.75" x14ac:dyDescent="0.25">
      <c r="A91" s="130">
        <v>8</v>
      </c>
      <c r="B91" s="122" t="s">
        <v>120</v>
      </c>
      <c r="C91" s="119">
        <f t="shared" si="11"/>
        <v>6460906</v>
      </c>
      <c r="D91" s="119">
        <f t="shared" si="11"/>
        <v>4128455</v>
      </c>
      <c r="E91" s="119">
        <f t="shared" si="12"/>
        <v>-2332451</v>
      </c>
      <c r="F91" s="120">
        <f t="shared" si="13"/>
        <v>-0.36100989551620161</v>
      </c>
    </row>
    <row r="92" spans="1:6" ht="15.75" x14ac:dyDescent="0.25">
      <c r="A92" s="130">
        <v>9</v>
      </c>
      <c r="B92" s="122" t="s">
        <v>121</v>
      </c>
      <c r="C92" s="119">
        <f t="shared" si="11"/>
        <v>1653684</v>
      </c>
      <c r="D92" s="119">
        <f t="shared" si="11"/>
        <v>1895524</v>
      </c>
      <c r="E92" s="119">
        <f t="shared" si="12"/>
        <v>241840</v>
      </c>
      <c r="F92" s="120">
        <f t="shared" si="13"/>
        <v>0.14624317584254307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420205</v>
      </c>
      <c r="D94" s="119">
        <f t="shared" si="11"/>
        <v>777615</v>
      </c>
      <c r="E94" s="119">
        <f t="shared" si="12"/>
        <v>357410</v>
      </c>
      <c r="F94" s="120">
        <f t="shared" si="13"/>
        <v>0.85056103568496333</v>
      </c>
    </row>
    <row r="95" spans="1:6" ht="18.75" customHeight="1" thickBot="1" x14ac:dyDescent="0.3">
      <c r="A95" s="131"/>
      <c r="B95" s="132" t="s">
        <v>134</v>
      </c>
      <c r="C95" s="128">
        <f>SUM(C84:C94)</f>
        <v>477319086</v>
      </c>
      <c r="D95" s="128">
        <f>SUM(D84:D94)</f>
        <v>502977184</v>
      </c>
      <c r="E95" s="128">
        <f t="shared" si="12"/>
        <v>25658098</v>
      </c>
      <c r="F95" s="129">
        <f t="shared" si="13"/>
        <v>5.375460305813122E-2</v>
      </c>
    </row>
    <row r="96" spans="1:6" x14ac:dyDescent="0.2">
      <c r="A96" s="773" t="s">
        <v>135</v>
      </c>
      <c r="B96" s="775" t="s">
        <v>136</v>
      </c>
      <c r="C96" s="777"/>
      <c r="D96" s="778"/>
      <c r="E96" s="778"/>
      <c r="F96" s="779"/>
    </row>
    <row r="97" spans="1:6" ht="15" customHeight="1" x14ac:dyDescent="0.2">
      <c r="A97" s="774"/>
      <c r="B97" s="776"/>
      <c r="C97" s="780"/>
      <c r="D97" s="781"/>
      <c r="E97" s="781"/>
      <c r="F97" s="782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4501</v>
      </c>
      <c r="D100" s="133">
        <v>4619</v>
      </c>
      <c r="E100" s="133">
        <f t="shared" ref="E100:E111" si="14">D100-C100</f>
        <v>118</v>
      </c>
      <c r="F100" s="114">
        <f t="shared" ref="F100:F111" si="15">IF(C100=0,0,E100/C100)</f>
        <v>2.6216396356365253E-2</v>
      </c>
    </row>
    <row r="101" spans="1:6" x14ac:dyDescent="0.2">
      <c r="A101" s="115">
        <v>2</v>
      </c>
      <c r="B101" s="116" t="s">
        <v>114</v>
      </c>
      <c r="C101" s="133">
        <v>835</v>
      </c>
      <c r="D101" s="133">
        <v>873</v>
      </c>
      <c r="E101" s="133">
        <f t="shared" si="14"/>
        <v>38</v>
      </c>
      <c r="F101" s="114">
        <f t="shared" si="15"/>
        <v>4.5508982035928146E-2</v>
      </c>
    </row>
    <row r="102" spans="1:6" x14ac:dyDescent="0.2">
      <c r="A102" s="115">
        <v>3</v>
      </c>
      <c r="B102" s="116" t="s">
        <v>115</v>
      </c>
      <c r="C102" s="133">
        <v>3376</v>
      </c>
      <c r="D102" s="133">
        <v>3394</v>
      </c>
      <c r="E102" s="133">
        <f t="shared" si="14"/>
        <v>18</v>
      </c>
      <c r="F102" s="114">
        <f t="shared" si="15"/>
        <v>5.3317535545023701E-3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15</v>
      </c>
      <c r="D104" s="133">
        <v>19</v>
      </c>
      <c r="E104" s="133">
        <f t="shared" si="14"/>
        <v>4</v>
      </c>
      <c r="F104" s="114">
        <f t="shared" si="15"/>
        <v>0.26666666666666666</v>
      </c>
    </row>
    <row r="105" spans="1:6" x14ac:dyDescent="0.2">
      <c r="A105" s="115">
        <v>6</v>
      </c>
      <c r="B105" s="116" t="s">
        <v>118</v>
      </c>
      <c r="C105" s="133">
        <v>1500</v>
      </c>
      <c r="D105" s="133">
        <v>1468</v>
      </c>
      <c r="E105" s="133">
        <f t="shared" si="14"/>
        <v>-32</v>
      </c>
      <c r="F105" s="114">
        <f t="shared" si="15"/>
        <v>-2.1333333333333333E-2</v>
      </c>
    </row>
    <row r="106" spans="1:6" x14ac:dyDescent="0.2">
      <c r="A106" s="115">
        <v>7</v>
      </c>
      <c r="B106" s="116" t="s">
        <v>119</v>
      </c>
      <c r="C106" s="133">
        <v>4113</v>
      </c>
      <c r="D106" s="133">
        <v>4143</v>
      </c>
      <c r="E106" s="133">
        <f t="shared" si="14"/>
        <v>30</v>
      </c>
      <c r="F106" s="114">
        <f t="shared" si="15"/>
        <v>7.2939460247994168E-3</v>
      </c>
    </row>
    <row r="107" spans="1:6" x14ac:dyDescent="0.2">
      <c r="A107" s="115">
        <v>8</v>
      </c>
      <c r="B107" s="116" t="s">
        <v>120</v>
      </c>
      <c r="C107" s="133">
        <v>61</v>
      </c>
      <c r="D107" s="133">
        <v>58</v>
      </c>
      <c r="E107" s="133">
        <f t="shared" si="14"/>
        <v>-3</v>
      </c>
      <c r="F107" s="114">
        <f t="shared" si="15"/>
        <v>-4.9180327868852458E-2</v>
      </c>
    </row>
    <row r="108" spans="1:6" x14ac:dyDescent="0.2">
      <c r="A108" s="115">
        <v>9</v>
      </c>
      <c r="B108" s="116" t="s">
        <v>121</v>
      </c>
      <c r="C108" s="133">
        <v>366</v>
      </c>
      <c r="D108" s="133">
        <v>193</v>
      </c>
      <c r="E108" s="133">
        <f t="shared" si="14"/>
        <v>-173</v>
      </c>
      <c r="F108" s="114">
        <f t="shared" si="15"/>
        <v>-0.47267759562841533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81</v>
      </c>
      <c r="D110" s="133">
        <v>80</v>
      </c>
      <c r="E110" s="133">
        <f t="shared" si="14"/>
        <v>-1</v>
      </c>
      <c r="F110" s="114">
        <f t="shared" si="15"/>
        <v>-1.2345679012345678E-2</v>
      </c>
    </row>
    <row r="111" spans="1:6" ht="15.75" x14ac:dyDescent="0.25">
      <c r="A111" s="117"/>
      <c r="B111" s="118" t="s">
        <v>138</v>
      </c>
      <c r="C111" s="134">
        <f>SUM(C100:C110)</f>
        <v>14848</v>
      </c>
      <c r="D111" s="134">
        <f>SUM(D100:D110)</f>
        <v>14847</v>
      </c>
      <c r="E111" s="134">
        <f t="shared" si="14"/>
        <v>-1</v>
      </c>
      <c r="F111" s="120">
        <f t="shared" si="15"/>
        <v>-6.7349137931034482E-5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27588</v>
      </c>
      <c r="D113" s="133">
        <v>28894</v>
      </c>
      <c r="E113" s="133">
        <f t="shared" ref="E113:E124" si="16">D113-C113</f>
        <v>1306</v>
      </c>
      <c r="F113" s="114">
        <f t="shared" ref="F113:F124" si="17">IF(C113=0,0,E113/C113)</f>
        <v>4.7339422937509062E-2</v>
      </c>
    </row>
    <row r="114" spans="1:6" x14ac:dyDescent="0.2">
      <c r="A114" s="115">
        <v>2</v>
      </c>
      <c r="B114" s="116" t="s">
        <v>114</v>
      </c>
      <c r="C114" s="133">
        <v>5295</v>
      </c>
      <c r="D114" s="133">
        <v>5374</v>
      </c>
      <c r="E114" s="133">
        <f t="shared" si="16"/>
        <v>79</v>
      </c>
      <c r="F114" s="114">
        <f t="shared" si="17"/>
        <v>1.4919735599622286E-2</v>
      </c>
    </row>
    <row r="115" spans="1:6" x14ac:dyDescent="0.2">
      <c r="A115" s="115">
        <v>3</v>
      </c>
      <c r="B115" s="116" t="s">
        <v>115</v>
      </c>
      <c r="C115" s="133">
        <v>14553</v>
      </c>
      <c r="D115" s="133">
        <v>14820</v>
      </c>
      <c r="E115" s="133">
        <f t="shared" si="16"/>
        <v>267</v>
      </c>
      <c r="F115" s="114">
        <f t="shared" si="17"/>
        <v>1.8346732632446919E-2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65</v>
      </c>
      <c r="D117" s="133">
        <v>104</v>
      </c>
      <c r="E117" s="133">
        <f t="shared" si="16"/>
        <v>39</v>
      </c>
      <c r="F117" s="114">
        <f t="shared" si="17"/>
        <v>0.6</v>
      </c>
    </row>
    <row r="118" spans="1:6" x14ac:dyDescent="0.2">
      <c r="A118" s="115">
        <v>6</v>
      </c>
      <c r="B118" s="116" t="s">
        <v>118</v>
      </c>
      <c r="C118" s="133">
        <v>5546</v>
      </c>
      <c r="D118" s="133">
        <v>5791</v>
      </c>
      <c r="E118" s="133">
        <f t="shared" si="16"/>
        <v>245</v>
      </c>
      <c r="F118" s="114">
        <f t="shared" si="17"/>
        <v>4.417598269022719E-2</v>
      </c>
    </row>
    <row r="119" spans="1:6" x14ac:dyDescent="0.2">
      <c r="A119" s="115">
        <v>7</v>
      </c>
      <c r="B119" s="116" t="s">
        <v>119</v>
      </c>
      <c r="C119" s="133">
        <v>15746</v>
      </c>
      <c r="D119" s="133">
        <v>16783</v>
      </c>
      <c r="E119" s="133">
        <f t="shared" si="16"/>
        <v>1037</v>
      </c>
      <c r="F119" s="114">
        <f t="shared" si="17"/>
        <v>6.5857995681442905E-2</v>
      </c>
    </row>
    <row r="120" spans="1:6" x14ac:dyDescent="0.2">
      <c r="A120" s="115">
        <v>8</v>
      </c>
      <c r="B120" s="116" t="s">
        <v>120</v>
      </c>
      <c r="C120" s="133">
        <v>243</v>
      </c>
      <c r="D120" s="133">
        <v>292</v>
      </c>
      <c r="E120" s="133">
        <f t="shared" si="16"/>
        <v>49</v>
      </c>
      <c r="F120" s="114">
        <f t="shared" si="17"/>
        <v>0.20164609053497942</v>
      </c>
    </row>
    <row r="121" spans="1:6" x14ac:dyDescent="0.2">
      <c r="A121" s="115">
        <v>9</v>
      </c>
      <c r="B121" s="116" t="s">
        <v>121</v>
      </c>
      <c r="C121" s="133">
        <v>1443</v>
      </c>
      <c r="D121" s="133">
        <v>716</v>
      </c>
      <c r="E121" s="133">
        <f t="shared" si="16"/>
        <v>-727</v>
      </c>
      <c r="F121" s="114">
        <f t="shared" si="17"/>
        <v>-0.50381150381150386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605</v>
      </c>
      <c r="D123" s="133">
        <v>428</v>
      </c>
      <c r="E123" s="133">
        <f t="shared" si="16"/>
        <v>-177</v>
      </c>
      <c r="F123" s="114">
        <f t="shared" si="17"/>
        <v>-0.29256198347107437</v>
      </c>
    </row>
    <row r="124" spans="1:6" ht="15.75" x14ac:dyDescent="0.25">
      <c r="A124" s="117"/>
      <c r="B124" s="118" t="s">
        <v>140</v>
      </c>
      <c r="C124" s="134">
        <f>SUM(C113:C123)</f>
        <v>71084</v>
      </c>
      <c r="D124" s="134">
        <f>SUM(D113:D123)</f>
        <v>73202</v>
      </c>
      <c r="E124" s="134">
        <f t="shared" si="16"/>
        <v>2118</v>
      </c>
      <c r="F124" s="120">
        <f t="shared" si="17"/>
        <v>2.9795734623825332E-2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85493</v>
      </c>
      <c r="D126" s="133">
        <v>93254</v>
      </c>
      <c r="E126" s="133">
        <f t="shared" ref="E126:E137" si="18">D126-C126</f>
        <v>7761</v>
      </c>
      <c r="F126" s="114">
        <f t="shared" ref="F126:F137" si="19">IF(C126=0,0,E126/C126)</f>
        <v>9.077936205303358E-2</v>
      </c>
    </row>
    <row r="127" spans="1:6" x14ac:dyDescent="0.2">
      <c r="A127" s="115">
        <v>2</v>
      </c>
      <c r="B127" s="116" t="s">
        <v>114</v>
      </c>
      <c r="C127" s="133">
        <v>18246</v>
      </c>
      <c r="D127" s="133">
        <v>19614</v>
      </c>
      <c r="E127" s="133">
        <f t="shared" si="18"/>
        <v>1368</v>
      </c>
      <c r="F127" s="114">
        <f t="shared" si="19"/>
        <v>7.4975337060177574E-2</v>
      </c>
    </row>
    <row r="128" spans="1:6" x14ac:dyDescent="0.2">
      <c r="A128" s="115">
        <v>3</v>
      </c>
      <c r="B128" s="116" t="s">
        <v>115</v>
      </c>
      <c r="C128" s="133">
        <v>58992</v>
      </c>
      <c r="D128" s="133">
        <v>67407</v>
      </c>
      <c r="E128" s="133">
        <f t="shared" si="18"/>
        <v>8415</v>
      </c>
      <c r="F128" s="114">
        <f t="shared" si="19"/>
        <v>0.14264646053702196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289</v>
      </c>
      <c r="D130" s="133">
        <v>257</v>
      </c>
      <c r="E130" s="133">
        <f t="shared" si="18"/>
        <v>-32</v>
      </c>
      <c r="F130" s="114">
        <f t="shared" si="19"/>
        <v>-0.11072664359861592</v>
      </c>
    </row>
    <row r="131" spans="1:6" x14ac:dyDescent="0.2">
      <c r="A131" s="115">
        <v>6</v>
      </c>
      <c r="B131" s="116" t="s">
        <v>118</v>
      </c>
      <c r="C131" s="133">
        <v>48117</v>
      </c>
      <c r="D131" s="133">
        <v>48029</v>
      </c>
      <c r="E131" s="133">
        <f t="shared" si="18"/>
        <v>-88</v>
      </c>
      <c r="F131" s="114">
        <f t="shared" si="19"/>
        <v>-1.8288754494253591E-3</v>
      </c>
    </row>
    <row r="132" spans="1:6" x14ac:dyDescent="0.2">
      <c r="A132" s="115">
        <v>7</v>
      </c>
      <c r="B132" s="116" t="s">
        <v>119</v>
      </c>
      <c r="C132" s="133">
        <v>145029</v>
      </c>
      <c r="D132" s="133">
        <v>147649</v>
      </c>
      <c r="E132" s="133">
        <f t="shared" si="18"/>
        <v>2620</v>
      </c>
      <c r="F132" s="114">
        <f t="shared" si="19"/>
        <v>1.8065352446752028E-2</v>
      </c>
    </row>
    <row r="133" spans="1:6" x14ac:dyDescent="0.2">
      <c r="A133" s="115">
        <v>8</v>
      </c>
      <c r="B133" s="116" t="s">
        <v>120</v>
      </c>
      <c r="C133" s="133">
        <v>2275</v>
      </c>
      <c r="D133" s="133">
        <v>2255</v>
      </c>
      <c r="E133" s="133">
        <f t="shared" si="18"/>
        <v>-20</v>
      </c>
      <c r="F133" s="114">
        <f t="shared" si="19"/>
        <v>-8.7912087912087912E-3</v>
      </c>
    </row>
    <row r="134" spans="1:6" x14ac:dyDescent="0.2">
      <c r="A134" s="115">
        <v>9</v>
      </c>
      <c r="B134" s="116" t="s">
        <v>121</v>
      </c>
      <c r="C134" s="133">
        <v>20288</v>
      </c>
      <c r="D134" s="133">
        <v>19418</v>
      </c>
      <c r="E134" s="133">
        <f t="shared" si="18"/>
        <v>-870</v>
      </c>
      <c r="F134" s="114">
        <f t="shared" si="19"/>
        <v>-4.2882492113564666E-2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675</v>
      </c>
      <c r="D136" s="133">
        <v>638</v>
      </c>
      <c r="E136" s="133">
        <f t="shared" si="18"/>
        <v>-37</v>
      </c>
      <c r="F136" s="114">
        <f t="shared" si="19"/>
        <v>-5.4814814814814816E-2</v>
      </c>
    </row>
    <row r="137" spans="1:6" ht="15.75" x14ac:dyDescent="0.25">
      <c r="A137" s="117"/>
      <c r="B137" s="118" t="s">
        <v>142</v>
      </c>
      <c r="C137" s="134">
        <f>SUM(C126:C136)</f>
        <v>379404</v>
      </c>
      <c r="D137" s="134">
        <f>SUM(D126:D136)</f>
        <v>398521</v>
      </c>
      <c r="E137" s="134">
        <f t="shared" si="18"/>
        <v>19117</v>
      </c>
      <c r="F137" s="120">
        <f t="shared" si="19"/>
        <v>5.0386922647099132E-2</v>
      </c>
    </row>
    <row r="138" spans="1:6" x14ac:dyDescent="0.2">
      <c r="A138" s="773" t="s">
        <v>143</v>
      </c>
      <c r="B138" s="775" t="s">
        <v>144</v>
      </c>
      <c r="C138" s="777"/>
      <c r="D138" s="778"/>
      <c r="E138" s="778"/>
      <c r="F138" s="779"/>
    </row>
    <row r="139" spans="1:6" ht="15" customHeight="1" x14ac:dyDescent="0.2">
      <c r="A139" s="774"/>
      <c r="B139" s="776"/>
      <c r="C139" s="780"/>
      <c r="D139" s="781"/>
      <c r="E139" s="781"/>
      <c r="F139" s="782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50723735</v>
      </c>
      <c r="D142" s="113">
        <v>52845562</v>
      </c>
      <c r="E142" s="113">
        <f t="shared" ref="E142:E153" si="20">D142-C142</f>
        <v>2121827</v>
      </c>
      <c r="F142" s="114">
        <f t="shared" ref="F142:F153" si="21">IF(C142=0,0,E142/C142)</f>
        <v>4.1831048127666463E-2</v>
      </c>
    </row>
    <row r="143" spans="1:6" x14ac:dyDescent="0.2">
      <c r="A143" s="115">
        <v>2</v>
      </c>
      <c r="B143" s="116" t="s">
        <v>114</v>
      </c>
      <c r="C143" s="113">
        <v>10461478</v>
      </c>
      <c r="D143" s="113">
        <v>12312435</v>
      </c>
      <c r="E143" s="113">
        <f t="shared" si="20"/>
        <v>1850957</v>
      </c>
      <c r="F143" s="114">
        <f t="shared" si="21"/>
        <v>0.1769307357908701</v>
      </c>
    </row>
    <row r="144" spans="1:6" x14ac:dyDescent="0.2">
      <c r="A144" s="115">
        <v>3</v>
      </c>
      <c r="B144" s="116" t="s">
        <v>115</v>
      </c>
      <c r="C144" s="113">
        <v>62296880</v>
      </c>
      <c r="D144" s="113">
        <v>67328413</v>
      </c>
      <c r="E144" s="113">
        <f t="shared" si="20"/>
        <v>5031533</v>
      </c>
      <c r="F144" s="114">
        <f t="shared" si="21"/>
        <v>8.0767014335228343E-2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435802</v>
      </c>
      <c r="D146" s="113">
        <v>418317</v>
      </c>
      <c r="E146" s="113">
        <f t="shared" si="20"/>
        <v>-17485</v>
      </c>
      <c r="F146" s="114">
        <f t="shared" si="21"/>
        <v>-4.0121431292192325E-2</v>
      </c>
    </row>
    <row r="147" spans="1:6" x14ac:dyDescent="0.2">
      <c r="A147" s="115">
        <v>6</v>
      </c>
      <c r="B147" s="116" t="s">
        <v>118</v>
      </c>
      <c r="C147" s="113">
        <v>26081213</v>
      </c>
      <c r="D147" s="113">
        <v>26973838</v>
      </c>
      <c r="E147" s="113">
        <f t="shared" si="20"/>
        <v>892625</v>
      </c>
      <c r="F147" s="114">
        <f t="shared" si="21"/>
        <v>3.4224826889761605E-2</v>
      </c>
    </row>
    <row r="148" spans="1:6" x14ac:dyDescent="0.2">
      <c r="A148" s="115">
        <v>7</v>
      </c>
      <c r="B148" s="116" t="s">
        <v>119</v>
      </c>
      <c r="C148" s="113">
        <v>59042440</v>
      </c>
      <c r="D148" s="113">
        <v>61064756</v>
      </c>
      <c r="E148" s="113">
        <f t="shared" si="20"/>
        <v>2022316</v>
      </c>
      <c r="F148" s="114">
        <f t="shared" si="21"/>
        <v>3.4251904223470436E-2</v>
      </c>
    </row>
    <row r="149" spans="1:6" x14ac:dyDescent="0.2">
      <c r="A149" s="115">
        <v>8</v>
      </c>
      <c r="B149" s="116" t="s">
        <v>120</v>
      </c>
      <c r="C149" s="113">
        <v>3159383</v>
      </c>
      <c r="D149" s="113">
        <v>3753166</v>
      </c>
      <c r="E149" s="113">
        <f t="shared" si="20"/>
        <v>593783</v>
      </c>
      <c r="F149" s="114">
        <f t="shared" si="21"/>
        <v>0.18794270906692859</v>
      </c>
    </row>
    <row r="150" spans="1:6" x14ac:dyDescent="0.2">
      <c r="A150" s="115">
        <v>9</v>
      </c>
      <c r="B150" s="116" t="s">
        <v>121</v>
      </c>
      <c r="C150" s="113">
        <v>31349904</v>
      </c>
      <c r="D150" s="113">
        <v>25962366</v>
      </c>
      <c r="E150" s="113">
        <f t="shared" si="20"/>
        <v>-5387538</v>
      </c>
      <c r="F150" s="114">
        <f t="shared" si="21"/>
        <v>-0.17185181811083058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2503836</v>
      </c>
      <c r="D152" s="113">
        <v>2473942</v>
      </c>
      <c r="E152" s="113">
        <f t="shared" si="20"/>
        <v>-29894</v>
      </c>
      <c r="F152" s="114">
        <f t="shared" si="21"/>
        <v>-1.1939280368203029E-2</v>
      </c>
    </row>
    <row r="153" spans="1:6" ht="33.75" customHeight="1" x14ac:dyDescent="0.25">
      <c r="A153" s="117"/>
      <c r="B153" s="118" t="s">
        <v>146</v>
      </c>
      <c r="C153" s="119">
        <f>SUM(C142:C152)</f>
        <v>246054671</v>
      </c>
      <c r="D153" s="119">
        <f>SUM(D142:D152)</f>
        <v>253132795</v>
      </c>
      <c r="E153" s="119">
        <f t="shared" si="20"/>
        <v>7078124</v>
      </c>
      <c r="F153" s="120">
        <f t="shared" si="21"/>
        <v>2.8766468733284076E-2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5142898</v>
      </c>
      <c r="D155" s="113">
        <v>5955047</v>
      </c>
      <c r="E155" s="113">
        <f t="shared" ref="E155:E166" si="22">D155-C155</f>
        <v>812149</v>
      </c>
      <c r="F155" s="114">
        <f t="shared" ref="F155:F166" si="23">IF(C155=0,0,E155/C155)</f>
        <v>0.15791660655140352</v>
      </c>
    </row>
    <row r="156" spans="1:6" x14ac:dyDescent="0.2">
      <c r="A156" s="115">
        <v>2</v>
      </c>
      <c r="B156" s="116" t="s">
        <v>114</v>
      </c>
      <c r="C156" s="113">
        <v>984212</v>
      </c>
      <c r="D156" s="113">
        <v>1203061</v>
      </c>
      <c r="E156" s="113">
        <f t="shared" si="22"/>
        <v>218849</v>
      </c>
      <c r="F156" s="114">
        <f t="shared" si="23"/>
        <v>0.22235961357918824</v>
      </c>
    </row>
    <row r="157" spans="1:6" x14ac:dyDescent="0.2">
      <c r="A157" s="115">
        <v>3</v>
      </c>
      <c r="B157" s="116" t="s">
        <v>115</v>
      </c>
      <c r="C157" s="113">
        <v>5150524</v>
      </c>
      <c r="D157" s="113">
        <v>4841910</v>
      </c>
      <c r="E157" s="113">
        <f t="shared" si="22"/>
        <v>-308614</v>
      </c>
      <c r="F157" s="114">
        <f t="shared" si="23"/>
        <v>-5.9918951935764207E-2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42226</v>
      </c>
      <c r="D159" s="113">
        <v>40923</v>
      </c>
      <c r="E159" s="113">
        <f t="shared" si="22"/>
        <v>-1303</v>
      </c>
      <c r="F159" s="114">
        <f t="shared" si="23"/>
        <v>-3.0857765357836405E-2</v>
      </c>
    </row>
    <row r="160" spans="1:6" x14ac:dyDescent="0.2">
      <c r="A160" s="115">
        <v>6</v>
      </c>
      <c r="B160" s="116" t="s">
        <v>118</v>
      </c>
      <c r="C160" s="113">
        <v>12351669</v>
      </c>
      <c r="D160" s="113">
        <v>11516482</v>
      </c>
      <c r="E160" s="113">
        <f t="shared" si="22"/>
        <v>-835187</v>
      </c>
      <c r="F160" s="114">
        <f t="shared" si="23"/>
        <v>-6.7617339810514682E-2</v>
      </c>
    </row>
    <row r="161" spans="1:6" x14ac:dyDescent="0.2">
      <c r="A161" s="115">
        <v>7</v>
      </c>
      <c r="B161" s="116" t="s">
        <v>119</v>
      </c>
      <c r="C161" s="113">
        <v>30197408</v>
      </c>
      <c r="D161" s="113">
        <v>28427571</v>
      </c>
      <c r="E161" s="113">
        <f t="shared" si="22"/>
        <v>-1769837</v>
      </c>
      <c r="F161" s="114">
        <f t="shared" si="23"/>
        <v>-5.8608904446368376E-2</v>
      </c>
    </row>
    <row r="162" spans="1:6" x14ac:dyDescent="0.2">
      <c r="A162" s="115">
        <v>8</v>
      </c>
      <c r="B162" s="116" t="s">
        <v>120</v>
      </c>
      <c r="C162" s="113">
        <v>2119791</v>
      </c>
      <c r="D162" s="113">
        <v>2289940</v>
      </c>
      <c r="E162" s="113">
        <f t="shared" si="22"/>
        <v>170149</v>
      </c>
      <c r="F162" s="114">
        <f t="shared" si="23"/>
        <v>8.0266875366486606E-2</v>
      </c>
    </row>
    <row r="163" spans="1:6" x14ac:dyDescent="0.2">
      <c r="A163" s="115">
        <v>9</v>
      </c>
      <c r="B163" s="116" t="s">
        <v>121</v>
      </c>
      <c r="C163" s="113">
        <v>177683</v>
      </c>
      <c r="D163" s="113">
        <v>229070</v>
      </c>
      <c r="E163" s="113">
        <f t="shared" si="22"/>
        <v>51387</v>
      </c>
      <c r="F163" s="114">
        <f t="shared" si="23"/>
        <v>0.28920605797966042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234532</v>
      </c>
      <c r="D165" s="113">
        <v>215679</v>
      </c>
      <c r="E165" s="113">
        <f t="shared" si="22"/>
        <v>-18853</v>
      </c>
      <c r="F165" s="114">
        <f t="shared" si="23"/>
        <v>-8.0385619020005794E-2</v>
      </c>
    </row>
    <row r="166" spans="1:6" ht="33.75" customHeight="1" x14ac:dyDescent="0.25">
      <c r="A166" s="117"/>
      <c r="B166" s="118" t="s">
        <v>148</v>
      </c>
      <c r="C166" s="119">
        <f>SUM(C155:C165)</f>
        <v>56400943</v>
      </c>
      <c r="D166" s="119">
        <f>SUM(D155:D165)</f>
        <v>54719683</v>
      </c>
      <c r="E166" s="119">
        <f t="shared" si="22"/>
        <v>-1681260</v>
      </c>
      <c r="F166" s="120">
        <f t="shared" si="23"/>
        <v>-2.9809076064561544E-2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6315</v>
      </c>
      <c r="D168" s="133">
        <v>6350</v>
      </c>
      <c r="E168" s="133">
        <f t="shared" ref="E168:E179" si="24">D168-C168</f>
        <v>35</v>
      </c>
      <c r="F168" s="114">
        <f t="shared" ref="F168:F179" si="25">IF(C168=0,0,E168/C168)</f>
        <v>5.5423594615993665E-3</v>
      </c>
    </row>
    <row r="169" spans="1:6" x14ac:dyDescent="0.2">
      <c r="A169" s="115">
        <v>2</v>
      </c>
      <c r="B169" s="116" t="s">
        <v>114</v>
      </c>
      <c r="C169" s="133">
        <v>1196</v>
      </c>
      <c r="D169" s="133">
        <v>1342</v>
      </c>
      <c r="E169" s="133">
        <f t="shared" si="24"/>
        <v>146</v>
      </c>
      <c r="F169" s="114">
        <f t="shared" si="25"/>
        <v>0.12207357859531773</v>
      </c>
    </row>
    <row r="170" spans="1:6" x14ac:dyDescent="0.2">
      <c r="A170" s="115">
        <v>3</v>
      </c>
      <c r="B170" s="116" t="s">
        <v>115</v>
      </c>
      <c r="C170" s="133">
        <v>13912</v>
      </c>
      <c r="D170" s="133">
        <v>14413</v>
      </c>
      <c r="E170" s="133">
        <f t="shared" si="24"/>
        <v>501</v>
      </c>
      <c r="F170" s="114">
        <f t="shared" si="25"/>
        <v>3.6012075905692928E-2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79</v>
      </c>
      <c r="D172" s="133">
        <v>60</v>
      </c>
      <c r="E172" s="133">
        <f t="shared" si="24"/>
        <v>-19</v>
      </c>
      <c r="F172" s="114">
        <f t="shared" si="25"/>
        <v>-0.24050632911392406</v>
      </c>
    </row>
    <row r="173" spans="1:6" x14ac:dyDescent="0.2">
      <c r="A173" s="115">
        <v>6</v>
      </c>
      <c r="B173" s="116" t="s">
        <v>118</v>
      </c>
      <c r="C173" s="133">
        <v>4156</v>
      </c>
      <c r="D173" s="133">
        <v>3977</v>
      </c>
      <c r="E173" s="133">
        <f t="shared" si="24"/>
        <v>-179</v>
      </c>
      <c r="F173" s="114">
        <f t="shared" si="25"/>
        <v>-4.3070259865255055E-2</v>
      </c>
    </row>
    <row r="174" spans="1:6" x14ac:dyDescent="0.2">
      <c r="A174" s="115">
        <v>7</v>
      </c>
      <c r="B174" s="116" t="s">
        <v>119</v>
      </c>
      <c r="C174" s="133">
        <v>8936</v>
      </c>
      <c r="D174" s="133">
        <v>8962</v>
      </c>
      <c r="E174" s="133">
        <f t="shared" si="24"/>
        <v>26</v>
      </c>
      <c r="F174" s="114">
        <f t="shared" si="25"/>
        <v>2.9095792300805729E-3</v>
      </c>
    </row>
    <row r="175" spans="1:6" x14ac:dyDescent="0.2">
      <c r="A175" s="115">
        <v>8</v>
      </c>
      <c r="B175" s="116" t="s">
        <v>120</v>
      </c>
      <c r="C175" s="133">
        <v>762</v>
      </c>
      <c r="D175" s="133">
        <v>826</v>
      </c>
      <c r="E175" s="133">
        <f t="shared" si="24"/>
        <v>64</v>
      </c>
      <c r="F175" s="114">
        <f t="shared" si="25"/>
        <v>8.3989501312335957E-2</v>
      </c>
    </row>
    <row r="176" spans="1:6" x14ac:dyDescent="0.2">
      <c r="A176" s="115">
        <v>9</v>
      </c>
      <c r="B176" s="116" t="s">
        <v>121</v>
      </c>
      <c r="C176" s="133">
        <v>5621</v>
      </c>
      <c r="D176" s="133">
        <v>4873</v>
      </c>
      <c r="E176" s="133">
        <f t="shared" si="24"/>
        <v>-748</v>
      </c>
      <c r="F176" s="114">
        <f t="shared" si="25"/>
        <v>-0.13307240704500978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440</v>
      </c>
      <c r="D178" s="133">
        <v>441</v>
      </c>
      <c r="E178" s="133">
        <f t="shared" si="24"/>
        <v>1</v>
      </c>
      <c r="F178" s="114">
        <f t="shared" si="25"/>
        <v>2.2727272727272726E-3</v>
      </c>
    </row>
    <row r="179" spans="1:6" ht="33.75" customHeight="1" x14ac:dyDescent="0.25">
      <c r="A179" s="117"/>
      <c r="B179" s="118" t="s">
        <v>150</v>
      </c>
      <c r="C179" s="134">
        <f>SUM(C168:C178)</f>
        <v>41417</v>
      </c>
      <c r="D179" s="134">
        <f>SUM(D168:D178)</f>
        <v>41244</v>
      </c>
      <c r="E179" s="134">
        <f t="shared" si="24"/>
        <v>-173</v>
      </c>
      <c r="F179" s="120">
        <f t="shared" si="25"/>
        <v>-4.1770287563077961E-3</v>
      </c>
    </row>
  </sheetData>
  <mergeCells count="23"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  <mergeCell ref="A10:A11"/>
    <mergeCell ref="B10:B11"/>
    <mergeCell ref="C10:F11"/>
    <mergeCell ref="A39:A40"/>
    <mergeCell ref="B39:B40"/>
    <mergeCell ref="C39:F40"/>
    <mergeCell ref="A2:F2"/>
    <mergeCell ref="A3:F3"/>
    <mergeCell ref="A4:F4"/>
    <mergeCell ref="A5:F5"/>
    <mergeCell ref="C9:F9"/>
  </mergeCells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FILING&amp;RSTAMFORD HOSPITAL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B1" zoomScale="75" workbookViewId="0">
      <selection activeCell="F18" sqref="F18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56682682</v>
      </c>
      <c r="D15" s="157">
        <v>57680343</v>
      </c>
      <c r="E15" s="157">
        <f>+D15-C15</f>
        <v>997661</v>
      </c>
      <c r="F15" s="161">
        <f>IF(C15=0,0,E15/C15)</f>
        <v>1.7600807950477713E-2</v>
      </c>
    </row>
    <row r="16" spans="1:6" ht="15" customHeight="1" x14ac:dyDescent="0.2">
      <c r="A16" s="147">
        <v>2</v>
      </c>
      <c r="B16" s="160" t="s">
        <v>157</v>
      </c>
      <c r="C16" s="157">
        <v>23802174</v>
      </c>
      <c r="D16" s="157">
        <v>24318376</v>
      </c>
      <c r="E16" s="157">
        <f>+D16-C16</f>
        <v>516202</v>
      </c>
      <c r="F16" s="161">
        <f>IF(C16=0,0,E16/C16)</f>
        <v>2.1687178658554466E-2</v>
      </c>
    </row>
    <row r="17" spans="1:6" ht="15" customHeight="1" x14ac:dyDescent="0.2">
      <c r="A17" s="147">
        <v>3</v>
      </c>
      <c r="B17" s="160" t="s">
        <v>158</v>
      </c>
      <c r="C17" s="157">
        <v>102909633</v>
      </c>
      <c r="D17" s="157">
        <v>105564140</v>
      </c>
      <c r="E17" s="157">
        <f>+D17-C17</f>
        <v>2654507</v>
      </c>
      <c r="F17" s="161">
        <f>IF(C17=0,0,E17/C17)</f>
        <v>2.5794543451534806E-2</v>
      </c>
    </row>
    <row r="18" spans="1:6" ht="15.75" customHeight="1" x14ac:dyDescent="0.25">
      <c r="A18" s="147"/>
      <c r="B18" s="162" t="s">
        <v>159</v>
      </c>
      <c r="C18" s="158">
        <f>SUM(C15:C17)</f>
        <v>183394489</v>
      </c>
      <c r="D18" s="158">
        <f>SUM(D15:D17)</f>
        <v>187562859</v>
      </c>
      <c r="E18" s="158">
        <f>+D18-C18</f>
        <v>4168370</v>
      </c>
      <c r="F18" s="159">
        <f>IF(C18=0,0,E18/C18)</f>
        <v>2.2728981785270549E-2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14315699</v>
      </c>
      <c r="D21" s="157">
        <v>14861218</v>
      </c>
      <c r="E21" s="157">
        <f>+D21-C21</f>
        <v>545519</v>
      </c>
      <c r="F21" s="161">
        <f>IF(C21=0,0,E21/C21)</f>
        <v>3.8106347444159035E-2</v>
      </c>
    </row>
    <row r="22" spans="1:6" ht="15" customHeight="1" x14ac:dyDescent="0.2">
      <c r="A22" s="147">
        <v>2</v>
      </c>
      <c r="B22" s="160" t="s">
        <v>162</v>
      </c>
      <c r="C22" s="157">
        <v>6011575</v>
      </c>
      <c r="D22" s="157">
        <v>6268293</v>
      </c>
      <c r="E22" s="157">
        <f>+D22-C22</f>
        <v>256718</v>
      </c>
      <c r="F22" s="161">
        <f>IF(C22=0,0,E22/C22)</f>
        <v>4.270395029588752E-2</v>
      </c>
    </row>
    <row r="23" spans="1:6" ht="15" customHeight="1" x14ac:dyDescent="0.2">
      <c r="A23" s="147">
        <v>3</v>
      </c>
      <c r="B23" s="160" t="s">
        <v>163</v>
      </c>
      <c r="C23" s="157">
        <v>25986862</v>
      </c>
      <c r="D23" s="157">
        <v>27199654</v>
      </c>
      <c r="E23" s="157">
        <f>+D23-C23</f>
        <v>1212792</v>
      </c>
      <c r="F23" s="161">
        <f>IF(C23=0,0,E23/C23)</f>
        <v>4.6669428575100758E-2</v>
      </c>
    </row>
    <row r="24" spans="1:6" ht="15.75" customHeight="1" x14ac:dyDescent="0.25">
      <c r="A24" s="147"/>
      <c r="B24" s="162" t="s">
        <v>164</v>
      </c>
      <c r="C24" s="158">
        <f>SUM(C21:C23)</f>
        <v>46314136</v>
      </c>
      <c r="D24" s="158">
        <f>SUM(D21:D23)</f>
        <v>48329165</v>
      </c>
      <c r="E24" s="158">
        <f>+D24-C24</f>
        <v>2015029</v>
      </c>
      <c r="F24" s="159">
        <f>IF(C24=0,0,E24/C24)</f>
        <v>4.3507861185189768E-2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1298029</v>
      </c>
      <c r="D27" s="157">
        <v>1848139</v>
      </c>
      <c r="E27" s="157">
        <f>+D27-C27</f>
        <v>550110</v>
      </c>
      <c r="F27" s="161">
        <f>IF(C27=0,0,E27/C27)</f>
        <v>0.42380409066361385</v>
      </c>
    </row>
    <row r="28" spans="1:6" ht="15" customHeight="1" x14ac:dyDescent="0.2">
      <c r="A28" s="147">
        <v>2</v>
      </c>
      <c r="B28" s="160" t="s">
        <v>167</v>
      </c>
      <c r="C28" s="157">
        <v>10919257</v>
      </c>
      <c r="D28" s="157">
        <v>11231023</v>
      </c>
      <c r="E28" s="157">
        <f>+D28-C28</f>
        <v>311766</v>
      </c>
      <c r="F28" s="161">
        <f>IF(C28=0,0,E28/C28)</f>
        <v>2.8551942682546991E-2</v>
      </c>
    </row>
    <row r="29" spans="1:6" ht="15" customHeight="1" x14ac:dyDescent="0.2">
      <c r="A29" s="147">
        <v>3</v>
      </c>
      <c r="B29" s="160" t="s">
        <v>168</v>
      </c>
      <c r="C29" s="157">
        <v>27871415</v>
      </c>
      <c r="D29" s="157">
        <v>28642702</v>
      </c>
      <c r="E29" s="157">
        <f>+D29-C29</f>
        <v>771287</v>
      </c>
      <c r="F29" s="161">
        <f>IF(C29=0,0,E29/C29)</f>
        <v>2.7673047816194476E-2</v>
      </c>
    </row>
    <row r="30" spans="1:6" ht="15.75" customHeight="1" x14ac:dyDescent="0.25">
      <c r="A30" s="147"/>
      <c r="B30" s="162" t="s">
        <v>169</v>
      </c>
      <c r="C30" s="158">
        <f>SUM(C27:C29)</f>
        <v>40088701</v>
      </c>
      <c r="D30" s="158">
        <f>SUM(D27:D29)</f>
        <v>41721864</v>
      </c>
      <c r="E30" s="158">
        <f>+D30-C30</f>
        <v>1633163</v>
      </c>
      <c r="F30" s="159">
        <f>IF(C30=0,0,E30/C30)</f>
        <v>4.0738735834817894E-2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40851383</v>
      </c>
      <c r="D33" s="157">
        <v>44919996</v>
      </c>
      <c r="E33" s="157">
        <f>+D33-C33</f>
        <v>4068613</v>
      </c>
      <c r="F33" s="161">
        <f>IF(C33=0,0,E33/C33)</f>
        <v>9.9595477587625367E-2</v>
      </c>
    </row>
    <row r="34" spans="1:6" ht="15" customHeight="1" x14ac:dyDescent="0.2">
      <c r="A34" s="147">
        <v>2</v>
      </c>
      <c r="B34" s="160" t="s">
        <v>173</v>
      </c>
      <c r="C34" s="157">
        <v>23691684</v>
      </c>
      <c r="D34" s="157">
        <v>18579082</v>
      </c>
      <c r="E34" s="157">
        <f>+D34-C34</f>
        <v>-5112602</v>
      </c>
      <c r="F34" s="161">
        <f>IF(C34=0,0,E34/C34)</f>
        <v>-0.21579732365162391</v>
      </c>
    </row>
    <row r="35" spans="1:6" ht="15.75" customHeight="1" x14ac:dyDescent="0.25">
      <c r="A35" s="147"/>
      <c r="B35" s="162" t="s">
        <v>174</v>
      </c>
      <c r="C35" s="158">
        <f>SUM(C33:C34)</f>
        <v>64543067</v>
      </c>
      <c r="D35" s="158">
        <f>SUM(D33:D34)</f>
        <v>63499078</v>
      </c>
      <c r="E35" s="158">
        <f>+D35-C35</f>
        <v>-1043989</v>
      </c>
      <c r="F35" s="159">
        <f>IF(C35=0,0,E35/C35)</f>
        <v>-1.6175075783120128E-2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19185287</v>
      </c>
      <c r="D38" s="157">
        <v>18484876</v>
      </c>
      <c r="E38" s="157">
        <f>+D38-C38</f>
        <v>-700411</v>
      </c>
      <c r="F38" s="161">
        <f>IF(C38=0,0,E38/C38)</f>
        <v>-3.6507715521795422E-2</v>
      </c>
    </row>
    <row r="39" spans="1:6" ht="15" customHeight="1" x14ac:dyDescent="0.2">
      <c r="A39" s="147">
        <v>2</v>
      </c>
      <c r="B39" s="160" t="s">
        <v>178</v>
      </c>
      <c r="C39" s="157">
        <v>4900943</v>
      </c>
      <c r="D39" s="157">
        <v>5317779</v>
      </c>
      <c r="E39" s="157">
        <f>+D39-C39</f>
        <v>416836</v>
      </c>
      <c r="F39" s="161">
        <f>IF(C39=0,0,E39/C39)</f>
        <v>8.5052203218849917E-2</v>
      </c>
    </row>
    <row r="40" spans="1:6" ht="15" customHeight="1" x14ac:dyDescent="0.2">
      <c r="A40" s="147">
        <v>3</v>
      </c>
      <c r="B40" s="160" t="s">
        <v>179</v>
      </c>
      <c r="C40" s="157">
        <v>0</v>
      </c>
      <c r="D40" s="157">
        <v>0</v>
      </c>
      <c r="E40" s="157">
        <f>+D40-C40</f>
        <v>0</v>
      </c>
      <c r="F40" s="161">
        <f>IF(C40=0,0,E40/C40)</f>
        <v>0</v>
      </c>
    </row>
    <row r="41" spans="1:6" ht="15.75" customHeight="1" x14ac:dyDescent="0.25">
      <c r="A41" s="147"/>
      <c r="B41" s="162" t="s">
        <v>180</v>
      </c>
      <c r="C41" s="158">
        <f>SUM(C38:C40)</f>
        <v>24086230</v>
      </c>
      <c r="D41" s="158">
        <f>SUM(D38:D40)</f>
        <v>23802655</v>
      </c>
      <c r="E41" s="158">
        <f>+D41-C41</f>
        <v>-283575</v>
      </c>
      <c r="F41" s="159">
        <f>IF(C41=0,0,E41/C41)</f>
        <v>-1.1773324426446147E-2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6006820</v>
      </c>
      <c r="D47" s="157">
        <v>5743115</v>
      </c>
      <c r="E47" s="157">
        <f>+D47-C47</f>
        <v>-263705</v>
      </c>
      <c r="F47" s="161">
        <f>IF(C47=0,0,E47/C47)</f>
        <v>-4.3900932606603826E-2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9395508</v>
      </c>
      <c r="D50" s="157">
        <v>6712666</v>
      </c>
      <c r="E50" s="157">
        <f>+D50-C50</f>
        <v>-2682842</v>
      </c>
      <c r="F50" s="161">
        <f>IF(C50=0,0,E50/C50)</f>
        <v>-0.28554517754654674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246044</v>
      </c>
      <c r="D53" s="157">
        <v>126755</v>
      </c>
      <c r="E53" s="157">
        <f t="shared" ref="E53:E59" si="0">+D53-C53</f>
        <v>-119289</v>
      </c>
      <c r="F53" s="161">
        <f t="shared" ref="F53:F59" si="1">IF(C53=0,0,E53/C53)</f>
        <v>-0.48482791695794247</v>
      </c>
    </row>
    <row r="54" spans="1:6" ht="15" customHeight="1" x14ac:dyDescent="0.2">
      <c r="A54" s="147">
        <v>2</v>
      </c>
      <c r="B54" s="160" t="s">
        <v>189</v>
      </c>
      <c r="C54" s="157">
        <v>1205998</v>
      </c>
      <c r="D54" s="157">
        <v>1541916</v>
      </c>
      <c r="E54" s="157">
        <f t="shared" si="0"/>
        <v>335918</v>
      </c>
      <c r="F54" s="161">
        <f t="shared" si="1"/>
        <v>0.27853943373040418</v>
      </c>
    </row>
    <row r="55" spans="1:6" ht="15" customHeight="1" x14ac:dyDescent="0.2">
      <c r="A55" s="147">
        <v>3</v>
      </c>
      <c r="B55" s="160" t="s">
        <v>190</v>
      </c>
      <c r="C55" s="157">
        <v>231183</v>
      </c>
      <c r="D55" s="157">
        <v>6175</v>
      </c>
      <c r="E55" s="157">
        <f t="shared" si="0"/>
        <v>-225008</v>
      </c>
      <c r="F55" s="161">
        <f t="shared" si="1"/>
        <v>-0.97328955848829712</v>
      </c>
    </row>
    <row r="56" spans="1:6" ht="15" customHeight="1" x14ac:dyDescent="0.2">
      <c r="A56" s="147">
        <v>4</v>
      </c>
      <c r="B56" s="160" t="s">
        <v>191</v>
      </c>
      <c r="C56" s="157">
        <v>3121456</v>
      </c>
      <c r="D56" s="157">
        <v>3924338</v>
      </c>
      <c r="E56" s="157">
        <f t="shared" si="0"/>
        <v>802882</v>
      </c>
      <c r="F56" s="161">
        <f t="shared" si="1"/>
        <v>0.25721394118642071</v>
      </c>
    </row>
    <row r="57" spans="1:6" ht="15" customHeight="1" x14ac:dyDescent="0.2">
      <c r="A57" s="147">
        <v>5</v>
      </c>
      <c r="B57" s="160" t="s">
        <v>192</v>
      </c>
      <c r="C57" s="157">
        <v>1207776</v>
      </c>
      <c r="D57" s="157">
        <v>1031379</v>
      </c>
      <c r="E57" s="157">
        <f t="shared" si="0"/>
        <v>-176397</v>
      </c>
      <c r="F57" s="161">
        <f t="shared" si="1"/>
        <v>-0.14605108894364519</v>
      </c>
    </row>
    <row r="58" spans="1:6" ht="15" customHeight="1" x14ac:dyDescent="0.2">
      <c r="A58" s="147">
        <v>6</v>
      </c>
      <c r="B58" s="160" t="s">
        <v>193</v>
      </c>
      <c r="C58" s="157">
        <v>216943</v>
      </c>
      <c r="D58" s="157">
        <v>201221</v>
      </c>
      <c r="E58" s="157">
        <f t="shared" si="0"/>
        <v>-15722</v>
      </c>
      <c r="F58" s="161">
        <f t="shared" si="1"/>
        <v>-7.2470648972310703E-2</v>
      </c>
    </row>
    <row r="59" spans="1:6" ht="15.75" customHeight="1" x14ac:dyDescent="0.25">
      <c r="A59" s="147"/>
      <c r="B59" s="162" t="s">
        <v>194</v>
      </c>
      <c r="C59" s="158">
        <f>SUM(C53:C58)</f>
        <v>6229400</v>
      </c>
      <c r="D59" s="158">
        <f>SUM(D53:D58)</f>
        <v>6831784</v>
      </c>
      <c r="E59" s="158">
        <f t="shared" si="0"/>
        <v>602384</v>
      </c>
      <c r="F59" s="159">
        <f t="shared" si="1"/>
        <v>9.6700163739685999E-2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468002</v>
      </c>
      <c r="D62" s="157">
        <v>369334</v>
      </c>
      <c r="E62" s="157">
        <f t="shared" ref="E62:E90" si="2">+D62-C62</f>
        <v>-98668</v>
      </c>
      <c r="F62" s="161">
        <f t="shared" ref="F62:F90" si="3">IF(C62=0,0,E62/C62)</f>
        <v>-0.21082815885402198</v>
      </c>
    </row>
    <row r="63" spans="1:6" ht="15" customHeight="1" x14ac:dyDescent="0.2">
      <c r="A63" s="147">
        <v>2</v>
      </c>
      <c r="B63" s="160" t="s">
        <v>198</v>
      </c>
      <c r="C63" s="157">
        <v>2147359</v>
      </c>
      <c r="D63" s="157">
        <v>2225406</v>
      </c>
      <c r="E63" s="157">
        <f t="shared" si="2"/>
        <v>78047</v>
      </c>
      <c r="F63" s="161">
        <f t="shared" si="3"/>
        <v>3.6345576123973683E-2</v>
      </c>
    </row>
    <row r="64" spans="1:6" ht="15" customHeight="1" x14ac:dyDescent="0.2">
      <c r="A64" s="147">
        <v>3</v>
      </c>
      <c r="B64" s="160" t="s">
        <v>199</v>
      </c>
      <c r="C64" s="157">
        <v>5336290</v>
      </c>
      <c r="D64" s="157">
        <v>5636543</v>
      </c>
      <c r="E64" s="157">
        <f t="shared" si="2"/>
        <v>300253</v>
      </c>
      <c r="F64" s="161">
        <f t="shared" si="3"/>
        <v>5.6266244900483292E-2</v>
      </c>
    </row>
    <row r="65" spans="1:6" ht="15" customHeight="1" x14ac:dyDescent="0.2">
      <c r="A65" s="147">
        <v>4</v>
      </c>
      <c r="B65" s="160" t="s">
        <v>200</v>
      </c>
      <c r="C65" s="157">
        <v>1846960</v>
      </c>
      <c r="D65" s="157">
        <v>2082232</v>
      </c>
      <c r="E65" s="157">
        <f t="shared" si="2"/>
        <v>235272</v>
      </c>
      <c r="F65" s="161">
        <f t="shared" si="3"/>
        <v>0.12738337592584573</v>
      </c>
    </row>
    <row r="66" spans="1:6" ht="15" customHeight="1" x14ac:dyDescent="0.2">
      <c r="A66" s="147">
        <v>5</v>
      </c>
      <c r="B66" s="160" t="s">
        <v>201</v>
      </c>
      <c r="C66" s="157">
        <v>1694701</v>
      </c>
      <c r="D66" s="157">
        <v>2499390</v>
      </c>
      <c r="E66" s="157">
        <f t="shared" si="2"/>
        <v>804689</v>
      </c>
      <c r="F66" s="161">
        <f t="shared" si="3"/>
        <v>0.47482653282201404</v>
      </c>
    </row>
    <row r="67" spans="1:6" ht="15" customHeight="1" x14ac:dyDescent="0.2">
      <c r="A67" s="147">
        <v>6</v>
      </c>
      <c r="B67" s="160" t="s">
        <v>202</v>
      </c>
      <c r="C67" s="157">
        <v>5182353</v>
      </c>
      <c r="D67" s="157">
        <v>4966737</v>
      </c>
      <c r="E67" s="157">
        <f t="shared" si="2"/>
        <v>-215616</v>
      </c>
      <c r="F67" s="161">
        <f t="shared" si="3"/>
        <v>-4.1605811105495903E-2</v>
      </c>
    </row>
    <row r="68" spans="1:6" ht="15" customHeight="1" x14ac:dyDescent="0.2">
      <c r="A68" s="147">
        <v>7</v>
      </c>
      <c r="B68" s="160" t="s">
        <v>203</v>
      </c>
      <c r="C68" s="157">
        <v>14477097</v>
      </c>
      <c r="D68" s="157">
        <v>15534018</v>
      </c>
      <c r="E68" s="157">
        <f t="shared" si="2"/>
        <v>1056921</v>
      </c>
      <c r="F68" s="161">
        <f t="shared" si="3"/>
        <v>7.3006418344782803E-2</v>
      </c>
    </row>
    <row r="69" spans="1:6" ht="15" customHeight="1" x14ac:dyDescent="0.2">
      <c r="A69" s="147">
        <v>8</v>
      </c>
      <c r="B69" s="160" t="s">
        <v>204</v>
      </c>
      <c r="C69" s="157">
        <v>943787</v>
      </c>
      <c r="D69" s="157">
        <v>981898</v>
      </c>
      <c r="E69" s="157">
        <f t="shared" si="2"/>
        <v>38111</v>
      </c>
      <c r="F69" s="161">
        <f t="shared" si="3"/>
        <v>4.0380933409763009E-2</v>
      </c>
    </row>
    <row r="70" spans="1:6" ht="15" customHeight="1" x14ac:dyDescent="0.2">
      <c r="A70" s="147">
        <v>9</v>
      </c>
      <c r="B70" s="160" t="s">
        <v>205</v>
      </c>
      <c r="C70" s="157">
        <v>758152</v>
      </c>
      <c r="D70" s="157">
        <v>665009</v>
      </c>
      <c r="E70" s="157">
        <f t="shared" si="2"/>
        <v>-93143</v>
      </c>
      <c r="F70" s="161">
        <f t="shared" si="3"/>
        <v>-0.1228553113359854</v>
      </c>
    </row>
    <row r="71" spans="1:6" ht="15" customHeight="1" x14ac:dyDescent="0.2">
      <c r="A71" s="147">
        <v>10</v>
      </c>
      <c r="B71" s="160" t="s">
        <v>206</v>
      </c>
      <c r="C71" s="157">
        <v>0</v>
      </c>
      <c r="D71" s="157">
        <v>0</v>
      </c>
      <c r="E71" s="157">
        <f t="shared" si="2"/>
        <v>0</v>
      </c>
      <c r="F71" s="161">
        <f t="shared" si="3"/>
        <v>0</v>
      </c>
    </row>
    <row r="72" spans="1:6" ht="15" customHeight="1" x14ac:dyDescent="0.2">
      <c r="A72" s="147">
        <v>11</v>
      </c>
      <c r="B72" s="160" t="s">
        <v>207</v>
      </c>
      <c r="C72" s="157">
        <v>0</v>
      </c>
      <c r="D72" s="157">
        <v>0</v>
      </c>
      <c r="E72" s="157">
        <f t="shared" si="2"/>
        <v>0</v>
      </c>
      <c r="F72" s="161">
        <f t="shared" si="3"/>
        <v>0</v>
      </c>
    </row>
    <row r="73" spans="1:6" ht="15" customHeight="1" x14ac:dyDescent="0.2">
      <c r="A73" s="147">
        <v>12</v>
      </c>
      <c r="B73" s="160" t="s">
        <v>208</v>
      </c>
      <c r="C73" s="157">
        <v>2744953</v>
      </c>
      <c r="D73" s="157">
        <v>2649323</v>
      </c>
      <c r="E73" s="157">
        <f t="shared" si="2"/>
        <v>-95630</v>
      </c>
      <c r="F73" s="161">
        <f t="shared" si="3"/>
        <v>-3.4838483573307086E-2</v>
      </c>
    </row>
    <row r="74" spans="1:6" ht="15" customHeight="1" x14ac:dyDescent="0.2">
      <c r="A74" s="147">
        <v>13</v>
      </c>
      <c r="B74" s="160" t="s">
        <v>209</v>
      </c>
      <c r="C74" s="157">
        <v>190609</v>
      </c>
      <c r="D74" s="157">
        <v>122474</v>
      </c>
      <c r="E74" s="157">
        <f t="shared" si="2"/>
        <v>-68135</v>
      </c>
      <c r="F74" s="161">
        <f t="shared" si="3"/>
        <v>-0.35745951135570725</v>
      </c>
    </row>
    <row r="75" spans="1:6" ht="15" customHeight="1" x14ac:dyDescent="0.2">
      <c r="A75" s="147">
        <v>14</v>
      </c>
      <c r="B75" s="160" t="s">
        <v>210</v>
      </c>
      <c r="C75" s="157">
        <v>329514</v>
      </c>
      <c r="D75" s="157">
        <v>313223</v>
      </c>
      <c r="E75" s="157">
        <f t="shared" si="2"/>
        <v>-16291</v>
      </c>
      <c r="F75" s="161">
        <f t="shared" si="3"/>
        <v>-4.9439477533579759E-2</v>
      </c>
    </row>
    <row r="76" spans="1:6" ht="15" customHeight="1" x14ac:dyDescent="0.2">
      <c r="A76" s="147">
        <v>15</v>
      </c>
      <c r="B76" s="160" t="s">
        <v>211</v>
      </c>
      <c r="C76" s="157">
        <v>1940608</v>
      </c>
      <c r="D76" s="157">
        <v>1826232</v>
      </c>
      <c r="E76" s="157">
        <f t="shared" si="2"/>
        <v>-114376</v>
      </c>
      <c r="F76" s="161">
        <f t="shared" si="3"/>
        <v>-5.893822966822769E-2</v>
      </c>
    </row>
    <row r="77" spans="1:6" ht="15" customHeight="1" x14ac:dyDescent="0.2">
      <c r="A77" s="147">
        <v>16</v>
      </c>
      <c r="B77" s="160" t="s">
        <v>212</v>
      </c>
      <c r="C77" s="157">
        <v>0</v>
      </c>
      <c r="D77" s="157">
        <v>0</v>
      </c>
      <c r="E77" s="157">
        <f t="shared" si="2"/>
        <v>0</v>
      </c>
      <c r="F77" s="161">
        <f t="shared" si="3"/>
        <v>0</v>
      </c>
    </row>
    <row r="78" spans="1:6" ht="15" customHeight="1" x14ac:dyDescent="0.2">
      <c r="A78" s="147">
        <v>17</v>
      </c>
      <c r="B78" s="160" t="s">
        <v>213</v>
      </c>
      <c r="C78" s="157">
        <v>225709</v>
      </c>
      <c r="D78" s="157">
        <v>247415</v>
      </c>
      <c r="E78" s="157">
        <f t="shared" si="2"/>
        <v>21706</v>
      </c>
      <c r="F78" s="161">
        <f t="shared" si="3"/>
        <v>9.6168074822005331E-2</v>
      </c>
    </row>
    <row r="79" spans="1:6" ht="15" customHeight="1" x14ac:dyDescent="0.2">
      <c r="A79" s="147">
        <v>18</v>
      </c>
      <c r="B79" s="160" t="s">
        <v>214</v>
      </c>
      <c r="C79" s="157">
        <v>0</v>
      </c>
      <c r="D79" s="157">
        <v>0</v>
      </c>
      <c r="E79" s="157">
        <f t="shared" si="2"/>
        <v>0</v>
      </c>
      <c r="F79" s="161">
        <f t="shared" si="3"/>
        <v>0</v>
      </c>
    </row>
    <row r="80" spans="1:6" ht="15" customHeight="1" x14ac:dyDescent="0.2">
      <c r="A80" s="147">
        <v>19</v>
      </c>
      <c r="B80" s="160" t="s">
        <v>215</v>
      </c>
      <c r="C80" s="157">
        <v>3068094</v>
      </c>
      <c r="D80" s="157">
        <v>3154917</v>
      </c>
      <c r="E80" s="157">
        <f t="shared" si="2"/>
        <v>86823</v>
      </c>
      <c r="F80" s="161">
        <f t="shared" si="3"/>
        <v>2.8298676637677985E-2</v>
      </c>
    </row>
    <row r="81" spans="1:6" ht="15" customHeight="1" x14ac:dyDescent="0.2">
      <c r="A81" s="147">
        <v>20</v>
      </c>
      <c r="B81" s="160" t="s">
        <v>216</v>
      </c>
      <c r="C81" s="157">
        <v>0</v>
      </c>
      <c r="D81" s="157">
        <v>0</v>
      </c>
      <c r="E81" s="157">
        <f t="shared" si="2"/>
        <v>0</v>
      </c>
      <c r="F81" s="161">
        <f t="shared" si="3"/>
        <v>0</v>
      </c>
    </row>
    <row r="82" spans="1:6" ht="15" customHeight="1" x14ac:dyDescent="0.2">
      <c r="A82" s="147">
        <v>21</v>
      </c>
      <c r="B82" s="160" t="s">
        <v>217</v>
      </c>
      <c r="C82" s="157">
        <v>4630143</v>
      </c>
      <c r="D82" s="157">
        <v>5092576</v>
      </c>
      <c r="E82" s="157">
        <f t="shared" si="2"/>
        <v>462433</v>
      </c>
      <c r="F82" s="161">
        <f t="shared" si="3"/>
        <v>9.9874453121642254E-2</v>
      </c>
    </row>
    <row r="83" spans="1:6" ht="15" customHeight="1" x14ac:dyDescent="0.2">
      <c r="A83" s="147">
        <v>22</v>
      </c>
      <c r="B83" s="160" t="s">
        <v>218</v>
      </c>
      <c r="C83" s="157">
        <v>2414124</v>
      </c>
      <c r="D83" s="157">
        <v>1840992</v>
      </c>
      <c r="E83" s="157">
        <f t="shared" si="2"/>
        <v>-573132</v>
      </c>
      <c r="F83" s="161">
        <f t="shared" si="3"/>
        <v>-0.23740785477465118</v>
      </c>
    </row>
    <row r="84" spans="1:6" ht="15" customHeight="1" x14ac:dyDescent="0.2">
      <c r="A84" s="147">
        <v>23</v>
      </c>
      <c r="B84" s="160" t="s">
        <v>219</v>
      </c>
      <c r="C84" s="157">
        <v>1789350</v>
      </c>
      <c r="D84" s="157">
        <v>2013808</v>
      </c>
      <c r="E84" s="157">
        <f t="shared" si="2"/>
        <v>224458</v>
      </c>
      <c r="F84" s="161">
        <f t="shared" si="3"/>
        <v>0.12544108195713527</v>
      </c>
    </row>
    <row r="85" spans="1:6" ht="15" customHeight="1" x14ac:dyDescent="0.2">
      <c r="A85" s="147">
        <v>24</v>
      </c>
      <c r="B85" s="160" t="s">
        <v>220</v>
      </c>
      <c r="C85" s="157">
        <v>0</v>
      </c>
      <c r="D85" s="157">
        <v>0</v>
      </c>
      <c r="E85" s="157">
        <f t="shared" si="2"/>
        <v>0</v>
      </c>
      <c r="F85" s="161">
        <f t="shared" si="3"/>
        <v>0</v>
      </c>
    </row>
    <row r="86" spans="1:6" ht="15" customHeight="1" x14ac:dyDescent="0.2">
      <c r="A86" s="147">
        <v>25</v>
      </c>
      <c r="B86" s="160" t="s">
        <v>221</v>
      </c>
      <c r="C86" s="157">
        <v>249913</v>
      </c>
      <c r="D86" s="157">
        <v>336698</v>
      </c>
      <c r="E86" s="157">
        <f t="shared" si="2"/>
        <v>86785</v>
      </c>
      <c r="F86" s="161">
        <f t="shared" si="3"/>
        <v>0.34726084677467761</v>
      </c>
    </row>
    <row r="87" spans="1:6" ht="15" customHeight="1" x14ac:dyDescent="0.2">
      <c r="A87" s="147">
        <v>26</v>
      </c>
      <c r="B87" s="160" t="s">
        <v>222</v>
      </c>
      <c r="C87" s="157">
        <v>0</v>
      </c>
      <c r="D87" s="157">
        <v>0</v>
      </c>
      <c r="E87" s="157">
        <f t="shared" si="2"/>
        <v>0</v>
      </c>
      <c r="F87" s="161">
        <f t="shared" si="3"/>
        <v>0</v>
      </c>
    </row>
    <row r="88" spans="1:6" ht="15" customHeight="1" x14ac:dyDescent="0.2">
      <c r="A88" s="147">
        <v>27</v>
      </c>
      <c r="B88" s="160" t="s">
        <v>223</v>
      </c>
      <c r="C88" s="157">
        <v>2954876</v>
      </c>
      <c r="D88" s="157">
        <v>2859605</v>
      </c>
      <c r="E88" s="157">
        <f t="shared" si="2"/>
        <v>-95271</v>
      </c>
      <c r="F88" s="161">
        <f t="shared" si="3"/>
        <v>-3.2241962099255603E-2</v>
      </c>
    </row>
    <row r="89" spans="1:6" ht="15" customHeight="1" x14ac:dyDescent="0.2">
      <c r="A89" s="147">
        <v>28</v>
      </c>
      <c r="B89" s="160" t="s">
        <v>224</v>
      </c>
      <c r="C89" s="157">
        <v>8711593</v>
      </c>
      <c r="D89" s="157">
        <v>7041300</v>
      </c>
      <c r="E89" s="157">
        <f t="shared" si="2"/>
        <v>-1670293</v>
      </c>
      <c r="F89" s="161">
        <f t="shared" si="3"/>
        <v>-0.19173221246676697</v>
      </c>
    </row>
    <row r="90" spans="1:6" ht="15.75" customHeight="1" x14ac:dyDescent="0.25">
      <c r="A90" s="147"/>
      <c r="B90" s="162" t="s">
        <v>225</v>
      </c>
      <c r="C90" s="158">
        <f>SUM(C62:C89)</f>
        <v>62104187</v>
      </c>
      <c r="D90" s="158">
        <f>SUM(D62:D89)</f>
        <v>62459130</v>
      </c>
      <c r="E90" s="158">
        <f t="shared" si="2"/>
        <v>354943</v>
      </c>
      <c r="F90" s="159">
        <f t="shared" si="3"/>
        <v>5.7152829325340009E-3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1328479</v>
      </c>
      <c r="D93" s="157">
        <v>1011212</v>
      </c>
      <c r="E93" s="157">
        <f>+D93-C93</f>
        <v>-317267</v>
      </c>
      <c r="F93" s="161">
        <f>IF(C93=0,0,E93/C93)</f>
        <v>-0.23881973294271117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443491017</v>
      </c>
      <c r="D95" s="158">
        <f>+D93+D90+D59+D50+D47+D44+D41+D35+D30+D24+D18</f>
        <v>447673528</v>
      </c>
      <c r="E95" s="158">
        <f>+D95-C95</f>
        <v>4182511</v>
      </c>
      <c r="F95" s="159">
        <f>IF(C95=0,0,E95/C95)</f>
        <v>9.4308809867055324E-3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72130862</v>
      </c>
      <c r="D103" s="157">
        <v>68462476</v>
      </c>
      <c r="E103" s="157">
        <f t="shared" ref="E103:E121" si="4">D103-C103</f>
        <v>-3668386</v>
      </c>
      <c r="F103" s="161">
        <f t="shared" ref="F103:F121" si="5">IF(C103=0,0,E103/C103)</f>
        <v>-5.0857370871292239E-2</v>
      </c>
    </row>
    <row r="104" spans="1:6" ht="15" customHeight="1" x14ac:dyDescent="0.2">
      <c r="A104" s="147">
        <v>2</v>
      </c>
      <c r="B104" s="169" t="s">
        <v>234</v>
      </c>
      <c r="C104" s="157">
        <v>4634890</v>
      </c>
      <c r="D104" s="157">
        <v>4295060</v>
      </c>
      <c r="E104" s="157">
        <f t="shared" si="4"/>
        <v>-339830</v>
      </c>
      <c r="F104" s="161">
        <f t="shared" si="5"/>
        <v>-7.3319970916246119E-2</v>
      </c>
    </row>
    <row r="105" spans="1:6" ht="15" customHeight="1" x14ac:dyDescent="0.2">
      <c r="A105" s="147">
        <v>3</v>
      </c>
      <c r="B105" s="169" t="s">
        <v>235</v>
      </c>
      <c r="C105" s="157">
        <v>7935448</v>
      </c>
      <c r="D105" s="157">
        <v>8875442</v>
      </c>
      <c r="E105" s="157">
        <f t="shared" si="4"/>
        <v>939994</v>
      </c>
      <c r="F105" s="161">
        <f t="shared" si="5"/>
        <v>0.11845506391069541</v>
      </c>
    </row>
    <row r="106" spans="1:6" ht="15" customHeight="1" x14ac:dyDescent="0.2">
      <c r="A106" s="147">
        <v>4</v>
      </c>
      <c r="B106" s="169" t="s">
        <v>236</v>
      </c>
      <c r="C106" s="157">
        <v>3059616</v>
      </c>
      <c r="D106" s="157">
        <v>2995696</v>
      </c>
      <c r="E106" s="157">
        <f t="shared" si="4"/>
        <v>-63920</v>
      </c>
      <c r="F106" s="161">
        <f t="shared" si="5"/>
        <v>-2.0891510568646524E-2</v>
      </c>
    </row>
    <row r="107" spans="1:6" ht="15" customHeight="1" x14ac:dyDescent="0.2">
      <c r="A107" s="147">
        <v>5</v>
      </c>
      <c r="B107" s="169" t="s">
        <v>237</v>
      </c>
      <c r="C107" s="157">
        <v>15947755</v>
      </c>
      <c r="D107" s="157">
        <v>16385722</v>
      </c>
      <c r="E107" s="157">
        <f t="shared" si="4"/>
        <v>437967</v>
      </c>
      <c r="F107" s="161">
        <f t="shared" si="5"/>
        <v>2.7462611508641811E-2</v>
      </c>
    </row>
    <row r="108" spans="1:6" ht="15" customHeight="1" x14ac:dyDescent="0.2">
      <c r="A108" s="147">
        <v>6</v>
      </c>
      <c r="B108" s="169" t="s">
        <v>238</v>
      </c>
      <c r="C108" s="157">
        <v>739</v>
      </c>
      <c r="D108" s="157">
        <v>631</v>
      </c>
      <c r="E108" s="157">
        <f t="shared" si="4"/>
        <v>-108</v>
      </c>
      <c r="F108" s="161">
        <f t="shared" si="5"/>
        <v>-0.14614343707713126</v>
      </c>
    </row>
    <row r="109" spans="1:6" ht="15" customHeight="1" x14ac:dyDescent="0.2">
      <c r="A109" s="147">
        <v>7</v>
      </c>
      <c r="B109" s="169" t="s">
        <v>239</v>
      </c>
      <c r="C109" s="157">
        <v>5796256</v>
      </c>
      <c r="D109" s="157">
        <v>4997267</v>
      </c>
      <c r="E109" s="157">
        <f t="shared" si="4"/>
        <v>-798989</v>
      </c>
      <c r="F109" s="161">
        <f t="shared" si="5"/>
        <v>-0.13784570591775105</v>
      </c>
    </row>
    <row r="110" spans="1:6" ht="15" customHeight="1" x14ac:dyDescent="0.2">
      <c r="A110" s="147">
        <v>8</v>
      </c>
      <c r="B110" s="169" t="s">
        <v>240</v>
      </c>
      <c r="C110" s="157">
        <v>1420190</v>
      </c>
      <c r="D110" s="157">
        <v>1354674</v>
      </c>
      <c r="E110" s="157">
        <f t="shared" si="4"/>
        <v>-65516</v>
      </c>
      <c r="F110" s="161">
        <f t="shared" si="5"/>
        <v>-4.6131855596786349E-2</v>
      </c>
    </row>
    <row r="111" spans="1:6" ht="15" customHeight="1" x14ac:dyDescent="0.2">
      <c r="A111" s="147">
        <v>9</v>
      </c>
      <c r="B111" s="169" t="s">
        <v>241</v>
      </c>
      <c r="C111" s="157">
        <v>2536119</v>
      </c>
      <c r="D111" s="157">
        <v>3076206</v>
      </c>
      <c r="E111" s="157">
        <f t="shared" si="4"/>
        <v>540087</v>
      </c>
      <c r="F111" s="161">
        <f t="shared" si="5"/>
        <v>0.21295806703076631</v>
      </c>
    </row>
    <row r="112" spans="1:6" ht="15" customHeight="1" x14ac:dyDescent="0.2">
      <c r="A112" s="147">
        <v>10</v>
      </c>
      <c r="B112" s="169" t="s">
        <v>242</v>
      </c>
      <c r="C112" s="157">
        <v>6953200</v>
      </c>
      <c r="D112" s="157">
        <v>7272464</v>
      </c>
      <c r="E112" s="157">
        <f t="shared" si="4"/>
        <v>319264</v>
      </c>
      <c r="F112" s="161">
        <f t="shared" si="5"/>
        <v>4.5916124949663462E-2</v>
      </c>
    </row>
    <row r="113" spans="1:6" ht="15" customHeight="1" x14ac:dyDescent="0.2">
      <c r="A113" s="147">
        <v>11</v>
      </c>
      <c r="B113" s="169" t="s">
        <v>243</v>
      </c>
      <c r="C113" s="157">
        <v>5969300</v>
      </c>
      <c r="D113" s="157">
        <v>5717841</v>
      </c>
      <c r="E113" s="157">
        <f t="shared" si="4"/>
        <v>-251459</v>
      </c>
      <c r="F113" s="161">
        <f t="shared" si="5"/>
        <v>-4.2125374834570219E-2</v>
      </c>
    </row>
    <row r="114" spans="1:6" ht="15" customHeight="1" x14ac:dyDescent="0.2">
      <c r="A114" s="147">
        <v>12</v>
      </c>
      <c r="B114" s="169" t="s">
        <v>244</v>
      </c>
      <c r="C114" s="157">
        <v>1939829</v>
      </c>
      <c r="D114" s="157">
        <v>1972486</v>
      </c>
      <c r="E114" s="157">
        <f t="shared" si="4"/>
        <v>32657</v>
      </c>
      <c r="F114" s="161">
        <f t="shared" si="5"/>
        <v>1.6834989063468996E-2</v>
      </c>
    </row>
    <row r="115" spans="1:6" ht="15" customHeight="1" x14ac:dyDescent="0.2">
      <c r="A115" s="147">
        <v>13</v>
      </c>
      <c r="B115" s="169" t="s">
        <v>245</v>
      </c>
      <c r="C115" s="157">
        <v>738128</v>
      </c>
      <c r="D115" s="157">
        <v>792202</v>
      </c>
      <c r="E115" s="157">
        <f t="shared" si="4"/>
        <v>54074</v>
      </c>
      <c r="F115" s="161">
        <f t="shared" si="5"/>
        <v>7.3258296663993236E-2</v>
      </c>
    </row>
    <row r="116" spans="1:6" ht="15" customHeight="1" x14ac:dyDescent="0.2">
      <c r="A116" s="147">
        <v>14</v>
      </c>
      <c r="B116" s="169" t="s">
        <v>246</v>
      </c>
      <c r="C116" s="157">
        <v>1658048</v>
      </c>
      <c r="D116" s="157">
        <v>1637654</v>
      </c>
      <c r="E116" s="157">
        <f t="shared" si="4"/>
        <v>-20394</v>
      </c>
      <c r="F116" s="161">
        <f t="shared" si="5"/>
        <v>-1.2300005789940942E-2</v>
      </c>
    </row>
    <row r="117" spans="1:6" ht="15" customHeight="1" x14ac:dyDescent="0.2">
      <c r="A117" s="147">
        <v>15</v>
      </c>
      <c r="B117" s="169" t="s">
        <v>203</v>
      </c>
      <c r="C117" s="157">
        <v>14432699</v>
      </c>
      <c r="D117" s="157">
        <v>16548988</v>
      </c>
      <c r="E117" s="157">
        <f t="shared" si="4"/>
        <v>2116289</v>
      </c>
      <c r="F117" s="161">
        <f t="shared" si="5"/>
        <v>0.14663154826411887</v>
      </c>
    </row>
    <row r="118" spans="1:6" ht="15" customHeight="1" x14ac:dyDescent="0.2">
      <c r="A118" s="147">
        <v>16</v>
      </c>
      <c r="B118" s="169" t="s">
        <v>247</v>
      </c>
      <c r="C118" s="157">
        <v>2197889</v>
      </c>
      <c r="D118" s="157">
        <v>2121245</v>
      </c>
      <c r="E118" s="157">
        <f t="shared" si="4"/>
        <v>-76644</v>
      </c>
      <c r="F118" s="161">
        <f t="shared" si="5"/>
        <v>-3.4871642744469807E-2</v>
      </c>
    </row>
    <row r="119" spans="1:6" ht="15" customHeight="1" x14ac:dyDescent="0.2">
      <c r="A119" s="147">
        <v>17</v>
      </c>
      <c r="B119" s="169" t="s">
        <v>248</v>
      </c>
      <c r="C119" s="157">
        <v>11481883</v>
      </c>
      <c r="D119" s="157">
        <v>11138586</v>
      </c>
      <c r="E119" s="157">
        <f t="shared" si="4"/>
        <v>-343297</v>
      </c>
      <c r="F119" s="161">
        <f t="shared" si="5"/>
        <v>-2.9899015692809273E-2</v>
      </c>
    </row>
    <row r="120" spans="1:6" ht="15" customHeight="1" x14ac:dyDescent="0.2">
      <c r="A120" s="147">
        <v>18</v>
      </c>
      <c r="B120" s="169" t="s">
        <v>249</v>
      </c>
      <c r="C120" s="157">
        <v>315</v>
      </c>
      <c r="D120" s="157">
        <v>0</v>
      </c>
      <c r="E120" s="157">
        <f t="shared" si="4"/>
        <v>-315</v>
      </c>
      <c r="F120" s="161">
        <f t="shared" si="5"/>
        <v>-1</v>
      </c>
    </row>
    <row r="121" spans="1:6" ht="15.75" customHeight="1" x14ac:dyDescent="0.25">
      <c r="A121" s="147"/>
      <c r="B121" s="165" t="s">
        <v>250</v>
      </c>
      <c r="C121" s="158">
        <f>SUM(C103:C120)</f>
        <v>158833166</v>
      </c>
      <c r="D121" s="158">
        <f>SUM(D103:D120)</f>
        <v>157644640</v>
      </c>
      <c r="E121" s="158">
        <f t="shared" si="4"/>
        <v>-1188526</v>
      </c>
      <c r="F121" s="159">
        <f t="shared" si="5"/>
        <v>-7.4828578308386798E-3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4760014</v>
      </c>
      <c r="D124" s="157">
        <v>4898301</v>
      </c>
      <c r="E124" s="157">
        <f t="shared" ref="E124:E130" si="6">D124-C124</f>
        <v>138287</v>
      </c>
      <c r="F124" s="161">
        <f t="shared" ref="F124:F130" si="7">IF(C124=0,0,E124/C124)</f>
        <v>2.9051805309816315E-2</v>
      </c>
    </row>
    <row r="125" spans="1:6" ht="15" customHeight="1" x14ac:dyDescent="0.2">
      <c r="A125" s="147">
        <v>2</v>
      </c>
      <c r="B125" s="169" t="s">
        <v>253</v>
      </c>
      <c r="C125" s="157">
        <v>6106396</v>
      </c>
      <c r="D125" s="157">
        <v>6340498</v>
      </c>
      <c r="E125" s="157">
        <f t="shared" si="6"/>
        <v>234102</v>
      </c>
      <c r="F125" s="161">
        <f t="shared" si="7"/>
        <v>3.8337179573679797E-2</v>
      </c>
    </row>
    <row r="126" spans="1:6" ht="15" customHeight="1" x14ac:dyDescent="0.2">
      <c r="A126" s="147">
        <v>3</v>
      </c>
      <c r="B126" s="169" t="s">
        <v>254</v>
      </c>
      <c r="C126" s="157">
        <v>2405286</v>
      </c>
      <c r="D126" s="157">
        <v>2401779</v>
      </c>
      <c r="E126" s="157">
        <f t="shared" si="6"/>
        <v>-3507</v>
      </c>
      <c r="F126" s="161">
        <f t="shared" si="7"/>
        <v>-1.4580386698297E-3</v>
      </c>
    </row>
    <row r="127" spans="1:6" ht="15" customHeight="1" x14ac:dyDescent="0.2">
      <c r="A127" s="147">
        <v>4</v>
      </c>
      <c r="B127" s="169" t="s">
        <v>255</v>
      </c>
      <c r="C127" s="157">
        <v>3099400</v>
      </c>
      <c r="D127" s="157">
        <v>3853086</v>
      </c>
      <c r="E127" s="157">
        <f t="shared" si="6"/>
        <v>753686</v>
      </c>
      <c r="F127" s="161">
        <f t="shared" si="7"/>
        <v>0.24317158159643801</v>
      </c>
    </row>
    <row r="128" spans="1:6" ht="15" customHeight="1" x14ac:dyDescent="0.2">
      <c r="A128" s="147">
        <v>5</v>
      </c>
      <c r="B128" s="169" t="s">
        <v>256</v>
      </c>
      <c r="C128" s="157">
        <v>818648</v>
      </c>
      <c r="D128" s="157">
        <v>771004</v>
      </c>
      <c r="E128" s="157">
        <f t="shared" si="6"/>
        <v>-47644</v>
      </c>
      <c r="F128" s="161">
        <f t="shared" si="7"/>
        <v>-5.8198395403152518E-2</v>
      </c>
    </row>
    <row r="129" spans="1:6" ht="15" customHeight="1" x14ac:dyDescent="0.2">
      <c r="A129" s="147">
        <v>6</v>
      </c>
      <c r="B129" s="169" t="s">
        <v>257</v>
      </c>
      <c r="C129" s="157">
        <v>3013870</v>
      </c>
      <c r="D129" s="157">
        <v>3279788</v>
      </c>
      <c r="E129" s="157">
        <f t="shared" si="6"/>
        <v>265918</v>
      </c>
      <c r="F129" s="161">
        <f t="shared" si="7"/>
        <v>8.82314101139067E-2</v>
      </c>
    </row>
    <row r="130" spans="1:6" ht="15.75" customHeight="1" x14ac:dyDescent="0.25">
      <c r="A130" s="147"/>
      <c r="B130" s="165" t="s">
        <v>258</v>
      </c>
      <c r="C130" s="158">
        <f>SUM(C124:C129)</f>
        <v>20203614</v>
      </c>
      <c r="D130" s="158">
        <f>SUM(D124:D129)</f>
        <v>21544456</v>
      </c>
      <c r="E130" s="158">
        <f t="shared" si="6"/>
        <v>1340842</v>
      </c>
      <c r="F130" s="159">
        <f t="shared" si="7"/>
        <v>6.6366443152200388E-2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48675920</v>
      </c>
      <c r="D133" s="157">
        <v>49355374</v>
      </c>
      <c r="E133" s="157">
        <f t="shared" ref="E133:E167" si="8">D133-C133</f>
        <v>679454</v>
      </c>
      <c r="F133" s="161">
        <f t="shared" ref="F133:F167" si="9">IF(C133=0,0,E133/C133)</f>
        <v>1.3958729490885842E-2</v>
      </c>
    </row>
    <row r="134" spans="1:6" ht="15" customHeight="1" x14ac:dyDescent="0.2">
      <c r="A134" s="147">
        <v>2</v>
      </c>
      <c r="B134" s="169" t="s">
        <v>261</v>
      </c>
      <c r="C134" s="157">
        <v>4090039</v>
      </c>
      <c r="D134" s="157">
        <v>4158270</v>
      </c>
      <c r="E134" s="157">
        <f t="shared" si="8"/>
        <v>68231</v>
      </c>
      <c r="F134" s="161">
        <f t="shared" si="9"/>
        <v>1.6682237015343864E-2</v>
      </c>
    </row>
    <row r="135" spans="1:6" ht="15" customHeight="1" x14ac:dyDescent="0.2">
      <c r="A135" s="147">
        <v>3</v>
      </c>
      <c r="B135" s="169" t="s">
        <v>262</v>
      </c>
      <c r="C135" s="157">
        <v>556009</v>
      </c>
      <c r="D135" s="157">
        <v>634877</v>
      </c>
      <c r="E135" s="157">
        <f t="shared" si="8"/>
        <v>78868</v>
      </c>
      <c r="F135" s="161">
        <f t="shared" si="9"/>
        <v>0.14184662478485061</v>
      </c>
    </row>
    <row r="136" spans="1:6" ht="15" customHeight="1" x14ac:dyDescent="0.2">
      <c r="A136" s="147">
        <v>4</v>
      </c>
      <c r="B136" s="169" t="s">
        <v>263</v>
      </c>
      <c r="C136" s="157">
        <v>6724298</v>
      </c>
      <c r="D136" s="157">
        <v>6947044</v>
      </c>
      <c r="E136" s="157">
        <f t="shared" si="8"/>
        <v>222746</v>
      </c>
      <c r="F136" s="161">
        <f t="shared" si="9"/>
        <v>3.3125539647410038E-2</v>
      </c>
    </row>
    <row r="137" spans="1:6" ht="15" customHeight="1" x14ac:dyDescent="0.2">
      <c r="A137" s="147">
        <v>5</v>
      </c>
      <c r="B137" s="169" t="s">
        <v>264</v>
      </c>
      <c r="C137" s="157">
        <v>9973910</v>
      </c>
      <c r="D137" s="157">
        <v>9866815</v>
      </c>
      <c r="E137" s="157">
        <f t="shared" si="8"/>
        <v>-107095</v>
      </c>
      <c r="F137" s="161">
        <f t="shared" si="9"/>
        <v>-1.0737514174481221E-2</v>
      </c>
    </row>
    <row r="138" spans="1:6" ht="15" customHeight="1" x14ac:dyDescent="0.2">
      <c r="A138" s="147">
        <v>6</v>
      </c>
      <c r="B138" s="169" t="s">
        <v>265</v>
      </c>
      <c r="C138" s="157">
        <v>2591397</v>
      </c>
      <c r="D138" s="157">
        <v>2591093</v>
      </c>
      <c r="E138" s="157">
        <f t="shared" si="8"/>
        <v>-304</v>
      </c>
      <c r="F138" s="161">
        <f t="shared" si="9"/>
        <v>-1.1731124177422448E-4</v>
      </c>
    </row>
    <row r="139" spans="1:6" ht="15" customHeight="1" x14ac:dyDescent="0.2">
      <c r="A139" s="147">
        <v>7</v>
      </c>
      <c r="B139" s="169" t="s">
        <v>266</v>
      </c>
      <c r="C139" s="157">
        <v>4304246</v>
      </c>
      <c r="D139" s="157">
        <v>4033019</v>
      </c>
      <c r="E139" s="157">
        <f t="shared" si="8"/>
        <v>-271227</v>
      </c>
      <c r="F139" s="161">
        <f t="shared" si="9"/>
        <v>-6.3013824023998632E-2</v>
      </c>
    </row>
    <row r="140" spans="1:6" ht="15" customHeight="1" x14ac:dyDescent="0.2">
      <c r="A140" s="147">
        <v>8</v>
      </c>
      <c r="B140" s="169" t="s">
        <v>267</v>
      </c>
      <c r="C140" s="157">
        <v>1236697</v>
      </c>
      <c r="D140" s="157">
        <v>1418760</v>
      </c>
      <c r="E140" s="157">
        <f t="shared" si="8"/>
        <v>182063</v>
      </c>
      <c r="F140" s="161">
        <f t="shared" si="9"/>
        <v>0.14721714373043679</v>
      </c>
    </row>
    <row r="141" spans="1:6" ht="15" customHeight="1" x14ac:dyDescent="0.2">
      <c r="A141" s="147">
        <v>9</v>
      </c>
      <c r="B141" s="169" t="s">
        <v>268</v>
      </c>
      <c r="C141" s="157">
        <v>1884362</v>
      </c>
      <c r="D141" s="157">
        <v>2053087</v>
      </c>
      <c r="E141" s="157">
        <f t="shared" si="8"/>
        <v>168725</v>
      </c>
      <c r="F141" s="161">
        <f t="shared" si="9"/>
        <v>8.9539589526853119E-2</v>
      </c>
    </row>
    <row r="142" spans="1:6" ht="15" customHeight="1" x14ac:dyDescent="0.2">
      <c r="A142" s="147">
        <v>10</v>
      </c>
      <c r="B142" s="169" t="s">
        <v>269</v>
      </c>
      <c r="C142" s="157">
        <v>21535945</v>
      </c>
      <c r="D142" s="157">
        <v>21935643</v>
      </c>
      <c r="E142" s="157">
        <f t="shared" si="8"/>
        <v>399698</v>
      </c>
      <c r="F142" s="161">
        <f t="shared" si="9"/>
        <v>1.855957563041696E-2</v>
      </c>
    </row>
    <row r="143" spans="1:6" ht="15" customHeight="1" x14ac:dyDescent="0.2">
      <c r="A143" s="147">
        <v>11</v>
      </c>
      <c r="B143" s="169" t="s">
        <v>270</v>
      </c>
      <c r="C143" s="157">
        <v>0</v>
      </c>
      <c r="D143" s="157">
        <v>0</v>
      </c>
      <c r="E143" s="157">
        <f t="shared" si="8"/>
        <v>0</v>
      </c>
      <c r="F143" s="161">
        <f t="shared" si="9"/>
        <v>0</v>
      </c>
    </row>
    <row r="144" spans="1:6" ht="15" customHeight="1" x14ac:dyDescent="0.2">
      <c r="A144" s="147">
        <v>12</v>
      </c>
      <c r="B144" s="169" t="s">
        <v>271</v>
      </c>
      <c r="C144" s="157">
        <v>9665366</v>
      </c>
      <c r="D144" s="157">
        <v>10778953</v>
      </c>
      <c r="E144" s="157">
        <f t="shared" si="8"/>
        <v>1113587</v>
      </c>
      <c r="F144" s="161">
        <f t="shared" si="9"/>
        <v>0.11521415743594189</v>
      </c>
    </row>
    <row r="145" spans="1:6" ht="15" customHeight="1" x14ac:dyDescent="0.2">
      <c r="A145" s="147">
        <v>13</v>
      </c>
      <c r="B145" s="169" t="s">
        <v>272</v>
      </c>
      <c r="C145" s="157">
        <v>7303824</v>
      </c>
      <c r="D145" s="157">
        <v>8236492</v>
      </c>
      <c r="E145" s="157">
        <f t="shared" si="8"/>
        <v>932668</v>
      </c>
      <c r="F145" s="161">
        <f t="shared" si="9"/>
        <v>0.12769584809272513</v>
      </c>
    </row>
    <row r="146" spans="1:6" ht="15" customHeight="1" x14ac:dyDescent="0.2">
      <c r="A146" s="147">
        <v>14</v>
      </c>
      <c r="B146" s="169" t="s">
        <v>273</v>
      </c>
      <c r="C146" s="157">
        <v>321371</v>
      </c>
      <c r="D146" s="157">
        <v>372342</v>
      </c>
      <c r="E146" s="157">
        <f t="shared" si="8"/>
        <v>50971</v>
      </c>
      <c r="F146" s="161">
        <f t="shared" si="9"/>
        <v>0.15860485233577393</v>
      </c>
    </row>
    <row r="147" spans="1:6" ht="15" customHeight="1" x14ac:dyDescent="0.2">
      <c r="A147" s="147">
        <v>15</v>
      </c>
      <c r="B147" s="169" t="s">
        <v>274</v>
      </c>
      <c r="C147" s="157">
        <v>335482</v>
      </c>
      <c r="D147" s="157">
        <v>347257</v>
      </c>
      <c r="E147" s="157">
        <f t="shared" si="8"/>
        <v>11775</v>
      </c>
      <c r="F147" s="161">
        <f t="shared" si="9"/>
        <v>3.5098753435355699E-2</v>
      </c>
    </row>
    <row r="148" spans="1:6" ht="15" customHeight="1" x14ac:dyDescent="0.2">
      <c r="A148" s="147">
        <v>16</v>
      </c>
      <c r="B148" s="169" t="s">
        <v>275</v>
      </c>
      <c r="C148" s="157">
        <v>53385</v>
      </c>
      <c r="D148" s="157">
        <v>72000</v>
      </c>
      <c r="E148" s="157">
        <f t="shared" si="8"/>
        <v>18615</v>
      </c>
      <c r="F148" s="161">
        <f t="shared" si="9"/>
        <v>0.34869345321719586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3457826</v>
      </c>
      <c r="D150" s="157">
        <v>3269659</v>
      </c>
      <c r="E150" s="157">
        <f t="shared" si="8"/>
        <v>-188167</v>
      </c>
      <c r="F150" s="161">
        <f t="shared" si="9"/>
        <v>-5.4417717953419285E-2</v>
      </c>
    </row>
    <row r="151" spans="1:6" ht="15" customHeight="1" x14ac:dyDescent="0.2">
      <c r="A151" s="147">
        <v>19</v>
      </c>
      <c r="B151" s="169" t="s">
        <v>278</v>
      </c>
      <c r="C151" s="157">
        <v>813889</v>
      </c>
      <c r="D151" s="157">
        <v>806067</v>
      </c>
      <c r="E151" s="157">
        <f t="shared" si="8"/>
        <v>-7822</v>
      </c>
      <c r="F151" s="161">
        <f t="shared" si="9"/>
        <v>-9.610647152130081E-3</v>
      </c>
    </row>
    <row r="152" spans="1:6" ht="15" customHeight="1" x14ac:dyDescent="0.2">
      <c r="A152" s="147">
        <v>20</v>
      </c>
      <c r="B152" s="169" t="s">
        <v>279</v>
      </c>
      <c r="C152" s="157">
        <v>865825</v>
      </c>
      <c r="D152" s="157">
        <v>896526</v>
      </c>
      <c r="E152" s="157">
        <f t="shared" si="8"/>
        <v>30701</v>
      </c>
      <c r="F152" s="161">
        <f t="shared" si="9"/>
        <v>3.5458666589668814E-2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0</v>
      </c>
      <c r="D154" s="157">
        <v>0</v>
      </c>
      <c r="E154" s="157">
        <f t="shared" si="8"/>
        <v>0</v>
      </c>
      <c r="F154" s="161">
        <f t="shared" si="9"/>
        <v>0</v>
      </c>
    </row>
    <row r="155" spans="1:6" ht="15" customHeight="1" x14ac:dyDescent="0.2">
      <c r="A155" s="147">
        <v>23</v>
      </c>
      <c r="B155" s="169" t="s">
        <v>282</v>
      </c>
      <c r="C155" s="157">
        <v>366455</v>
      </c>
      <c r="D155" s="157">
        <v>427295</v>
      </c>
      <c r="E155" s="157">
        <f t="shared" si="8"/>
        <v>60840</v>
      </c>
      <c r="F155" s="161">
        <f t="shared" si="9"/>
        <v>0.16602311334270237</v>
      </c>
    </row>
    <row r="156" spans="1:6" ht="15" customHeight="1" x14ac:dyDescent="0.2">
      <c r="A156" s="147">
        <v>24</v>
      </c>
      <c r="B156" s="169" t="s">
        <v>283</v>
      </c>
      <c r="C156" s="157">
        <v>8622211</v>
      </c>
      <c r="D156" s="157">
        <v>8168943</v>
      </c>
      <c r="E156" s="157">
        <f t="shared" si="8"/>
        <v>-453268</v>
      </c>
      <c r="F156" s="161">
        <f t="shared" si="9"/>
        <v>-5.2569810690088654E-2</v>
      </c>
    </row>
    <row r="157" spans="1:6" ht="15" customHeight="1" x14ac:dyDescent="0.2">
      <c r="A157" s="147">
        <v>25</v>
      </c>
      <c r="B157" s="169" t="s">
        <v>284</v>
      </c>
      <c r="C157" s="157">
        <v>2240091</v>
      </c>
      <c r="D157" s="157">
        <v>2751722</v>
      </c>
      <c r="E157" s="157">
        <f t="shared" si="8"/>
        <v>511631</v>
      </c>
      <c r="F157" s="161">
        <f t="shared" si="9"/>
        <v>0.22839741778347397</v>
      </c>
    </row>
    <row r="158" spans="1:6" ht="15" customHeight="1" x14ac:dyDescent="0.2">
      <c r="A158" s="147">
        <v>26</v>
      </c>
      <c r="B158" s="169" t="s">
        <v>285</v>
      </c>
      <c r="C158" s="157">
        <v>0</v>
      </c>
      <c r="D158" s="157">
        <v>0</v>
      </c>
      <c r="E158" s="157">
        <f t="shared" si="8"/>
        <v>0</v>
      </c>
      <c r="F158" s="161">
        <f t="shared" si="9"/>
        <v>0</v>
      </c>
    </row>
    <row r="159" spans="1:6" ht="15" customHeight="1" x14ac:dyDescent="0.2">
      <c r="A159" s="147">
        <v>27</v>
      </c>
      <c r="B159" s="169" t="s">
        <v>286</v>
      </c>
      <c r="C159" s="157">
        <v>421900</v>
      </c>
      <c r="D159" s="157">
        <v>385950</v>
      </c>
      <c r="E159" s="157">
        <f t="shared" si="8"/>
        <v>-35950</v>
      </c>
      <c r="F159" s="161">
        <f t="shared" si="9"/>
        <v>-8.5209765347238689E-2</v>
      </c>
    </row>
    <row r="160" spans="1:6" ht="15" customHeight="1" x14ac:dyDescent="0.2">
      <c r="A160" s="147">
        <v>28</v>
      </c>
      <c r="B160" s="169" t="s">
        <v>287</v>
      </c>
      <c r="C160" s="157">
        <v>0</v>
      </c>
      <c r="D160" s="157">
        <v>0</v>
      </c>
      <c r="E160" s="157">
        <f t="shared" si="8"/>
        <v>0</v>
      </c>
      <c r="F160" s="161">
        <f t="shared" si="9"/>
        <v>0</v>
      </c>
    </row>
    <row r="161" spans="1:6" ht="15" customHeight="1" x14ac:dyDescent="0.2">
      <c r="A161" s="147">
        <v>29</v>
      </c>
      <c r="B161" s="169" t="s">
        <v>288</v>
      </c>
      <c r="C161" s="157">
        <v>0</v>
      </c>
      <c r="D161" s="157">
        <v>0</v>
      </c>
      <c r="E161" s="157">
        <f t="shared" si="8"/>
        <v>0</v>
      </c>
      <c r="F161" s="161">
        <f t="shared" si="9"/>
        <v>0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0</v>
      </c>
      <c r="D163" s="157">
        <v>0</v>
      </c>
      <c r="E163" s="157">
        <f t="shared" si="8"/>
        <v>0</v>
      </c>
      <c r="F163" s="161">
        <f t="shared" si="9"/>
        <v>0</v>
      </c>
    </row>
    <row r="164" spans="1:6" ht="15" customHeight="1" x14ac:dyDescent="0.2">
      <c r="A164" s="147">
        <v>32</v>
      </c>
      <c r="B164" s="169" t="s">
        <v>291</v>
      </c>
      <c r="C164" s="157">
        <v>4952228</v>
      </c>
      <c r="D164" s="157">
        <v>5467534</v>
      </c>
      <c r="E164" s="157">
        <f t="shared" si="8"/>
        <v>515306</v>
      </c>
      <c r="F164" s="161">
        <f t="shared" si="9"/>
        <v>0.10405538678752271</v>
      </c>
    </row>
    <row r="165" spans="1:6" ht="15" customHeight="1" x14ac:dyDescent="0.2">
      <c r="A165" s="147">
        <v>33</v>
      </c>
      <c r="B165" s="169" t="s">
        <v>292</v>
      </c>
      <c r="C165" s="157">
        <v>0</v>
      </c>
      <c r="D165" s="157">
        <v>0</v>
      </c>
      <c r="E165" s="157">
        <f t="shared" si="8"/>
        <v>0</v>
      </c>
      <c r="F165" s="161">
        <f t="shared" si="9"/>
        <v>0</v>
      </c>
    </row>
    <row r="166" spans="1:6" ht="15" customHeight="1" x14ac:dyDescent="0.2">
      <c r="A166" s="147">
        <v>34</v>
      </c>
      <c r="B166" s="169" t="s">
        <v>293</v>
      </c>
      <c r="C166" s="157">
        <v>0</v>
      </c>
      <c r="D166" s="157">
        <v>0</v>
      </c>
      <c r="E166" s="157">
        <f t="shared" si="8"/>
        <v>0</v>
      </c>
      <c r="F166" s="161">
        <f t="shared" si="9"/>
        <v>0</v>
      </c>
    </row>
    <row r="167" spans="1:6" ht="15.75" customHeight="1" x14ac:dyDescent="0.25">
      <c r="A167" s="147"/>
      <c r="B167" s="165" t="s">
        <v>294</v>
      </c>
      <c r="C167" s="158">
        <f>SUM(C133:C166)</f>
        <v>140992676</v>
      </c>
      <c r="D167" s="158">
        <f>SUM(D133:D166)</f>
        <v>144974722</v>
      </c>
      <c r="E167" s="158">
        <f t="shared" si="8"/>
        <v>3982046</v>
      </c>
      <c r="F167" s="159">
        <f t="shared" si="9"/>
        <v>2.824292802272935E-2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64603236</v>
      </c>
      <c r="D170" s="157">
        <v>63110460</v>
      </c>
      <c r="E170" s="157">
        <f t="shared" ref="E170:E183" si="10">D170-C170</f>
        <v>-1492776</v>
      </c>
      <c r="F170" s="161">
        <f t="shared" ref="F170:F183" si="11">IF(C170=0,0,E170/C170)</f>
        <v>-2.3106830128447435E-2</v>
      </c>
    </row>
    <row r="171" spans="1:6" ht="15" customHeight="1" x14ac:dyDescent="0.2">
      <c r="A171" s="147">
        <v>2</v>
      </c>
      <c r="B171" s="169" t="s">
        <v>297</v>
      </c>
      <c r="C171" s="157">
        <v>7975393</v>
      </c>
      <c r="D171" s="157">
        <v>7839423</v>
      </c>
      <c r="E171" s="157">
        <f t="shared" si="10"/>
        <v>-135970</v>
      </c>
      <c r="F171" s="161">
        <f t="shared" si="11"/>
        <v>-1.7048689638241025E-2</v>
      </c>
    </row>
    <row r="172" spans="1:6" ht="15" customHeight="1" x14ac:dyDescent="0.2">
      <c r="A172" s="147">
        <v>3</v>
      </c>
      <c r="B172" s="169" t="s">
        <v>298</v>
      </c>
      <c r="C172" s="157">
        <v>0</v>
      </c>
      <c r="D172" s="157">
        <v>0</v>
      </c>
      <c r="E172" s="157">
        <f t="shared" si="10"/>
        <v>0</v>
      </c>
      <c r="F172" s="161">
        <f t="shared" si="11"/>
        <v>0</v>
      </c>
    </row>
    <row r="173" spans="1:6" ht="15" customHeight="1" x14ac:dyDescent="0.2">
      <c r="A173" s="147">
        <v>4</v>
      </c>
      <c r="B173" s="169" t="s">
        <v>299</v>
      </c>
      <c r="C173" s="157">
        <v>4899629</v>
      </c>
      <c r="D173" s="157">
        <v>4970576</v>
      </c>
      <c r="E173" s="157">
        <f t="shared" si="10"/>
        <v>70947</v>
      </c>
      <c r="F173" s="161">
        <f t="shared" si="11"/>
        <v>1.4480075940443654E-2</v>
      </c>
    </row>
    <row r="174" spans="1:6" ht="15" customHeight="1" x14ac:dyDescent="0.2">
      <c r="A174" s="147">
        <v>5</v>
      </c>
      <c r="B174" s="169" t="s">
        <v>300</v>
      </c>
      <c r="C174" s="157">
        <v>4482209</v>
      </c>
      <c r="D174" s="157">
        <v>4540228</v>
      </c>
      <c r="E174" s="157">
        <f t="shared" si="10"/>
        <v>58019</v>
      </c>
      <c r="F174" s="161">
        <f t="shared" si="11"/>
        <v>1.294428706916612E-2</v>
      </c>
    </row>
    <row r="175" spans="1:6" ht="15" customHeight="1" x14ac:dyDescent="0.2">
      <c r="A175" s="147">
        <v>6</v>
      </c>
      <c r="B175" s="169" t="s">
        <v>301</v>
      </c>
      <c r="C175" s="157">
        <v>6355059</v>
      </c>
      <c r="D175" s="157">
        <v>5792028</v>
      </c>
      <c r="E175" s="157">
        <f t="shared" si="10"/>
        <v>-563031</v>
      </c>
      <c r="F175" s="161">
        <f t="shared" si="11"/>
        <v>-8.8595715633796632E-2</v>
      </c>
    </row>
    <row r="176" spans="1:6" ht="15" customHeight="1" x14ac:dyDescent="0.2">
      <c r="A176" s="147">
        <v>7</v>
      </c>
      <c r="B176" s="169" t="s">
        <v>302</v>
      </c>
      <c r="C176" s="157">
        <v>2098467</v>
      </c>
      <c r="D176" s="157">
        <v>2118903</v>
      </c>
      <c r="E176" s="157">
        <f t="shared" si="10"/>
        <v>20436</v>
      </c>
      <c r="F176" s="161">
        <f t="shared" si="11"/>
        <v>9.7385377039524573E-3</v>
      </c>
    </row>
    <row r="177" spans="1:6" ht="15" customHeight="1" x14ac:dyDescent="0.2">
      <c r="A177" s="147">
        <v>8</v>
      </c>
      <c r="B177" s="169" t="s">
        <v>303</v>
      </c>
      <c r="C177" s="157">
        <v>0</v>
      </c>
      <c r="D177" s="157">
        <v>0</v>
      </c>
      <c r="E177" s="157">
        <f t="shared" si="10"/>
        <v>0</v>
      </c>
      <c r="F177" s="161">
        <f t="shared" si="11"/>
        <v>0</v>
      </c>
    </row>
    <row r="178" spans="1:6" ht="15" customHeight="1" x14ac:dyDescent="0.2">
      <c r="A178" s="147">
        <v>9</v>
      </c>
      <c r="B178" s="169" t="s">
        <v>304</v>
      </c>
      <c r="C178" s="157">
        <v>2133472</v>
      </c>
      <c r="D178" s="157">
        <v>2472456</v>
      </c>
      <c r="E178" s="157">
        <f t="shared" si="10"/>
        <v>338984</v>
      </c>
      <c r="F178" s="161">
        <f t="shared" si="11"/>
        <v>0.15888842225255359</v>
      </c>
    </row>
    <row r="179" spans="1:6" ht="15" customHeight="1" x14ac:dyDescent="0.2">
      <c r="A179" s="147">
        <v>10</v>
      </c>
      <c r="B179" s="169" t="s">
        <v>305</v>
      </c>
      <c r="C179" s="157">
        <v>3583928</v>
      </c>
      <c r="D179" s="157">
        <v>3875481</v>
      </c>
      <c r="E179" s="157">
        <f t="shared" si="10"/>
        <v>291553</v>
      </c>
      <c r="F179" s="161">
        <f t="shared" si="11"/>
        <v>8.1350127569527073E-2</v>
      </c>
    </row>
    <row r="180" spans="1:6" ht="15" customHeight="1" x14ac:dyDescent="0.2">
      <c r="A180" s="147">
        <v>11</v>
      </c>
      <c r="B180" s="169" t="s">
        <v>306</v>
      </c>
      <c r="C180" s="157">
        <v>0</v>
      </c>
      <c r="D180" s="157">
        <v>0</v>
      </c>
      <c r="E180" s="157">
        <f t="shared" si="10"/>
        <v>0</v>
      </c>
      <c r="F180" s="161">
        <f t="shared" si="11"/>
        <v>0</v>
      </c>
    </row>
    <row r="181" spans="1:6" ht="15" customHeight="1" x14ac:dyDescent="0.2">
      <c r="A181" s="147">
        <v>12</v>
      </c>
      <c r="B181" s="169" t="s">
        <v>307</v>
      </c>
      <c r="C181" s="157">
        <v>7047501</v>
      </c>
      <c r="D181" s="157">
        <v>7594554</v>
      </c>
      <c r="E181" s="157">
        <f t="shared" si="10"/>
        <v>547053</v>
      </c>
      <c r="F181" s="161">
        <f t="shared" si="11"/>
        <v>7.762368533186445E-2</v>
      </c>
    </row>
    <row r="182" spans="1:6" ht="15" customHeight="1" x14ac:dyDescent="0.2">
      <c r="A182" s="147">
        <v>13</v>
      </c>
      <c r="B182" s="169" t="s">
        <v>308</v>
      </c>
      <c r="C182" s="157">
        <v>0</v>
      </c>
      <c r="D182" s="157">
        <v>0</v>
      </c>
      <c r="E182" s="157">
        <f t="shared" si="10"/>
        <v>0</v>
      </c>
      <c r="F182" s="161">
        <f t="shared" si="11"/>
        <v>0</v>
      </c>
    </row>
    <row r="183" spans="1:6" ht="15.75" customHeight="1" x14ac:dyDescent="0.25">
      <c r="A183" s="147"/>
      <c r="B183" s="165" t="s">
        <v>309</v>
      </c>
      <c r="C183" s="158">
        <f>SUM(C170:C182)</f>
        <v>103178894</v>
      </c>
      <c r="D183" s="158">
        <f>SUM(D170:D182)</f>
        <v>102314109</v>
      </c>
      <c r="E183" s="158">
        <f t="shared" si="10"/>
        <v>-864785</v>
      </c>
      <c r="F183" s="159">
        <f t="shared" si="11"/>
        <v>-8.3814137414576287E-3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20282667</v>
      </c>
      <c r="D186" s="157">
        <v>21195601</v>
      </c>
      <c r="E186" s="157">
        <f>D186-C186</f>
        <v>912934</v>
      </c>
      <c r="F186" s="161">
        <f>IF(C186=0,0,E186/C186)</f>
        <v>4.5010550141162405E-2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443491017</v>
      </c>
      <c r="D188" s="158">
        <f>+D186+D183+D167+D130+D121</f>
        <v>447673528</v>
      </c>
      <c r="E188" s="158">
        <f>D188-C188</f>
        <v>4182511</v>
      </c>
      <c r="F188" s="159">
        <f>IF(C188=0,0,E188/C188)</f>
        <v>9.4308809867055324E-3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FILING&amp;RSTAMFORD HOSPITAL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2"/>
  <sheetViews>
    <sheetView zoomScale="75" zoomScaleSheetLayoutView="75" workbookViewId="0">
      <selection activeCell="E27" sqref="E27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465884745</v>
      </c>
      <c r="D11" s="183">
        <v>457806205</v>
      </c>
      <c r="E11" s="76">
        <v>476412504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19191199</v>
      </c>
      <c r="D12" s="185">
        <v>22613330</v>
      </c>
      <c r="E12" s="185">
        <v>17239966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485075944</v>
      </c>
      <c r="D13" s="76">
        <f>+D11+D12</f>
        <v>480419535</v>
      </c>
      <c r="E13" s="76">
        <f>+E11+E12</f>
        <v>493652470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453664905</v>
      </c>
      <c r="D14" s="185">
        <v>443491017</v>
      </c>
      <c r="E14" s="185">
        <v>447673528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31411039</v>
      </c>
      <c r="D15" s="76">
        <f>+D13-D14</f>
        <v>36928518</v>
      </c>
      <c r="E15" s="76">
        <f>+E13-E14</f>
        <v>45978942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1087375</v>
      </c>
      <c r="D16" s="185">
        <v>2718922</v>
      </c>
      <c r="E16" s="185">
        <v>-582142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32498414</v>
      </c>
      <c r="D17" s="76">
        <f>D15+D16</f>
        <v>39647440</v>
      </c>
      <c r="E17" s="76">
        <f>E15+E16</f>
        <v>45396800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6.4610055453402065E-2</v>
      </c>
      <c r="D20" s="189">
        <f>IF(+D27=0,0,+D24/+D27)</f>
        <v>7.6434648215138873E-2</v>
      </c>
      <c r="E20" s="189">
        <f>IF(+E27=0,0,+E24/+E27)</f>
        <v>9.325027159208818E-2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2.2366455006038823E-3</v>
      </c>
      <c r="D21" s="189">
        <f>IF(D27=0,0,+D26/D27)</f>
        <v>5.6276248777273382E-3</v>
      </c>
      <c r="E21" s="189">
        <f>IF(E27=0,0,+E26/E27)</f>
        <v>-1.1806469928160024E-3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6.6846700954005953E-2</v>
      </c>
      <c r="D22" s="189">
        <f>IF(D27=0,0,+D28/D27)</f>
        <v>8.206227309286622E-2</v>
      </c>
      <c r="E22" s="189">
        <f>IF(E27=0,0,+E28/E27)</f>
        <v>9.2069624599272176E-2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31411039</v>
      </c>
      <c r="D24" s="76">
        <f>+D15</f>
        <v>36928518</v>
      </c>
      <c r="E24" s="76">
        <f>+E15</f>
        <v>45978942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485075944</v>
      </c>
      <c r="D25" s="76">
        <f>+D13</f>
        <v>480419535</v>
      </c>
      <c r="E25" s="76">
        <f>+E13</f>
        <v>493652470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1087375</v>
      </c>
      <c r="D26" s="76">
        <f>+D16</f>
        <v>2718922</v>
      </c>
      <c r="E26" s="76">
        <f>+E16</f>
        <v>-582142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486163319</v>
      </c>
      <c r="D27" s="76">
        <f>+D25+D26</f>
        <v>483138457</v>
      </c>
      <c r="E27" s="76">
        <f>+E25+E26</f>
        <v>493070328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32498414</v>
      </c>
      <c r="D28" s="76">
        <f>+D17</f>
        <v>39647440</v>
      </c>
      <c r="E28" s="76">
        <f>+E17</f>
        <v>45396800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160467000</v>
      </c>
      <c r="D31" s="76">
        <v>151392000</v>
      </c>
      <c r="E31" s="76">
        <v>218717000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208376000</v>
      </c>
      <c r="D32" s="76">
        <v>218806000</v>
      </c>
      <c r="E32" s="76">
        <v>309474000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47362000</v>
      </c>
      <c r="D33" s="76">
        <f>+D32-C32</f>
        <v>10430000</v>
      </c>
      <c r="E33" s="76">
        <f>+E32-D32</f>
        <v>90668000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1.2941</v>
      </c>
      <c r="D34" s="193">
        <f>IF(C32=0,0,+D33/C32)</f>
        <v>5.0053748992206396E-2</v>
      </c>
      <c r="E34" s="193">
        <f>IF(D32=0,0,+E33/D32)</f>
        <v>0.41437620540570186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0.26094502865700037</v>
      </c>
      <c r="D38" s="195">
        <f>IF((D40+D41)=0,0,+D39/(D40+D41))</f>
        <v>0.24636330140325652</v>
      </c>
      <c r="E38" s="195">
        <f>IF((E40+E41)=0,0,+E39/(E40+E41))</f>
        <v>0.23710887419283422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453664905</v>
      </c>
      <c r="D39" s="76">
        <v>443491017</v>
      </c>
      <c r="E39" s="196">
        <v>447673528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1720809095</v>
      </c>
      <c r="D40" s="76">
        <v>1779032454</v>
      </c>
      <c r="E40" s="196">
        <v>1872448686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17736787</v>
      </c>
      <c r="D41" s="76">
        <v>21118033</v>
      </c>
      <c r="E41" s="196">
        <v>15601812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1.6397542632566127</v>
      </c>
      <c r="D43" s="197">
        <f>IF(D38=0,0,IF((D46-D47)=0,0,((+D44-D45)/(D46-D47)/D38)))</f>
        <v>1.660343101496855</v>
      </c>
      <c r="E43" s="197">
        <f>IF(E38=0,0,IF((E46-E47)=0,0,((+E44-E45)/(E46-E47)/E38)))</f>
        <v>1.7551232088045667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324502818</v>
      </c>
      <c r="D44" s="76">
        <v>316903147</v>
      </c>
      <c r="E44" s="196">
        <v>331323698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2091273</v>
      </c>
      <c r="D45" s="76">
        <v>1653684</v>
      </c>
      <c r="E45" s="196">
        <v>1895524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833020079</v>
      </c>
      <c r="D46" s="76">
        <v>837913738</v>
      </c>
      <c r="E46" s="196">
        <v>853581155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79520891</v>
      </c>
      <c r="D47" s="76">
        <v>67222364</v>
      </c>
      <c r="E47" s="76">
        <v>61982001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0.69899979975238946</v>
      </c>
      <c r="D49" s="198">
        <f>IF(D38=0,0,IF(D51=0,0,(D50/D51)/D38))</f>
        <v>0.72606635870288017</v>
      </c>
      <c r="E49" s="198">
        <f>IF(E38=0,0,IF(E51=0,0,(E50/E51)/E38))</f>
        <v>0.77421181820621254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114539033</v>
      </c>
      <c r="D50" s="199">
        <v>118888695</v>
      </c>
      <c r="E50" s="199">
        <v>132110643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627953425</v>
      </c>
      <c r="D51" s="199">
        <v>664642686</v>
      </c>
      <c r="E51" s="199">
        <v>719664701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0.57534813067674262</v>
      </c>
      <c r="D53" s="198">
        <f>IF(D38=0,0,IF(D55=0,0,(D54/D55)/D38))</f>
        <v>0.61567910894721345</v>
      </c>
      <c r="E53" s="198">
        <f>IF(E38=0,0,IF(E55=0,0,(E54/E55)/E38))</f>
        <v>0.55894881537881813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38166531</v>
      </c>
      <c r="D54" s="199">
        <v>40687610</v>
      </c>
      <c r="E54" s="199">
        <v>38585522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254216043</v>
      </c>
      <c r="D55" s="199">
        <v>268245069</v>
      </c>
      <c r="E55" s="199">
        <v>291141779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20268313.016662482</v>
      </c>
      <c r="D57" s="88">
        <f>+D60*D38</f>
        <v>17477679.507003915</v>
      </c>
      <c r="E57" s="88">
        <f>+E60*E38</f>
        <v>14275106.81264607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28856190</v>
      </c>
      <c r="D58" s="199">
        <v>30293193</v>
      </c>
      <c r="E58" s="199">
        <v>32247209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48816541</v>
      </c>
      <c r="D59" s="199">
        <v>40649514</v>
      </c>
      <c r="E59" s="199">
        <v>27957652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77672731</v>
      </c>
      <c r="D60" s="76">
        <v>70942707</v>
      </c>
      <c r="E60" s="201">
        <v>60204861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4.4676837007399731E-2</v>
      </c>
      <c r="D62" s="202">
        <f>IF(D63=0,0,+D57/D63)</f>
        <v>3.9409320227570502E-2</v>
      </c>
      <c r="E62" s="202">
        <f>IF(E63=0,0,+E57/E63)</f>
        <v>3.1887315018202439E-2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453664905</v>
      </c>
      <c r="D63" s="199">
        <v>443491017</v>
      </c>
      <c r="E63" s="199">
        <v>447673528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1.7765027421310793</v>
      </c>
      <c r="D67" s="203">
        <f>IF(D69=0,0,D68/D69)</f>
        <v>1.6514683947950419</v>
      </c>
      <c r="E67" s="203">
        <f>IF(E69=0,0,E68/E69)</f>
        <v>1.8517941740570136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196300000</v>
      </c>
      <c r="D68" s="204">
        <v>192657000</v>
      </c>
      <c r="E68" s="204">
        <v>225930000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110498000</v>
      </c>
      <c r="D69" s="204">
        <v>116658000</v>
      </c>
      <c r="E69" s="204">
        <v>122006000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90.04264879979813</v>
      </c>
      <c r="D71" s="203">
        <f>IF((D77/365)=0,0,+D74/(D77/365))</f>
        <v>88.341349809152277</v>
      </c>
      <c r="E71" s="203">
        <f>IF((E77/365)=0,0,+E74/(E77/365))</f>
        <v>109.65477450959457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105744000</v>
      </c>
      <c r="D72" s="183">
        <v>101451000</v>
      </c>
      <c r="E72" s="183">
        <v>127288000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44000</v>
      </c>
      <c r="D73" s="206">
        <v>58000</v>
      </c>
      <c r="E73" s="206">
        <v>53000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105788000</v>
      </c>
      <c r="D74" s="204">
        <f>+D72+D73</f>
        <v>101509000</v>
      </c>
      <c r="E74" s="204">
        <f>+E72+E73</f>
        <v>127341000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453664905</v>
      </c>
      <c r="D75" s="204">
        <f>+D14</f>
        <v>443491017</v>
      </c>
      <c r="E75" s="204">
        <f>+E14</f>
        <v>447673528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24839004</v>
      </c>
      <c r="D76" s="204">
        <v>24086230</v>
      </c>
      <c r="E76" s="204">
        <v>23802655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428825901</v>
      </c>
      <c r="D77" s="204">
        <f>+D75-D76</f>
        <v>419404787</v>
      </c>
      <c r="E77" s="204">
        <f>+E75-E76</f>
        <v>423870873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51.052315524948128</v>
      </c>
      <c r="D79" s="203">
        <f>IF((D84/365)=0,0,+D83/(D84/365))</f>
        <v>52.032922970102604</v>
      </c>
      <c r="E79" s="203">
        <f>IF((E84/365)=0,0,+E83/(E84/365))</f>
        <v>49.945613937958271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68026000</v>
      </c>
      <c r="D80" s="212">
        <v>68967000</v>
      </c>
      <c r="E80" s="212">
        <v>72727000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3366000</v>
      </c>
      <c r="D81" s="212">
        <v>2838000</v>
      </c>
      <c r="E81" s="212">
        <v>265000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6229000</v>
      </c>
      <c r="D82" s="212">
        <v>6542000</v>
      </c>
      <c r="E82" s="212">
        <v>7801000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65163000</v>
      </c>
      <c r="D83" s="212">
        <f>+D80+D81-D82</f>
        <v>65263000</v>
      </c>
      <c r="E83" s="212">
        <f>+E80+E81-E82</f>
        <v>65191000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465884745</v>
      </c>
      <c r="D84" s="204">
        <f>+D11</f>
        <v>457806205</v>
      </c>
      <c r="E84" s="204">
        <f>+E11</f>
        <v>476412504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94.05161839792882</v>
      </c>
      <c r="D86" s="203">
        <f>IF((D90/365)=0,0,+D87/(D90/365))</f>
        <v>101.52523604839064</v>
      </c>
      <c r="E86" s="203">
        <f>IF((E90/365)=0,0,+E87/(E90/365))</f>
        <v>105.06074570497793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110498000</v>
      </c>
      <c r="D87" s="76">
        <f>+D69</f>
        <v>116658000</v>
      </c>
      <c r="E87" s="76">
        <f>+E69</f>
        <v>122006000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453664905</v>
      </c>
      <c r="D88" s="76">
        <f t="shared" si="0"/>
        <v>443491017</v>
      </c>
      <c r="E88" s="76">
        <f t="shared" si="0"/>
        <v>447673528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24839004</v>
      </c>
      <c r="D89" s="201">
        <f t="shared" si="0"/>
        <v>24086230</v>
      </c>
      <c r="E89" s="201">
        <f t="shared" si="0"/>
        <v>23802655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428825901</v>
      </c>
      <c r="D90" s="76">
        <f>+D88-D89</f>
        <v>419404787</v>
      </c>
      <c r="E90" s="76">
        <f>+E88-E89</f>
        <v>423870873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26.119154163376329</v>
      </c>
      <c r="D94" s="214">
        <f>IF(D96=0,0,(D95/D96)*100)</f>
        <v>26.973292488242656</v>
      </c>
      <c r="E94" s="214">
        <f>IF(E96=0,0,(E95/E96)*100)</f>
        <v>34.159560071790771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208376000</v>
      </c>
      <c r="D95" s="76">
        <f>+D32</f>
        <v>218806000</v>
      </c>
      <c r="E95" s="76">
        <f>+E32</f>
        <v>309474000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797790000</v>
      </c>
      <c r="D96" s="76">
        <v>811195000</v>
      </c>
      <c r="E96" s="76">
        <v>905966000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11.846182357608013</v>
      </c>
      <c r="D98" s="214">
        <f>IF(D104=0,0,(D101/D104)*100)</f>
        <v>13.150968468793783</v>
      </c>
      <c r="E98" s="214">
        <f>IF(E104=0,0,(E101/E104)*100)</f>
        <v>14.288964578781959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32498414</v>
      </c>
      <c r="D99" s="76">
        <f>+D28</f>
        <v>39647440</v>
      </c>
      <c r="E99" s="76">
        <f>+E28</f>
        <v>45396800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24839004</v>
      </c>
      <c r="D100" s="201">
        <f>+D76</f>
        <v>24086230</v>
      </c>
      <c r="E100" s="201">
        <f>+E76</f>
        <v>23802655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57337418</v>
      </c>
      <c r="D101" s="76">
        <f>+D99+D100</f>
        <v>63733670</v>
      </c>
      <c r="E101" s="76">
        <f>+E99+E100</f>
        <v>69199455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110498000</v>
      </c>
      <c r="D102" s="204">
        <f>+D69</f>
        <v>116658000</v>
      </c>
      <c r="E102" s="204">
        <f>+E69</f>
        <v>122006000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373518000</v>
      </c>
      <c r="D103" s="216">
        <v>367973000</v>
      </c>
      <c r="E103" s="216">
        <v>362280000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484016000</v>
      </c>
      <c r="D104" s="204">
        <f>+D102+D103</f>
        <v>484631000</v>
      </c>
      <c r="E104" s="204">
        <f>+E102+E103</f>
        <v>484286000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64.190041485218956</v>
      </c>
      <c r="D106" s="214">
        <f>IF(D109=0,0,(D107/D109)*100)</f>
        <v>62.71066278786391</v>
      </c>
      <c r="E106" s="214">
        <f>IF(E109=0,0,(E107/E109)*100)</f>
        <v>53.930456685036489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373518000</v>
      </c>
      <c r="D107" s="204">
        <f>+D103</f>
        <v>367973000</v>
      </c>
      <c r="E107" s="204">
        <f>+E103</f>
        <v>362280000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208376000</v>
      </c>
      <c r="D108" s="204">
        <f>+D32</f>
        <v>218806000</v>
      </c>
      <c r="E108" s="204">
        <f>+E32</f>
        <v>309474000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581894000</v>
      </c>
      <c r="D109" s="204">
        <f>+D107+D108</f>
        <v>586779000</v>
      </c>
      <c r="E109" s="204">
        <f>+E107+E108</f>
        <v>671754000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5.5729513369228982</v>
      </c>
      <c r="D111" s="214">
        <f>IF((+D113+D115)=0,0,((+D112+D113+D114)/(+D113+D115)))</f>
        <v>6.1268200674349593</v>
      </c>
      <c r="E111" s="214">
        <f>IF((+E113+E115)=0,0,((+E112+E113+E114)/(+E113+E115)))</f>
        <v>6.7894355150313253</v>
      </c>
    </row>
    <row r="112" spans="1:6" ht="24" customHeight="1" x14ac:dyDescent="0.2">
      <c r="A112" s="85">
        <v>16</v>
      </c>
      <c r="B112" s="75" t="s">
        <v>373</v>
      </c>
      <c r="C112" s="218">
        <f>+C17</f>
        <v>32498414</v>
      </c>
      <c r="D112" s="76">
        <f>+D17</f>
        <v>39647440</v>
      </c>
      <c r="E112" s="76">
        <f>+E17</f>
        <v>45396800</v>
      </c>
    </row>
    <row r="113" spans="1:8" ht="24" customHeight="1" x14ac:dyDescent="0.2">
      <c r="A113" s="85">
        <v>17</v>
      </c>
      <c r="B113" s="75" t="s">
        <v>88</v>
      </c>
      <c r="C113" s="218">
        <v>6274383</v>
      </c>
      <c r="D113" s="76">
        <v>6006820</v>
      </c>
      <c r="E113" s="76">
        <v>5743115</v>
      </c>
    </row>
    <row r="114" spans="1:8" ht="24" customHeight="1" x14ac:dyDescent="0.2">
      <c r="A114" s="85">
        <v>18</v>
      </c>
      <c r="B114" s="75" t="s">
        <v>374</v>
      </c>
      <c r="C114" s="218">
        <v>24839004</v>
      </c>
      <c r="D114" s="76">
        <v>24086230</v>
      </c>
      <c r="E114" s="76">
        <v>23802655</v>
      </c>
    </row>
    <row r="115" spans="1:8" ht="24" customHeight="1" x14ac:dyDescent="0.2">
      <c r="A115" s="85">
        <v>19</v>
      </c>
      <c r="B115" s="75" t="s">
        <v>104</v>
      </c>
      <c r="C115" s="218">
        <v>5140000</v>
      </c>
      <c r="D115" s="76">
        <v>5376000</v>
      </c>
      <c r="E115" s="76">
        <v>5295000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14.637301882152762</v>
      </c>
      <c r="D119" s="214">
        <f>IF(+D121=0,0,(+D120)/(+D121))</f>
        <v>16.016246627222277</v>
      </c>
      <c r="E119" s="214">
        <f>IF(+E121=0,0,(+E120)/(+E121))</f>
        <v>15.683292473045549</v>
      </c>
    </row>
    <row r="120" spans="1:8" ht="24" customHeight="1" x14ac:dyDescent="0.2">
      <c r="A120" s="85">
        <v>21</v>
      </c>
      <c r="B120" s="75" t="s">
        <v>378</v>
      </c>
      <c r="C120" s="218">
        <v>363576000</v>
      </c>
      <c r="D120" s="218">
        <v>385771000</v>
      </c>
      <c r="E120" s="218">
        <v>373304000</v>
      </c>
    </row>
    <row r="121" spans="1:8" ht="24" customHeight="1" x14ac:dyDescent="0.2">
      <c r="A121" s="85">
        <v>22</v>
      </c>
      <c r="B121" s="75" t="s">
        <v>374</v>
      </c>
      <c r="C121" s="218">
        <v>24839004</v>
      </c>
      <c r="D121" s="218">
        <v>24086230</v>
      </c>
      <c r="E121" s="218">
        <v>23802655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71656</v>
      </c>
      <c r="D124" s="218">
        <v>71084</v>
      </c>
      <c r="E124" s="218">
        <v>73202</v>
      </c>
    </row>
    <row r="125" spans="1:8" ht="24" customHeight="1" x14ac:dyDescent="0.2">
      <c r="A125" s="85">
        <v>2</v>
      </c>
      <c r="B125" s="75" t="s">
        <v>381</v>
      </c>
      <c r="C125" s="218">
        <v>14871</v>
      </c>
      <c r="D125" s="218">
        <v>14848</v>
      </c>
      <c r="E125" s="218">
        <v>14847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4.8185058166902026</v>
      </c>
      <c r="D126" s="219">
        <f>IF(D125=0,0,D124/D125)</f>
        <v>4.7874461206896548</v>
      </c>
      <c r="E126" s="219">
        <f>IF(E125=0,0,E124/E125)</f>
        <v>4.930423654610359</v>
      </c>
    </row>
    <row r="127" spans="1:8" ht="24" customHeight="1" x14ac:dyDescent="0.2">
      <c r="A127" s="85">
        <v>4</v>
      </c>
      <c r="B127" s="75" t="s">
        <v>383</v>
      </c>
      <c r="C127" s="218">
        <v>267</v>
      </c>
      <c r="D127" s="218">
        <v>267</v>
      </c>
      <c r="E127" s="218">
        <v>226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325</v>
      </c>
      <c r="E128" s="218">
        <v>325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325</v>
      </c>
      <c r="D129" s="218">
        <v>330</v>
      </c>
      <c r="E129" s="218">
        <v>330</v>
      </c>
    </row>
    <row r="130" spans="1:7" ht="24" customHeight="1" x14ac:dyDescent="0.2">
      <c r="A130" s="85">
        <v>7</v>
      </c>
      <c r="B130" s="75" t="s">
        <v>386</v>
      </c>
      <c r="C130" s="193">
        <v>0.73519999999999996</v>
      </c>
      <c r="D130" s="193">
        <v>0.72940000000000005</v>
      </c>
      <c r="E130" s="193">
        <v>0.88739999999999997</v>
      </c>
    </row>
    <row r="131" spans="1:7" ht="24" customHeight="1" x14ac:dyDescent="0.2">
      <c r="A131" s="85">
        <v>8</v>
      </c>
      <c r="B131" s="75" t="s">
        <v>387</v>
      </c>
      <c r="C131" s="193">
        <v>0.60399999999999998</v>
      </c>
      <c r="D131" s="193">
        <v>0.59919999999999995</v>
      </c>
      <c r="E131" s="193">
        <v>0.61699999999999999</v>
      </c>
    </row>
    <row r="132" spans="1:7" ht="24" customHeight="1" x14ac:dyDescent="0.2">
      <c r="A132" s="85">
        <v>9</v>
      </c>
      <c r="B132" s="75" t="s">
        <v>388</v>
      </c>
      <c r="C132" s="219">
        <v>1954.1</v>
      </c>
      <c r="D132" s="219">
        <v>1956.7</v>
      </c>
      <c r="E132" s="219">
        <v>1978.7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0.43787494509958991</v>
      </c>
      <c r="D135" s="227">
        <f>IF(D149=0,0,D143/D149)</f>
        <v>0.43320815888837066</v>
      </c>
      <c r="E135" s="227">
        <f>IF(E149=0,0,E143/E149)</f>
        <v>0.42276146733347653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0.36491754188456332</v>
      </c>
      <c r="D136" s="227">
        <f>IF(D149=0,0,D144/D149)</f>
        <v>0.37359784218978614</v>
      </c>
      <c r="E136" s="227">
        <f>IF(E149=0,0,E144/E149)</f>
        <v>0.38434415126076249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0.14773053195653874</v>
      </c>
      <c r="D137" s="227">
        <f>IF(D149=0,0,D145/D149)</f>
        <v>0.15078143650323761</v>
      </c>
      <c r="E137" s="227">
        <f>IF(E149=0,0,E145/E149)</f>
        <v>0.15548718700641603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2.6019057041304166E-3</v>
      </c>
      <c r="D138" s="227">
        <f>IF(D149=0,0,D146/D149)</f>
        <v>3.6450273773364229E-3</v>
      </c>
      <c r="E138" s="227">
        <f>IF(E149=0,0,E146/E149)</f>
        <v>3.4414235477745955E-3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4.6211338161250247E-2</v>
      </c>
      <c r="D139" s="227">
        <f>IF(D149=0,0,D147/D149)</f>
        <v>3.7785912139408337E-2</v>
      </c>
      <c r="E139" s="227">
        <f>IF(E149=0,0,E147/E149)</f>
        <v>3.3102109266560695E-2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6.6373719392737174E-4</v>
      </c>
      <c r="D140" s="227">
        <f>IF(D149=0,0,D148/D149)</f>
        <v>9.8162290186078866E-4</v>
      </c>
      <c r="E140" s="227">
        <f>IF(E149=0,0,E148/E149)</f>
        <v>8.6366158500965188E-4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1</v>
      </c>
      <c r="D141" s="227">
        <f>SUM(D135:D140)</f>
        <v>0.99999999999999989</v>
      </c>
      <c r="E141" s="227">
        <f>SUM(E135:E140)</f>
        <v>0.99999999999999989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753499188</v>
      </c>
      <c r="D143" s="229">
        <f>+D46-D147</f>
        <v>770691374</v>
      </c>
      <c r="E143" s="229">
        <f>+E46-E147</f>
        <v>791599154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627953425</v>
      </c>
      <c r="D144" s="229">
        <f>+D51</f>
        <v>664642686</v>
      </c>
      <c r="E144" s="229">
        <f>+E51</f>
        <v>719664701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254216043</v>
      </c>
      <c r="D145" s="229">
        <f>+D55</f>
        <v>268245069</v>
      </c>
      <c r="E145" s="229">
        <f>+E55</f>
        <v>291141779</v>
      </c>
    </row>
    <row r="146" spans="1:7" ht="20.100000000000001" customHeight="1" x14ac:dyDescent="0.2">
      <c r="A146" s="226">
        <v>11</v>
      </c>
      <c r="B146" s="224" t="s">
        <v>400</v>
      </c>
      <c r="C146" s="228">
        <v>4477383</v>
      </c>
      <c r="D146" s="229">
        <v>6484622</v>
      </c>
      <c r="E146" s="229">
        <v>6443889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79520891</v>
      </c>
      <c r="D147" s="229">
        <f>+D47</f>
        <v>67222364</v>
      </c>
      <c r="E147" s="229">
        <f>+E47</f>
        <v>61982001</v>
      </c>
    </row>
    <row r="148" spans="1:7" ht="20.100000000000001" customHeight="1" x14ac:dyDescent="0.2">
      <c r="A148" s="226">
        <v>13</v>
      </c>
      <c r="B148" s="224" t="s">
        <v>402</v>
      </c>
      <c r="C148" s="230">
        <v>1142165</v>
      </c>
      <c r="D148" s="229">
        <v>1746339</v>
      </c>
      <c r="E148" s="229">
        <v>1617162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1720809095</v>
      </c>
      <c r="D149" s="229">
        <f>SUM(D143:D148)</f>
        <v>1779032454</v>
      </c>
      <c r="E149" s="229">
        <f>SUM(E143:E148)</f>
        <v>1872448686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0.67454925613271355</v>
      </c>
      <c r="D152" s="227">
        <f>IF(D166=0,0,D160/D166)</f>
        <v>0.66045856001905445</v>
      </c>
      <c r="E152" s="227">
        <f>IF(E166=0,0,E160/E166)</f>
        <v>0.65495649599883243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0.23963850149444971</v>
      </c>
      <c r="D153" s="227">
        <f>IF(D166=0,0,D161/D166)</f>
        <v>0.24907593990808655</v>
      </c>
      <c r="E153" s="227">
        <f>IF(E166=0,0,E161/E166)</f>
        <v>0.2626573276134927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7.9851995049420935E-2</v>
      </c>
      <c r="D154" s="227">
        <f>IF(D166=0,0,D162/D166)</f>
        <v>8.5241954278021656E-2</v>
      </c>
      <c r="E154" s="227">
        <f>IF(E166=0,0,E162/E166)</f>
        <v>7.6714259070646038E-2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1.1632942754845543E-3</v>
      </c>
      <c r="D155" s="227">
        <f>IF(D166=0,0,D163/D166)</f>
        <v>8.8030214992501469E-4</v>
      </c>
      <c r="E155" s="227">
        <f>IF(E166=0,0,E163/E166)</f>
        <v>1.5460244017748528E-3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4.3753602139787783E-3</v>
      </c>
      <c r="D156" s="227">
        <f>IF(D166=0,0,D164/D166)</f>
        <v>3.4645253412106526E-3</v>
      </c>
      <c r="E156" s="227">
        <f>IF(E166=0,0,E164/E166)</f>
        <v>3.7686083192195055E-3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4.2159283395244024E-4</v>
      </c>
      <c r="D157" s="227">
        <f>IF(D166=0,0,D165/D166)</f>
        <v>8.7871830370170041E-4</v>
      </c>
      <c r="E157" s="227">
        <f>IF(E166=0,0,E165/E166)</f>
        <v>3.5728459603447934E-4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1</v>
      </c>
      <c r="D158" s="227">
        <f>SUM(D152:D157)</f>
        <v>0.99999999999999989</v>
      </c>
      <c r="E158" s="227">
        <f>SUM(E152:E157)</f>
        <v>1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322411545</v>
      </c>
      <c r="D160" s="229">
        <f>+D44-D164</f>
        <v>315249463</v>
      </c>
      <c r="E160" s="229">
        <f>+E44-E164</f>
        <v>329428174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114539033</v>
      </c>
      <c r="D161" s="229">
        <f>+D50</f>
        <v>118888695</v>
      </c>
      <c r="E161" s="229">
        <f>+E50</f>
        <v>132110643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38166531</v>
      </c>
      <c r="D162" s="229">
        <f>+D54</f>
        <v>40687610</v>
      </c>
      <c r="E162" s="229">
        <f>+E54</f>
        <v>38585522</v>
      </c>
    </row>
    <row r="163" spans="1:6" ht="20.100000000000001" customHeight="1" x14ac:dyDescent="0.2">
      <c r="A163" s="226">
        <v>11</v>
      </c>
      <c r="B163" s="224" t="s">
        <v>415</v>
      </c>
      <c r="C163" s="228">
        <v>556015</v>
      </c>
      <c r="D163" s="229">
        <v>420185</v>
      </c>
      <c r="E163" s="229">
        <v>777615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2091273</v>
      </c>
      <c r="D164" s="229">
        <f>+D45</f>
        <v>1653684</v>
      </c>
      <c r="E164" s="229">
        <f>+E45</f>
        <v>1895524</v>
      </c>
    </row>
    <row r="165" spans="1:6" ht="20.100000000000001" customHeight="1" x14ac:dyDescent="0.2">
      <c r="A165" s="226">
        <v>13</v>
      </c>
      <c r="B165" s="224" t="s">
        <v>417</v>
      </c>
      <c r="C165" s="230">
        <v>201507</v>
      </c>
      <c r="D165" s="229">
        <v>419429</v>
      </c>
      <c r="E165" s="229">
        <v>179706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477965904</v>
      </c>
      <c r="D166" s="229">
        <f>SUM(D160:D165)</f>
        <v>477319066</v>
      </c>
      <c r="E166" s="229">
        <f>SUM(E160:E165)</f>
        <v>502977184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6114</v>
      </c>
      <c r="D169" s="218">
        <v>6040</v>
      </c>
      <c r="E169" s="218">
        <v>5862</v>
      </c>
    </row>
    <row r="170" spans="1:6" ht="20.100000000000001" customHeight="1" x14ac:dyDescent="0.2">
      <c r="A170" s="226">
        <v>2</v>
      </c>
      <c r="B170" s="224" t="s">
        <v>420</v>
      </c>
      <c r="C170" s="218">
        <v>5118</v>
      </c>
      <c r="D170" s="218">
        <v>5336</v>
      </c>
      <c r="E170" s="218">
        <v>5492</v>
      </c>
    </row>
    <row r="171" spans="1:6" ht="20.100000000000001" customHeight="1" x14ac:dyDescent="0.2">
      <c r="A171" s="226">
        <v>3</v>
      </c>
      <c r="B171" s="224" t="s">
        <v>421</v>
      </c>
      <c r="C171" s="218">
        <v>3621</v>
      </c>
      <c r="D171" s="218">
        <v>3457</v>
      </c>
      <c r="E171" s="218">
        <v>3474</v>
      </c>
    </row>
    <row r="172" spans="1:6" ht="20.100000000000001" customHeight="1" x14ac:dyDescent="0.2">
      <c r="A172" s="226">
        <v>4</v>
      </c>
      <c r="B172" s="224" t="s">
        <v>422</v>
      </c>
      <c r="C172" s="218">
        <v>3552</v>
      </c>
      <c r="D172" s="218">
        <v>3376</v>
      </c>
      <c r="E172" s="218">
        <v>3394</v>
      </c>
    </row>
    <row r="173" spans="1:6" ht="20.100000000000001" customHeight="1" x14ac:dyDescent="0.2">
      <c r="A173" s="226">
        <v>5</v>
      </c>
      <c r="B173" s="224" t="s">
        <v>423</v>
      </c>
      <c r="C173" s="218">
        <v>69</v>
      </c>
      <c r="D173" s="218">
        <v>81</v>
      </c>
      <c r="E173" s="218">
        <v>80</v>
      </c>
    </row>
    <row r="174" spans="1:6" ht="20.100000000000001" customHeight="1" x14ac:dyDescent="0.2">
      <c r="A174" s="226">
        <v>6</v>
      </c>
      <c r="B174" s="224" t="s">
        <v>424</v>
      </c>
      <c r="C174" s="218">
        <v>18</v>
      </c>
      <c r="D174" s="218">
        <v>15</v>
      </c>
      <c r="E174" s="218">
        <v>19</v>
      </c>
    </row>
    <row r="175" spans="1:6" ht="20.100000000000001" customHeight="1" x14ac:dyDescent="0.2">
      <c r="A175" s="226">
        <v>7</v>
      </c>
      <c r="B175" s="224" t="s">
        <v>425</v>
      </c>
      <c r="C175" s="218">
        <v>359</v>
      </c>
      <c r="D175" s="218">
        <v>366</v>
      </c>
      <c r="E175" s="218">
        <v>193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14871</v>
      </c>
      <c r="D176" s="218">
        <f>+D169+D170+D171+D174</f>
        <v>14848</v>
      </c>
      <c r="E176" s="218">
        <f>+E169+E170+E171+E174</f>
        <v>14847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1.10625</v>
      </c>
      <c r="D179" s="231">
        <v>1.0919000000000001</v>
      </c>
      <c r="E179" s="231">
        <v>1.1091599999999999</v>
      </c>
    </row>
    <row r="180" spans="1:6" ht="20.100000000000001" customHeight="1" x14ac:dyDescent="0.2">
      <c r="A180" s="226">
        <v>2</v>
      </c>
      <c r="B180" s="224" t="s">
        <v>420</v>
      </c>
      <c r="C180" s="231">
        <v>1.6009199999999999</v>
      </c>
      <c r="D180" s="231">
        <v>1.57169</v>
      </c>
      <c r="E180" s="231">
        <v>1.6163400000000001</v>
      </c>
    </row>
    <row r="181" spans="1:6" ht="20.100000000000001" customHeight="1" x14ac:dyDescent="0.2">
      <c r="A181" s="226">
        <v>3</v>
      </c>
      <c r="B181" s="224" t="s">
        <v>421</v>
      </c>
      <c r="C181" s="231">
        <v>1.035925</v>
      </c>
      <c r="D181" s="231">
        <v>1.0147109999999999</v>
      </c>
      <c r="E181" s="231">
        <v>1.022254</v>
      </c>
    </row>
    <row r="182" spans="1:6" ht="20.100000000000001" customHeight="1" x14ac:dyDescent="0.2">
      <c r="A182" s="226">
        <v>4</v>
      </c>
      <c r="B182" s="224" t="s">
        <v>422</v>
      </c>
      <c r="C182" s="231">
        <v>1.0368200000000001</v>
      </c>
      <c r="D182" s="231">
        <v>1.01264</v>
      </c>
      <c r="E182" s="231">
        <v>1.0188999999999999</v>
      </c>
    </row>
    <row r="183" spans="1:6" ht="20.100000000000001" customHeight="1" x14ac:dyDescent="0.2">
      <c r="A183" s="226">
        <v>5</v>
      </c>
      <c r="B183" s="224" t="s">
        <v>423</v>
      </c>
      <c r="C183" s="231">
        <v>0.98987000000000003</v>
      </c>
      <c r="D183" s="231">
        <v>1.1010500000000001</v>
      </c>
      <c r="E183" s="231">
        <v>1.1645700000000001</v>
      </c>
    </row>
    <row r="184" spans="1:6" ht="20.100000000000001" customHeight="1" x14ac:dyDescent="0.2">
      <c r="A184" s="226">
        <v>6</v>
      </c>
      <c r="B184" s="224" t="s">
        <v>424</v>
      </c>
      <c r="C184" s="231">
        <v>0.75302999999999998</v>
      </c>
      <c r="D184" s="231">
        <v>2.1720700000000002</v>
      </c>
      <c r="E184" s="231">
        <v>1.0184200000000001</v>
      </c>
    </row>
    <row r="185" spans="1:6" ht="20.100000000000001" customHeight="1" x14ac:dyDescent="0.2">
      <c r="A185" s="226">
        <v>7</v>
      </c>
      <c r="B185" s="224" t="s">
        <v>425</v>
      </c>
      <c r="C185" s="231">
        <v>1.2106600000000001</v>
      </c>
      <c r="D185" s="231">
        <v>1.1611800000000001</v>
      </c>
      <c r="E185" s="231">
        <v>1.2165999999999999</v>
      </c>
    </row>
    <row r="186" spans="1:6" ht="20.100000000000001" customHeight="1" x14ac:dyDescent="0.2">
      <c r="A186" s="226">
        <v>8</v>
      </c>
      <c r="B186" s="224" t="s">
        <v>429</v>
      </c>
      <c r="C186" s="231">
        <v>1.2589440000000001</v>
      </c>
      <c r="D186" s="231">
        <v>1.247444</v>
      </c>
      <c r="E186" s="231">
        <v>1.2763180000000001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7595</v>
      </c>
      <c r="D189" s="218">
        <v>7635</v>
      </c>
      <c r="E189" s="218">
        <v>6196</v>
      </c>
    </row>
    <row r="190" spans="1:6" ht="20.100000000000001" customHeight="1" x14ac:dyDescent="0.2">
      <c r="A190" s="226">
        <v>2</v>
      </c>
      <c r="B190" s="224" t="s">
        <v>433</v>
      </c>
      <c r="C190" s="218">
        <v>42465</v>
      </c>
      <c r="D190" s="218">
        <v>41417</v>
      </c>
      <c r="E190" s="218">
        <v>41244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50060</v>
      </c>
      <c r="D191" s="218">
        <f>+D190+D189</f>
        <v>49052</v>
      </c>
      <c r="E191" s="218">
        <f>+E190+E189</f>
        <v>47440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FILING&amp;RSTAMFORD HOSPITAL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topLeftCell="A137" zoomScale="75" workbookViewId="0">
      <selection activeCell="C173" sqref="C173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802" t="s">
        <v>0</v>
      </c>
      <c r="B2" s="802"/>
      <c r="C2" s="802"/>
      <c r="D2" s="802"/>
      <c r="E2" s="802"/>
      <c r="F2" s="802"/>
    </row>
    <row r="3" spans="1:7" ht="20.25" customHeight="1" x14ac:dyDescent="0.3">
      <c r="A3" s="802" t="s">
        <v>1</v>
      </c>
      <c r="B3" s="802"/>
      <c r="C3" s="802"/>
      <c r="D3" s="802"/>
      <c r="E3" s="802"/>
      <c r="F3" s="802"/>
    </row>
    <row r="4" spans="1:7" ht="20.25" customHeight="1" x14ac:dyDescent="0.3">
      <c r="A4" s="802" t="s">
        <v>2</v>
      </c>
      <c r="B4" s="802"/>
      <c r="C4" s="802"/>
      <c r="D4" s="802"/>
      <c r="E4" s="802"/>
      <c r="F4" s="802"/>
    </row>
    <row r="5" spans="1:7" ht="20.25" customHeight="1" x14ac:dyDescent="0.3">
      <c r="A5" s="802" t="s">
        <v>435</v>
      </c>
      <c r="B5" s="802"/>
      <c r="C5" s="802"/>
      <c r="D5" s="802"/>
      <c r="E5" s="802"/>
      <c r="F5" s="802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803"/>
      <c r="D9" s="804"/>
      <c r="E9" s="804"/>
      <c r="F9" s="805"/>
      <c r="G9" s="245"/>
    </row>
    <row r="10" spans="1:7" ht="20.25" customHeight="1" x14ac:dyDescent="0.3">
      <c r="A10" s="806" t="s">
        <v>12</v>
      </c>
      <c r="B10" s="786" t="s">
        <v>114</v>
      </c>
      <c r="C10" s="788"/>
      <c r="D10" s="789"/>
      <c r="E10" s="789"/>
      <c r="F10" s="790"/>
    </row>
    <row r="11" spans="1:7" ht="20.25" customHeight="1" x14ac:dyDescent="0.3">
      <c r="A11" s="795"/>
      <c r="B11" s="787"/>
      <c r="C11" s="791"/>
      <c r="D11" s="792"/>
      <c r="E11" s="792"/>
      <c r="F11" s="793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2134275</v>
      </c>
      <c r="D14" s="258">
        <v>1269694</v>
      </c>
      <c r="E14" s="258">
        <f t="shared" ref="E14:E24" si="0">D14-C14</f>
        <v>-864581</v>
      </c>
      <c r="F14" s="259">
        <f t="shared" ref="F14:F24" si="1">IF(C14=0,0,E14/C14)</f>
        <v>-0.40509353293272893</v>
      </c>
    </row>
    <row r="15" spans="1:7" ht="20.25" customHeight="1" x14ac:dyDescent="0.3">
      <c r="A15" s="256">
        <v>2</v>
      </c>
      <c r="B15" s="257" t="s">
        <v>442</v>
      </c>
      <c r="C15" s="258">
        <v>437663</v>
      </c>
      <c r="D15" s="258">
        <v>259264</v>
      </c>
      <c r="E15" s="258">
        <f t="shared" si="0"/>
        <v>-178399</v>
      </c>
      <c r="F15" s="259">
        <f t="shared" si="1"/>
        <v>-0.40761727630619904</v>
      </c>
    </row>
    <row r="16" spans="1:7" ht="20.25" customHeight="1" x14ac:dyDescent="0.3">
      <c r="A16" s="256">
        <v>3</v>
      </c>
      <c r="B16" s="257" t="s">
        <v>443</v>
      </c>
      <c r="C16" s="258">
        <v>2455648</v>
      </c>
      <c r="D16" s="258">
        <v>1489284</v>
      </c>
      <c r="E16" s="258">
        <f t="shared" si="0"/>
        <v>-966364</v>
      </c>
      <c r="F16" s="259">
        <f t="shared" si="1"/>
        <v>-0.39352708531515918</v>
      </c>
    </row>
    <row r="17" spans="1:6" ht="20.25" customHeight="1" x14ac:dyDescent="0.3">
      <c r="A17" s="256">
        <v>4</v>
      </c>
      <c r="B17" s="257" t="s">
        <v>444</v>
      </c>
      <c r="C17" s="258">
        <v>281003</v>
      </c>
      <c r="D17" s="258">
        <v>168169</v>
      </c>
      <c r="E17" s="258">
        <f t="shared" si="0"/>
        <v>-112834</v>
      </c>
      <c r="F17" s="259">
        <f t="shared" si="1"/>
        <v>-0.40154019707974647</v>
      </c>
    </row>
    <row r="18" spans="1:6" ht="20.25" customHeight="1" x14ac:dyDescent="0.3">
      <c r="A18" s="256">
        <v>5</v>
      </c>
      <c r="B18" s="257" t="s">
        <v>381</v>
      </c>
      <c r="C18" s="260">
        <v>24</v>
      </c>
      <c r="D18" s="260">
        <v>19</v>
      </c>
      <c r="E18" s="260">
        <f t="shared" si="0"/>
        <v>-5</v>
      </c>
      <c r="F18" s="259">
        <f t="shared" si="1"/>
        <v>-0.20833333333333334</v>
      </c>
    </row>
    <row r="19" spans="1:6" ht="20.25" customHeight="1" x14ac:dyDescent="0.3">
      <c r="A19" s="256">
        <v>6</v>
      </c>
      <c r="B19" s="257" t="s">
        <v>380</v>
      </c>
      <c r="C19" s="260">
        <v>238</v>
      </c>
      <c r="D19" s="260">
        <v>111</v>
      </c>
      <c r="E19" s="260">
        <f t="shared" si="0"/>
        <v>-127</v>
      </c>
      <c r="F19" s="259">
        <f t="shared" si="1"/>
        <v>-0.53361344537815125</v>
      </c>
    </row>
    <row r="20" spans="1:6" ht="20.25" customHeight="1" x14ac:dyDescent="0.3">
      <c r="A20" s="256">
        <v>7</v>
      </c>
      <c r="B20" s="257" t="s">
        <v>445</v>
      </c>
      <c r="C20" s="260">
        <v>483</v>
      </c>
      <c r="D20" s="260">
        <v>387</v>
      </c>
      <c r="E20" s="260">
        <f t="shared" si="0"/>
        <v>-96</v>
      </c>
      <c r="F20" s="259">
        <f t="shared" si="1"/>
        <v>-0.19875776397515527</v>
      </c>
    </row>
    <row r="21" spans="1:6" ht="20.25" customHeight="1" x14ac:dyDescent="0.3">
      <c r="A21" s="256">
        <v>8</v>
      </c>
      <c r="B21" s="257" t="s">
        <v>446</v>
      </c>
      <c r="C21" s="260">
        <v>26</v>
      </c>
      <c r="D21" s="260">
        <v>33</v>
      </c>
      <c r="E21" s="260">
        <f t="shared" si="0"/>
        <v>7</v>
      </c>
      <c r="F21" s="259">
        <f t="shared" si="1"/>
        <v>0.26923076923076922</v>
      </c>
    </row>
    <row r="22" spans="1:6" ht="20.25" customHeight="1" x14ac:dyDescent="0.3">
      <c r="A22" s="256">
        <v>9</v>
      </c>
      <c r="B22" s="257" t="s">
        <v>447</v>
      </c>
      <c r="C22" s="260">
        <v>24</v>
      </c>
      <c r="D22" s="260">
        <v>16</v>
      </c>
      <c r="E22" s="260">
        <f t="shared" si="0"/>
        <v>-8</v>
      </c>
      <c r="F22" s="259">
        <f t="shared" si="1"/>
        <v>-0.33333333333333331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4589923</v>
      </c>
      <c r="D23" s="263">
        <f>+D14+D16</f>
        <v>2758978</v>
      </c>
      <c r="E23" s="263">
        <f t="shared" si="0"/>
        <v>-1830945</v>
      </c>
      <c r="F23" s="264">
        <f t="shared" si="1"/>
        <v>-0.39890538468728126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718666</v>
      </c>
      <c r="D24" s="263">
        <f>+D15+D17</f>
        <v>427433</v>
      </c>
      <c r="E24" s="263">
        <f t="shared" si="0"/>
        <v>-291233</v>
      </c>
      <c r="F24" s="264">
        <f t="shared" si="1"/>
        <v>-0.40524109948153941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9710</v>
      </c>
      <c r="D29" s="258">
        <v>883</v>
      </c>
      <c r="E29" s="258">
        <f t="shared" si="2"/>
        <v>-8827</v>
      </c>
      <c r="F29" s="259">
        <f t="shared" si="3"/>
        <v>-0.90906282183316167</v>
      </c>
    </row>
    <row r="30" spans="1:6" ht="20.25" customHeight="1" x14ac:dyDescent="0.3">
      <c r="A30" s="256">
        <v>4</v>
      </c>
      <c r="B30" s="257" t="s">
        <v>444</v>
      </c>
      <c r="C30" s="258">
        <v>1255</v>
      </c>
      <c r="D30" s="258">
        <v>64</v>
      </c>
      <c r="E30" s="258">
        <f t="shared" si="2"/>
        <v>-1191</v>
      </c>
      <c r="F30" s="259">
        <f t="shared" si="3"/>
        <v>-0.94900398406374498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3</v>
      </c>
      <c r="D33" s="260">
        <v>1</v>
      </c>
      <c r="E33" s="260">
        <f t="shared" si="2"/>
        <v>-2</v>
      </c>
      <c r="F33" s="259">
        <f t="shared" si="3"/>
        <v>-0.66666666666666663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9710</v>
      </c>
      <c r="D36" s="263">
        <f>+D27+D29</f>
        <v>883</v>
      </c>
      <c r="E36" s="263">
        <f t="shared" si="2"/>
        <v>-8827</v>
      </c>
      <c r="F36" s="264">
        <f t="shared" si="3"/>
        <v>-0.90906282183316167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1255</v>
      </c>
      <c r="D37" s="263">
        <f>+D28+D30</f>
        <v>64</v>
      </c>
      <c r="E37" s="263">
        <f t="shared" si="2"/>
        <v>-1191</v>
      </c>
      <c r="F37" s="264">
        <f t="shared" si="3"/>
        <v>-0.94900398406374498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4830106</v>
      </c>
      <c r="D40" s="258">
        <v>5917114</v>
      </c>
      <c r="E40" s="258">
        <f t="shared" ref="E40:E50" si="4">D40-C40</f>
        <v>1087008</v>
      </c>
      <c r="F40" s="259">
        <f t="shared" ref="F40:F50" si="5">IF(C40=0,0,E40/C40)</f>
        <v>0.22504847719698076</v>
      </c>
    </row>
    <row r="41" spans="1:6" ht="20.25" customHeight="1" x14ac:dyDescent="0.3">
      <c r="A41" s="256">
        <v>2</v>
      </c>
      <c r="B41" s="257" t="s">
        <v>442</v>
      </c>
      <c r="C41" s="258">
        <v>1001780</v>
      </c>
      <c r="D41" s="258">
        <v>1331689</v>
      </c>
      <c r="E41" s="258">
        <f t="shared" si="4"/>
        <v>329909</v>
      </c>
      <c r="F41" s="259">
        <f t="shared" si="5"/>
        <v>0.32932280540637665</v>
      </c>
    </row>
    <row r="42" spans="1:6" ht="20.25" customHeight="1" x14ac:dyDescent="0.3">
      <c r="A42" s="256">
        <v>3</v>
      </c>
      <c r="B42" s="257" t="s">
        <v>443</v>
      </c>
      <c r="C42" s="258">
        <v>7269238</v>
      </c>
      <c r="D42" s="258">
        <v>6829568</v>
      </c>
      <c r="E42" s="258">
        <f t="shared" si="4"/>
        <v>-439670</v>
      </c>
      <c r="F42" s="259">
        <f t="shared" si="5"/>
        <v>-6.0483643540079443E-2</v>
      </c>
    </row>
    <row r="43" spans="1:6" ht="20.25" customHeight="1" x14ac:dyDescent="0.3">
      <c r="A43" s="256">
        <v>4</v>
      </c>
      <c r="B43" s="257" t="s">
        <v>444</v>
      </c>
      <c r="C43" s="258">
        <v>822738</v>
      </c>
      <c r="D43" s="258">
        <v>808887</v>
      </c>
      <c r="E43" s="258">
        <f t="shared" si="4"/>
        <v>-13851</v>
      </c>
      <c r="F43" s="259">
        <f t="shared" si="5"/>
        <v>-1.6835250103921298E-2</v>
      </c>
    </row>
    <row r="44" spans="1:6" ht="20.25" customHeight="1" x14ac:dyDescent="0.3">
      <c r="A44" s="256">
        <v>5</v>
      </c>
      <c r="B44" s="257" t="s">
        <v>381</v>
      </c>
      <c r="C44" s="260">
        <v>68</v>
      </c>
      <c r="D44" s="260">
        <v>95</v>
      </c>
      <c r="E44" s="260">
        <f t="shared" si="4"/>
        <v>27</v>
      </c>
      <c r="F44" s="259">
        <f t="shared" si="5"/>
        <v>0.39705882352941174</v>
      </c>
    </row>
    <row r="45" spans="1:6" ht="20.25" customHeight="1" x14ac:dyDescent="0.3">
      <c r="A45" s="256">
        <v>6</v>
      </c>
      <c r="B45" s="257" t="s">
        <v>380</v>
      </c>
      <c r="C45" s="260">
        <v>401</v>
      </c>
      <c r="D45" s="260">
        <v>537</v>
      </c>
      <c r="E45" s="260">
        <f t="shared" si="4"/>
        <v>136</v>
      </c>
      <c r="F45" s="259">
        <f t="shared" si="5"/>
        <v>0.33915211970074816</v>
      </c>
    </row>
    <row r="46" spans="1:6" ht="20.25" customHeight="1" x14ac:dyDescent="0.3">
      <c r="A46" s="256">
        <v>7</v>
      </c>
      <c r="B46" s="257" t="s">
        <v>445</v>
      </c>
      <c r="C46" s="260">
        <v>1949</v>
      </c>
      <c r="D46" s="260">
        <v>2126</v>
      </c>
      <c r="E46" s="260">
        <f t="shared" si="4"/>
        <v>177</v>
      </c>
      <c r="F46" s="259">
        <f t="shared" si="5"/>
        <v>9.0815802975885068E-2</v>
      </c>
    </row>
    <row r="47" spans="1:6" ht="20.25" customHeight="1" x14ac:dyDescent="0.3">
      <c r="A47" s="256">
        <v>8</v>
      </c>
      <c r="B47" s="257" t="s">
        <v>446</v>
      </c>
      <c r="C47" s="260">
        <v>102</v>
      </c>
      <c r="D47" s="260">
        <v>135</v>
      </c>
      <c r="E47" s="260">
        <f t="shared" si="4"/>
        <v>33</v>
      </c>
      <c r="F47" s="259">
        <f t="shared" si="5"/>
        <v>0.3235294117647059</v>
      </c>
    </row>
    <row r="48" spans="1:6" ht="20.25" customHeight="1" x14ac:dyDescent="0.3">
      <c r="A48" s="256">
        <v>9</v>
      </c>
      <c r="B48" s="257" t="s">
        <v>447</v>
      </c>
      <c r="C48" s="260">
        <v>48</v>
      </c>
      <c r="D48" s="260">
        <v>68</v>
      </c>
      <c r="E48" s="260">
        <f t="shared" si="4"/>
        <v>20</v>
      </c>
      <c r="F48" s="259">
        <f t="shared" si="5"/>
        <v>0.41666666666666669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12099344</v>
      </c>
      <c r="D49" s="263">
        <f>+D40+D42</f>
        <v>12746682</v>
      </c>
      <c r="E49" s="263">
        <f t="shared" si="4"/>
        <v>647338</v>
      </c>
      <c r="F49" s="264">
        <f t="shared" si="5"/>
        <v>5.3501908863819392E-2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1824518</v>
      </c>
      <c r="D50" s="263">
        <f>+D41+D43</f>
        <v>2140576</v>
      </c>
      <c r="E50" s="263">
        <f t="shared" si="4"/>
        <v>316058</v>
      </c>
      <c r="F50" s="264">
        <f t="shared" si="5"/>
        <v>0.17322821698662333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1084839</v>
      </c>
      <c r="D66" s="258">
        <v>1426687</v>
      </c>
      <c r="E66" s="258">
        <f t="shared" ref="E66:E76" si="8">D66-C66</f>
        <v>341848</v>
      </c>
      <c r="F66" s="259">
        <f t="shared" ref="F66:F76" si="9">IF(C66=0,0,E66/C66)</f>
        <v>0.31511403996353377</v>
      </c>
    </row>
    <row r="67" spans="1:6" ht="20.25" customHeight="1" x14ac:dyDescent="0.3">
      <c r="A67" s="256">
        <v>2</v>
      </c>
      <c r="B67" s="257" t="s">
        <v>442</v>
      </c>
      <c r="C67" s="258">
        <v>149653</v>
      </c>
      <c r="D67" s="258">
        <v>301881</v>
      </c>
      <c r="E67" s="258">
        <f t="shared" si="8"/>
        <v>152228</v>
      </c>
      <c r="F67" s="259">
        <f t="shared" si="9"/>
        <v>1.0172064709695094</v>
      </c>
    </row>
    <row r="68" spans="1:6" ht="20.25" customHeight="1" x14ac:dyDescent="0.3">
      <c r="A68" s="256">
        <v>3</v>
      </c>
      <c r="B68" s="257" t="s">
        <v>443</v>
      </c>
      <c r="C68" s="258">
        <v>1308359</v>
      </c>
      <c r="D68" s="258">
        <v>3771165</v>
      </c>
      <c r="E68" s="258">
        <f t="shared" si="8"/>
        <v>2462806</v>
      </c>
      <c r="F68" s="259">
        <f t="shared" si="9"/>
        <v>1.8823625625688363</v>
      </c>
    </row>
    <row r="69" spans="1:6" ht="20.25" customHeight="1" x14ac:dyDescent="0.3">
      <c r="A69" s="256">
        <v>4</v>
      </c>
      <c r="B69" s="257" t="s">
        <v>444</v>
      </c>
      <c r="C69" s="258">
        <v>736165</v>
      </c>
      <c r="D69" s="258">
        <v>1397177</v>
      </c>
      <c r="E69" s="258">
        <f t="shared" si="8"/>
        <v>661012</v>
      </c>
      <c r="F69" s="259">
        <f t="shared" si="9"/>
        <v>0.89791283204172978</v>
      </c>
    </row>
    <row r="70" spans="1:6" ht="20.25" customHeight="1" x14ac:dyDescent="0.3">
      <c r="A70" s="256">
        <v>5</v>
      </c>
      <c r="B70" s="257" t="s">
        <v>381</v>
      </c>
      <c r="C70" s="260">
        <v>26</v>
      </c>
      <c r="D70" s="260">
        <v>26</v>
      </c>
      <c r="E70" s="260">
        <f t="shared" si="8"/>
        <v>0</v>
      </c>
      <c r="F70" s="259">
        <f t="shared" si="9"/>
        <v>0</v>
      </c>
    </row>
    <row r="71" spans="1:6" ht="20.25" customHeight="1" x14ac:dyDescent="0.3">
      <c r="A71" s="256">
        <v>6</v>
      </c>
      <c r="B71" s="257" t="s">
        <v>380</v>
      </c>
      <c r="C71" s="260">
        <v>121</v>
      </c>
      <c r="D71" s="260">
        <v>155</v>
      </c>
      <c r="E71" s="260">
        <f t="shared" si="8"/>
        <v>34</v>
      </c>
      <c r="F71" s="259">
        <f t="shared" si="9"/>
        <v>0.28099173553719009</v>
      </c>
    </row>
    <row r="72" spans="1:6" ht="20.25" customHeight="1" x14ac:dyDescent="0.3">
      <c r="A72" s="256">
        <v>7</v>
      </c>
      <c r="B72" s="257" t="s">
        <v>445</v>
      </c>
      <c r="C72" s="260">
        <v>85</v>
      </c>
      <c r="D72" s="260">
        <v>154</v>
      </c>
      <c r="E72" s="260">
        <f t="shared" si="8"/>
        <v>69</v>
      </c>
      <c r="F72" s="259">
        <f t="shared" si="9"/>
        <v>0.81176470588235294</v>
      </c>
    </row>
    <row r="73" spans="1:6" ht="20.25" customHeight="1" x14ac:dyDescent="0.3">
      <c r="A73" s="256">
        <v>8</v>
      </c>
      <c r="B73" s="257" t="s">
        <v>446</v>
      </c>
      <c r="C73" s="260">
        <v>38</v>
      </c>
      <c r="D73" s="260">
        <v>73</v>
      </c>
      <c r="E73" s="260">
        <f t="shared" si="8"/>
        <v>35</v>
      </c>
      <c r="F73" s="259">
        <f t="shared" si="9"/>
        <v>0.92105263157894735</v>
      </c>
    </row>
    <row r="74" spans="1:6" ht="20.25" customHeight="1" x14ac:dyDescent="0.3">
      <c r="A74" s="256">
        <v>9</v>
      </c>
      <c r="B74" s="257" t="s">
        <v>447</v>
      </c>
      <c r="C74" s="260">
        <v>17</v>
      </c>
      <c r="D74" s="260">
        <v>23</v>
      </c>
      <c r="E74" s="260">
        <f t="shared" si="8"/>
        <v>6</v>
      </c>
      <c r="F74" s="259">
        <f t="shared" si="9"/>
        <v>0.35294117647058826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2393198</v>
      </c>
      <c r="D75" s="263">
        <f>+D66+D68</f>
        <v>5197852</v>
      </c>
      <c r="E75" s="263">
        <f t="shared" si="8"/>
        <v>2804654</v>
      </c>
      <c r="F75" s="264">
        <f t="shared" si="9"/>
        <v>1.1719272705392534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885818</v>
      </c>
      <c r="D76" s="263">
        <f>+D67+D69</f>
        <v>1699058</v>
      </c>
      <c r="E76" s="263">
        <f t="shared" si="8"/>
        <v>813240</v>
      </c>
      <c r="F76" s="264">
        <f t="shared" si="9"/>
        <v>0.91806669090038806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1091</v>
      </c>
      <c r="D81" s="258">
        <v>1821</v>
      </c>
      <c r="E81" s="258">
        <f t="shared" si="10"/>
        <v>730</v>
      </c>
      <c r="F81" s="259">
        <f t="shared" si="11"/>
        <v>0.66911090742438128</v>
      </c>
    </row>
    <row r="82" spans="1:6" ht="20.25" customHeight="1" x14ac:dyDescent="0.3">
      <c r="A82" s="256">
        <v>4</v>
      </c>
      <c r="B82" s="257" t="s">
        <v>444</v>
      </c>
      <c r="C82" s="258">
        <v>52</v>
      </c>
      <c r="D82" s="258">
        <v>601</v>
      </c>
      <c r="E82" s="258">
        <f t="shared" si="10"/>
        <v>549</v>
      </c>
      <c r="F82" s="259">
        <f t="shared" si="11"/>
        <v>10.557692307692308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1</v>
      </c>
      <c r="D85" s="260">
        <v>2</v>
      </c>
      <c r="E85" s="260">
        <f t="shared" si="10"/>
        <v>1</v>
      </c>
      <c r="F85" s="259">
        <f t="shared" si="11"/>
        <v>1</v>
      </c>
    </row>
    <row r="86" spans="1:6" ht="20.25" customHeight="1" x14ac:dyDescent="0.3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1091</v>
      </c>
      <c r="D88" s="263">
        <f>+D79+D81</f>
        <v>1821</v>
      </c>
      <c r="E88" s="263">
        <f t="shared" si="10"/>
        <v>730</v>
      </c>
      <c r="F88" s="264">
        <f t="shared" si="11"/>
        <v>0.66911090742438128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52</v>
      </c>
      <c r="D89" s="263">
        <f>+D80+D82</f>
        <v>601</v>
      </c>
      <c r="E89" s="263">
        <f t="shared" si="10"/>
        <v>549</v>
      </c>
      <c r="F89" s="264">
        <f t="shared" si="11"/>
        <v>10.557692307692308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30817311</v>
      </c>
      <c r="D92" s="258">
        <v>30686625</v>
      </c>
      <c r="E92" s="258">
        <f t="shared" ref="E92:E102" si="12">D92-C92</f>
        <v>-130686</v>
      </c>
      <c r="F92" s="259">
        <f t="shared" ref="F92:F102" si="13">IF(C92=0,0,E92/C92)</f>
        <v>-4.2406684995975148E-3</v>
      </c>
    </row>
    <row r="93" spans="1:6" ht="20.25" customHeight="1" x14ac:dyDescent="0.3">
      <c r="A93" s="256">
        <v>2</v>
      </c>
      <c r="B93" s="257" t="s">
        <v>442</v>
      </c>
      <c r="C93" s="258">
        <v>6780747</v>
      </c>
      <c r="D93" s="258">
        <v>6330065</v>
      </c>
      <c r="E93" s="258">
        <f t="shared" si="12"/>
        <v>-450682</v>
      </c>
      <c r="F93" s="259">
        <f t="shared" si="13"/>
        <v>-6.6464948478390365E-2</v>
      </c>
    </row>
    <row r="94" spans="1:6" ht="20.25" customHeight="1" x14ac:dyDescent="0.3">
      <c r="A94" s="256">
        <v>3</v>
      </c>
      <c r="B94" s="257" t="s">
        <v>443</v>
      </c>
      <c r="C94" s="258">
        <v>33123491</v>
      </c>
      <c r="D94" s="258">
        <v>35062760</v>
      </c>
      <c r="E94" s="258">
        <f t="shared" si="12"/>
        <v>1939269</v>
      </c>
      <c r="F94" s="259">
        <f t="shared" si="13"/>
        <v>5.8546636886794332E-2</v>
      </c>
    </row>
    <row r="95" spans="1:6" ht="20.25" customHeight="1" x14ac:dyDescent="0.3">
      <c r="A95" s="256">
        <v>4</v>
      </c>
      <c r="B95" s="257" t="s">
        <v>444</v>
      </c>
      <c r="C95" s="258">
        <v>3685559</v>
      </c>
      <c r="D95" s="258">
        <v>4007133</v>
      </c>
      <c r="E95" s="258">
        <f t="shared" si="12"/>
        <v>321574</v>
      </c>
      <c r="F95" s="259">
        <f t="shared" si="13"/>
        <v>8.7252435790608693E-2</v>
      </c>
    </row>
    <row r="96" spans="1:6" ht="20.25" customHeight="1" x14ac:dyDescent="0.3">
      <c r="A96" s="256">
        <v>5</v>
      </c>
      <c r="B96" s="257" t="s">
        <v>381</v>
      </c>
      <c r="C96" s="260">
        <v>498</v>
      </c>
      <c r="D96" s="260">
        <v>455</v>
      </c>
      <c r="E96" s="260">
        <f t="shared" si="12"/>
        <v>-43</v>
      </c>
      <c r="F96" s="259">
        <f t="shared" si="13"/>
        <v>-8.6345381526104423E-2</v>
      </c>
    </row>
    <row r="97" spans="1:6" ht="20.25" customHeight="1" x14ac:dyDescent="0.3">
      <c r="A97" s="256">
        <v>6</v>
      </c>
      <c r="B97" s="257" t="s">
        <v>380</v>
      </c>
      <c r="C97" s="260">
        <v>3298</v>
      </c>
      <c r="D97" s="260">
        <v>3050</v>
      </c>
      <c r="E97" s="260">
        <f t="shared" si="12"/>
        <v>-248</v>
      </c>
      <c r="F97" s="259">
        <f t="shared" si="13"/>
        <v>-7.5197089144936322E-2</v>
      </c>
    </row>
    <row r="98" spans="1:6" ht="20.25" customHeight="1" x14ac:dyDescent="0.3">
      <c r="A98" s="256">
        <v>7</v>
      </c>
      <c r="B98" s="257" t="s">
        <v>445</v>
      </c>
      <c r="C98" s="260">
        <v>9562</v>
      </c>
      <c r="D98" s="260">
        <v>9845</v>
      </c>
      <c r="E98" s="260">
        <f t="shared" si="12"/>
        <v>283</v>
      </c>
      <c r="F98" s="259">
        <f t="shared" si="13"/>
        <v>2.9596318761765321E-2</v>
      </c>
    </row>
    <row r="99" spans="1:6" ht="20.25" customHeight="1" x14ac:dyDescent="0.3">
      <c r="A99" s="256">
        <v>8</v>
      </c>
      <c r="B99" s="257" t="s">
        <v>446</v>
      </c>
      <c r="C99" s="260">
        <v>642</v>
      </c>
      <c r="D99" s="260">
        <v>626</v>
      </c>
      <c r="E99" s="260">
        <f t="shared" si="12"/>
        <v>-16</v>
      </c>
      <c r="F99" s="259">
        <f t="shared" si="13"/>
        <v>-2.4922118380062305E-2</v>
      </c>
    </row>
    <row r="100" spans="1:6" ht="20.25" customHeight="1" x14ac:dyDescent="0.3">
      <c r="A100" s="256">
        <v>9</v>
      </c>
      <c r="B100" s="257" t="s">
        <v>447</v>
      </c>
      <c r="C100" s="260">
        <v>414</v>
      </c>
      <c r="D100" s="260">
        <v>378</v>
      </c>
      <c r="E100" s="260">
        <f t="shared" si="12"/>
        <v>-36</v>
      </c>
      <c r="F100" s="259">
        <f t="shared" si="13"/>
        <v>-8.6956521739130432E-2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63940802</v>
      </c>
      <c r="D101" s="263">
        <f>+D92+D94</f>
        <v>65749385</v>
      </c>
      <c r="E101" s="263">
        <f t="shared" si="12"/>
        <v>1808583</v>
      </c>
      <c r="F101" s="264">
        <f t="shared" si="13"/>
        <v>2.8285272368025662E-2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10466306</v>
      </c>
      <c r="D102" s="263">
        <f>+D93+D95</f>
        <v>10337198</v>
      </c>
      <c r="E102" s="263">
        <f t="shared" si="12"/>
        <v>-129108</v>
      </c>
      <c r="F102" s="264">
        <f t="shared" si="13"/>
        <v>-1.2335584302618326E-2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2604362</v>
      </c>
      <c r="D105" s="258">
        <v>4666163</v>
      </c>
      <c r="E105" s="258">
        <f t="shared" ref="E105:E115" si="14">D105-C105</f>
        <v>2061801</v>
      </c>
      <c r="F105" s="259">
        <f t="shared" ref="F105:F115" si="15">IF(C105=0,0,E105/C105)</f>
        <v>0.79167220225145352</v>
      </c>
    </row>
    <row r="106" spans="1:6" ht="20.25" customHeight="1" x14ac:dyDescent="0.3">
      <c r="A106" s="256">
        <v>2</v>
      </c>
      <c r="B106" s="257" t="s">
        <v>442</v>
      </c>
      <c r="C106" s="258">
        <v>524225</v>
      </c>
      <c r="D106" s="258">
        <v>1033791</v>
      </c>
      <c r="E106" s="258">
        <f t="shared" si="14"/>
        <v>509566</v>
      </c>
      <c r="F106" s="259">
        <f t="shared" si="15"/>
        <v>0.97203681625256333</v>
      </c>
    </row>
    <row r="107" spans="1:6" ht="20.25" customHeight="1" x14ac:dyDescent="0.3">
      <c r="A107" s="256">
        <v>3</v>
      </c>
      <c r="B107" s="257" t="s">
        <v>443</v>
      </c>
      <c r="C107" s="258">
        <v>3238206</v>
      </c>
      <c r="D107" s="258">
        <v>5258462</v>
      </c>
      <c r="E107" s="258">
        <f t="shared" si="14"/>
        <v>2020256</v>
      </c>
      <c r="F107" s="259">
        <f t="shared" si="15"/>
        <v>0.62388124782672871</v>
      </c>
    </row>
    <row r="108" spans="1:6" ht="20.25" customHeight="1" x14ac:dyDescent="0.3">
      <c r="A108" s="256">
        <v>4</v>
      </c>
      <c r="B108" s="257" t="s">
        <v>444</v>
      </c>
      <c r="C108" s="258">
        <v>291019</v>
      </c>
      <c r="D108" s="258">
        <v>519398</v>
      </c>
      <c r="E108" s="258">
        <f t="shared" si="14"/>
        <v>228379</v>
      </c>
      <c r="F108" s="259">
        <f t="shared" si="15"/>
        <v>0.78475632175218801</v>
      </c>
    </row>
    <row r="109" spans="1:6" ht="20.25" customHeight="1" x14ac:dyDescent="0.3">
      <c r="A109" s="256">
        <v>5</v>
      </c>
      <c r="B109" s="257" t="s">
        <v>381</v>
      </c>
      <c r="C109" s="260">
        <v>46</v>
      </c>
      <c r="D109" s="260">
        <v>73</v>
      </c>
      <c r="E109" s="260">
        <f t="shared" si="14"/>
        <v>27</v>
      </c>
      <c r="F109" s="259">
        <f t="shared" si="15"/>
        <v>0.58695652173913049</v>
      </c>
    </row>
    <row r="110" spans="1:6" ht="20.25" customHeight="1" x14ac:dyDescent="0.3">
      <c r="A110" s="256">
        <v>6</v>
      </c>
      <c r="B110" s="257" t="s">
        <v>380</v>
      </c>
      <c r="C110" s="260">
        <v>253</v>
      </c>
      <c r="D110" s="260">
        <v>408</v>
      </c>
      <c r="E110" s="260">
        <f t="shared" si="14"/>
        <v>155</v>
      </c>
      <c r="F110" s="259">
        <f t="shared" si="15"/>
        <v>0.61264822134387353</v>
      </c>
    </row>
    <row r="111" spans="1:6" ht="20.25" customHeight="1" x14ac:dyDescent="0.3">
      <c r="A111" s="256">
        <v>7</v>
      </c>
      <c r="B111" s="257" t="s">
        <v>445</v>
      </c>
      <c r="C111" s="260">
        <v>866</v>
      </c>
      <c r="D111" s="260">
        <v>1359</v>
      </c>
      <c r="E111" s="260">
        <f t="shared" si="14"/>
        <v>493</v>
      </c>
      <c r="F111" s="259">
        <f t="shared" si="15"/>
        <v>0.56928406466512704</v>
      </c>
    </row>
    <row r="112" spans="1:6" ht="20.25" customHeight="1" x14ac:dyDescent="0.3">
      <c r="A112" s="256">
        <v>8</v>
      </c>
      <c r="B112" s="257" t="s">
        <v>446</v>
      </c>
      <c r="C112" s="260">
        <v>133</v>
      </c>
      <c r="D112" s="260">
        <v>184</v>
      </c>
      <c r="E112" s="260">
        <f t="shared" si="14"/>
        <v>51</v>
      </c>
      <c r="F112" s="259">
        <f t="shared" si="15"/>
        <v>0.38345864661654133</v>
      </c>
    </row>
    <row r="113" spans="1:6" ht="20.25" customHeight="1" x14ac:dyDescent="0.3">
      <c r="A113" s="256">
        <v>9</v>
      </c>
      <c r="B113" s="257" t="s">
        <v>447</v>
      </c>
      <c r="C113" s="260">
        <v>37</v>
      </c>
      <c r="D113" s="260">
        <v>64</v>
      </c>
      <c r="E113" s="260">
        <f t="shared" si="14"/>
        <v>27</v>
      </c>
      <c r="F113" s="259">
        <f t="shared" si="15"/>
        <v>0.72972972972972971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5842568</v>
      </c>
      <c r="D114" s="263">
        <f>+D105+D107</f>
        <v>9924625</v>
      </c>
      <c r="E114" s="263">
        <f t="shared" si="14"/>
        <v>4082057</v>
      </c>
      <c r="F114" s="264">
        <f t="shared" si="15"/>
        <v>0.69867513737110121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815244</v>
      </c>
      <c r="D115" s="263">
        <f>+D106+D108</f>
        <v>1553189</v>
      </c>
      <c r="E115" s="263">
        <f t="shared" si="14"/>
        <v>737945</v>
      </c>
      <c r="F115" s="264">
        <f t="shared" si="15"/>
        <v>0.90518298816059972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9962957</v>
      </c>
      <c r="D118" s="258">
        <v>12151436</v>
      </c>
      <c r="E118" s="258">
        <f t="shared" ref="E118:E128" si="16">D118-C118</f>
        <v>2188479</v>
      </c>
      <c r="F118" s="259">
        <f t="shared" ref="F118:F128" si="17">IF(C118=0,0,E118/C118)</f>
        <v>0.21966159243686387</v>
      </c>
    </row>
    <row r="119" spans="1:6" ht="20.25" customHeight="1" x14ac:dyDescent="0.3">
      <c r="A119" s="256">
        <v>2</v>
      </c>
      <c r="B119" s="257" t="s">
        <v>442</v>
      </c>
      <c r="C119" s="258">
        <v>2288151</v>
      </c>
      <c r="D119" s="258">
        <v>2680312</v>
      </c>
      <c r="E119" s="258">
        <f t="shared" si="16"/>
        <v>392161</v>
      </c>
      <c r="F119" s="259">
        <f t="shared" si="17"/>
        <v>0.17138772747078318</v>
      </c>
    </row>
    <row r="120" spans="1:6" ht="20.25" customHeight="1" x14ac:dyDescent="0.3">
      <c r="A120" s="256">
        <v>3</v>
      </c>
      <c r="B120" s="257" t="s">
        <v>443</v>
      </c>
      <c r="C120" s="258">
        <v>16443477</v>
      </c>
      <c r="D120" s="258">
        <v>15867447</v>
      </c>
      <c r="E120" s="258">
        <f t="shared" si="16"/>
        <v>-576030</v>
      </c>
      <c r="F120" s="259">
        <f t="shared" si="17"/>
        <v>-3.5030912257790731E-2</v>
      </c>
    </row>
    <row r="121" spans="1:6" ht="20.25" customHeight="1" x14ac:dyDescent="0.3">
      <c r="A121" s="256">
        <v>4</v>
      </c>
      <c r="B121" s="257" t="s">
        <v>444</v>
      </c>
      <c r="C121" s="258">
        <v>2068594</v>
      </c>
      <c r="D121" s="258">
        <v>1937371</v>
      </c>
      <c r="E121" s="258">
        <f t="shared" si="16"/>
        <v>-131223</v>
      </c>
      <c r="F121" s="259">
        <f t="shared" si="17"/>
        <v>-6.343584096250883E-2</v>
      </c>
    </row>
    <row r="122" spans="1:6" ht="20.25" customHeight="1" x14ac:dyDescent="0.3">
      <c r="A122" s="256">
        <v>5</v>
      </c>
      <c r="B122" s="257" t="s">
        <v>381</v>
      </c>
      <c r="C122" s="260">
        <v>167</v>
      </c>
      <c r="D122" s="260">
        <v>196</v>
      </c>
      <c r="E122" s="260">
        <f t="shared" si="16"/>
        <v>29</v>
      </c>
      <c r="F122" s="259">
        <f t="shared" si="17"/>
        <v>0.17365269461077845</v>
      </c>
    </row>
    <row r="123" spans="1:6" ht="20.25" customHeight="1" x14ac:dyDescent="0.3">
      <c r="A123" s="256">
        <v>6</v>
      </c>
      <c r="B123" s="257" t="s">
        <v>380</v>
      </c>
      <c r="C123" s="260">
        <v>965</v>
      </c>
      <c r="D123" s="260">
        <v>1047</v>
      </c>
      <c r="E123" s="260">
        <f t="shared" si="16"/>
        <v>82</v>
      </c>
      <c r="F123" s="259">
        <f t="shared" si="17"/>
        <v>8.4974093264248707E-2</v>
      </c>
    </row>
    <row r="124" spans="1:6" ht="20.25" customHeight="1" x14ac:dyDescent="0.3">
      <c r="A124" s="256">
        <v>7</v>
      </c>
      <c r="B124" s="257" t="s">
        <v>445</v>
      </c>
      <c r="C124" s="260">
        <v>4029</v>
      </c>
      <c r="D124" s="260">
        <v>4321</v>
      </c>
      <c r="E124" s="260">
        <f t="shared" si="16"/>
        <v>292</v>
      </c>
      <c r="F124" s="259">
        <f t="shared" si="17"/>
        <v>7.2474559444030778E-2</v>
      </c>
    </row>
    <row r="125" spans="1:6" ht="20.25" customHeight="1" x14ac:dyDescent="0.3">
      <c r="A125" s="256">
        <v>8</v>
      </c>
      <c r="B125" s="257" t="s">
        <v>446</v>
      </c>
      <c r="C125" s="260">
        <v>249</v>
      </c>
      <c r="D125" s="260">
        <v>276</v>
      </c>
      <c r="E125" s="260">
        <f t="shared" si="16"/>
        <v>27</v>
      </c>
      <c r="F125" s="259">
        <f t="shared" si="17"/>
        <v>0.10843373493975904</v>
      </c>
    </row>
    <row r="126" spans="1:6" ht="20.25" customHeight="1" x14ac:dyDescent="0.3">
      <c r="A126" s="256">
        <v>9</v>
      </c>
      <c r="B126" s="257" t="s">
        <v>447</v>
      </c>
      <c r="C126" s="260">
        <v>136</v>
      </c>
      <c r="D126" s="260">
        <v>162</v>
      </c>
      <c r="E126" s="260">
        <f t="shared" si="16"/>
        <v>26</v>
      </c>
      <c r="F126" s="259">
        <f t="shared" si="17"/>
        <v>0.19117647058823528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26406434</v>
      </c>
      <c r="D127" s="263">
        <f>+D118+D120</f>
        <v>28018883</v>
      </c>
      <c r="E127" s="263">
        <f t="shared" si="16"/>
        <v>1612449</v>
      </c>
      <c r="F127" s="264">
        <f t="shared" si="17"/>
        <v>6.1062731908443225E-2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4356745</v>
      </c>
      <c r="D128" s="263">
        <f>+D119+D121</f>
        <v>4617683</v>
      </c>
      <c r="E128" s="263">
        <f t="shared" si="16"/>
        <v>260938</v>
      </c>
      <c r="F128" s="264">
        <f t="shared" si="17"/>
        <v>5.9892878743190159E-2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239362</v>
      </c>
      <c r="D131" s="258">
        <v>778179</v>
      </c>
      <c r="E131" s="258">
        <f t="shared" ref="E131:E141" si="18">D131-C131</f>
        <v>538817</v>
      </c>
      <c r="F131" s="259">
        <f t="shared" ref="F131:F141" si="19">IF(C131=0,0,E131/C131)</f>
        <v>2.25105488757614</v>
      </c>
    </row>
    <row r="132" spans="1:6" ht="20.25" customHeight="1" x14ac:dyDescent="0.3">
      <c r="A132" s="256">
        <v>2</v>
      </c>
      <c r="B132" s="257" t="s">
        <v>442</v>
      </c>
      <c r="C132" s="258">
        <v>36807</v>
      </c>
      <c r="D132" s="258">
        <v>176172</v>
      </c>
      <c r="E132" s="258">
        <f t="shared" si="18"/>
        <v>139365</v>
      </c>
      <c r="F132" s="259">
        <f t="shared" si="19"/>
        <v>3.7863721574700464</v>
      </c>
    </row>
    <row r="133" spans="1:6" ht="20.25" customHeight="1" x14ac:dyDescent="0.3">
      <c r="A133" s="256">
        <v>3</v>
      </c>
      <c r="B133" s="257" t="s">
        <v>443</v>
      </c>
      <c r="C133" s="258">
        <v>220688</v>
      </c>
      <c r="D133" s="258">
        <v>227211</v>
      </c>
      <c r="E133" s="258">
        <f t="shared" si="18"/>
        <v>6523</v>
      </c>
      <c r="F133" s="259">
        <f t="shared" si="19"/>
        <v>2.9557565431740738E-2</v>
      </c>
    </row>
    <row r="134" spans="1:6" ht="20.25" customHeight="1" x14ac:dyDescent="0.3">
      <c r="A134" s="256">
        <v>4</v>
      </c>
      <c r="B134" s="257" t="s">
        <v>444</v>
      </c>
      <c r="C134" s="258">
        <v>34185</v>
      </c>
      <c r="D134" s="258">
        <v>33193</v>
      </c>
      <c r="E134" s="258">
        <f t="shared" si="18"/>
        <v>-992</v>
      </c>
      <c r="F134" s="259">
        <f t="shared" si="19"/>
        <v>-2.9018575398566622E-2</v>
      </c>
    </row>
    <row r="135" spans="1:6" ht="20.25" customHeight="1" x14ac:dyDescent="0.3">
      <c r="A135" s="256">
        <v>5</v>
      </c>
      <c r="B135" s="257" t="s">
        <v>381</v>
      </c>
      <c r="C135" s="260">
        <v>6</v>
      </c>
      <c r="D135" s="260">
        <v>9</v>
      </c>
      <c r="E135" s="260">
        <f t="shared" si="18"/>
        <v>3</v>
      </c>
      <c r="F135" s="259">
        <f t="shared" si="19"/>
        <v>0.5</v>
      </c>
    </row>
    <row r="136" spans="1:6" ht="20.25" customHeight="1" x14ac:dyDescent="0.3">
      <c r="A136" s="256">
        <v>6</v>
      </c>
      <c r="B136" s="257" t="s">
        <v>380</v>
      </c>
      <c r="C136" s="260">
        <v>19</v>
      </c>
      <c r="D136" s="260">
        <v>66</v>
      </c>
      <c r="E136" s="260">
        <f t="shared" si="18"/>
        <v>47</v>
      </c>
      <c r="F136" s="259">
        <f t="shared" si="19"/>
        <v>2.4736842105263159</v>
      </c>
    </row>
    <row r="137" spans="1:6" ht="20.25" customHeight="1" x14ac:dyDescent="0.3">
      <c r="A137" s="256">
        <v>7</v>
      </c>
      <c r="B137" s="257" t="s">
        <v>445</v>
      </c>
      <c r="C137" s="260">
        <v>57</v>
      </c>
      <c r="D137" s="260">
        <v>76</v>
      </c>
      <c r="E137" s="260">
        <f t="shared" si="18"/>
        <v>19</v>
      </c>
      <c r="F137" s="259">
        <f t="shared" si="19"/>
        <v>0.33333333333333331</v>
      </c>
    </row>
    <row r="138" spans="1:6" ht="20.25" customHeight="1" x14ac:dyDescent="0.3">
      <c r="A138" s="256">
        <v>8</v>
      </c>
      <c r="B138" s="257" t="s">
        <v>446</v>
      </c>
      <c r="C138" s="260">
        <v>6</v>
      </c>
      <c r="D138" s="260">
        <v>15</v>
      </c>
      <c r="E138" s="260">
        <f t="shared" si="18"/>
        <v>9</v>
      </c>
      <c r="F138" s="259">
        <f t="shared" si="19"/>
        <v>1.5</v>
      </c>
    </row>
    <row r="139" spans="1:6" ht="20.25" customHeight="1" x14ac:dyDescent="0.3">
      <c r="A139" s="256">
        <v>9</v>
      </c>
      <c r="B139" s="257" t="s">
        <v>447</v>
      </c>
      <c r="C139" s="260">
        <v>6</v>
      </c>
      <c r="D139" s="260">
        <v>8</v>
      </c>
      <c r="E139" s="260">
        <f t="shared" si="18"/>
        <v>2</v>
      </c>
      <c r="F139" s="259">
        <f t="shared" si="19"/>
        <v>0.33333333333333331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460050</v>
      </c>
      <c r="D140" s="263">
        <f>+D131+D133</f>
        <v>1005390</v>
      </c>
      <c r="E140" s="263">
        <f t="shared" si="18"/>
        <v>545340</v>
      </c>
      <c r="F140" s="264">
        <f t="shared" si="19"/>
        <v>1.1853928920769481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70992</v>
      </c>
      <c r="D141" s="263">
        <f>+D132+D134</f>
        <v>209365</v>
      </c>
      <c r="E141" s="263">
        <f t="shared" si="18"/>
        <v>138373</v>
      </c>
      <c r="F141" s="264">
        <f t="shared" si="19"/>
        <v>1.9491351138156412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0</v>
      </c>
      <c r="D183" s="258">
        <v>0</v>
      </c>
      <c r="E183" s="258">
        <f t="shared" ref="E183:E193" si="26">D183-C183</f>
        <v>0</v>
      </c>
      <c r="F183" s="259">
        <f t="shared" ref="F183:F193" si="27">IF(C183=0,0,E183/C183)</f>
        <v>0</v>
      </c>
    </row>
    <row r="184" spans="1:6" ht="20.25" customHeight="1" x14ac:dyDescent="0.3">
      <c r="A184" s="256">
        <v>2</v>
      </c>
      <c r="B184" s="257" t="s">
        <v>442</v>
      </c>
      <c r="C184" s="258">
        <v>0</v>
      </c>
      <c r="D184" s="258">
        <v>0</v>
      </c>
      <c r="E184" s="258">
        <f t="shared" si="26"/>
        <v>0</v>
      </c>
      <c r="F184" s="259">
        <f t="shared" si="27"/>
        <v>0</v>
      </c>
    </row>
    <row r="185" spans="1:6" ht="20.25" customHeight="1" x14ac:dyDescent="0.3">
      <c r="A185" s="256">
        <v>3</v>
      </c>
      <c r="B185" s="257" t="s">
        <v>443</v>
      </c>
      <c r="C185" s="258">
        <v>4269</v>
      </c>
      <c r="D185" s="258">
        <v>381</v>
      </c>
      <c r="E185" s="258">
        <f t="shared" si="26"/>
        <v>-3888</v>
      </c>
      <c r="F185" s="259">
        <f t="shared" si="27"/>
        <v>-0.9107519325368939</v>
      </c>
    </row>
    <row r="186" spans="1:6" ht="20.25" customHeight="1" x14ac:dyDescent="0.3">
      <c r="A186" s="256">
        <v>4</v>
      </c>
      <c r="B186" s="257" t="s">
        <v>444</v>
      </c>
      <c r="C186" s="258">
        <v>375</v>
      </c>
      <c r="D186" s="258">
        <v>111</v>
      </c>
      <c r="E186" s="258">
        <f t="shared" si="26"/>
        <v>-264</v>
      </c>
      <c r="F186" s="259">
        <f t="shared" si="27"/>
        <v>-0.70399999999999996</v>
      </c>
    </row>
    <row r="187" spans="1:6" ht="20.25" customHeight="1" x14ac:dyDescent="0.3">
      <c r="A187" s="256">
        <v>5</v>
      </c>
      <c r="B187" s="257" t="s">
        <v>381</v>
      </c>
      <c r="C187" s="260">
        <v>0</v>
      </c>
      <c r="D187" s="260">
        <v>0</v>
      </c>
      <c r="E187" s="260">
        <f t="shared" si="26"/>
        <v>0</v>
      </c>
      <c r="F187" s="259">
        <f t="shared" si="27"/>
        <v>0</v>
      </c>
    </row>
    <row r="188" spans="1:6" ht="20.25" customHeight="1" x14ac:dyDescent="0.3">
      <c r="A188" s="256">
        <v>6</v>
      </c>
      <c r="B188" s="257" t="s">
        <v>380</v>
      </c>
      <c r="C188" s="260">
        <v>0</v>
      </c>
      <c r="D188" s="260">
        <v>0</v>
      </c>
      <c r="E188" s="260">
        <f t="shared" si="26"/>
        <v>0</v>
      </c>
      <c r="F188" s="259">
        <f t="shared" si="27"/>
        <v>0</v>
      </c>
    </row>
    <row r="189" spans="1:6" ht="20.25" customHeight="1" x14ac:dyDescent="0.3">
      <c r="A189" s="256">
        <v>7</v>
      </c>
      <c r="B189" s="257" t="s">
        <v>445</v>
      </c>
      <c r="C189" s="260">
        <v>15</v>
      </c>
      <c r="D189" s="260">
        <v>1</v>
      </c>
      <c r="E189" s="260">
        <f t="shared" si="26"/>
        <v>-14</v>
      </c>
      <c r="F189" s="259">
        <f t="shared" si="27"/>
        <v>-0.93333333333333335</v>
      </c>
    </row>
    <row r="190" spans="1:6" ht="20.25" customHeight="1" x14ac:dyDescent="0.3">
      <c r="A190" s="256">
        <v>8</v>
      </c>
      <c r="B190" s="257" t="s">
        <v>446</v>
      </c>
      <c r="C190" s="260">
        <v>0</v>
      </c>
      <c r="D190" s="260">
        <v>0</v>
      </c>
      <c r="E190" s="260">
        <f t="shared" si="26"/>
        <v>0</v>
      </c>
      <c r="F190" s="259">
        <f t="shared" si="27"/>
        <v>0</v>
      </c>
    </row>
    <row r="191" spans="1:6" ht="20.25" customHeight="1" x14ac:dyDescent="0.3">
      <c r="A191" s="256">
        <v>9</v>
      </c>
      <c r="B191" s="257" t="s">
        <v>447</v>
      </c>
      <c r="C191" s="260">
        <v>0</v>
      </c>
      <c r="D191" s="260">
        <v>0</v>
      </c>
      <c r="E191" s="260">
        <f t="shared" si="26"/>
        <v>0</v>
      </c>
      <c r="F191" s="259">
        <f t="shared" si="27"/>
        <v>0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4269</v>
      </c>
      <c r="D192" s="263">
        <f>+D183+D185</f>
        <v>381</v>
      </c>
      <c r="E192" s="263">
        <f t="shared" si="26"/>
        <v>-3888</v>
      </c>
      <c r="F192" s="264">
        <f t="shared" si="27"/>
        <v>-0.9107519325368939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375</v>
      </c>
      <c r="D193" s="263">
        <f>+D184+D186</f>
        <v>111</v>
      </c>
      <c r="E193" s="263">
        <f t="shared" si="26"/>
        <v>-264</v>
      </c>
      <c r="F193" s="264">
        <f t="shared" si="27"/>
        <v>-0.70399999999999996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794" t="s">
        <v>44</v>
      </c>
      <c r="B195" s="796" t="s">
        <v>464</v>
      </c>
      <c r="C195" s="798"/>
      <c r="D195" s="799"/>
      <c r="E195" s="799"/>
      <c r="F195" s="800"/>
      <c r="G195" s="801"/>
      <c r="H195" s="801"/>
      <c r="I195" s="801"/>
    </row>
    <row r="196" spans="1:9" ht="20.25" customHeight="1" x14ac:dyDescent="0.3">
      <c r="A196" s="795"/>
      <c r="B196" s="797"/>
      <c r="C196" s="791"/>
      <c r="D196" s="792"/>
      <c r="E196" s="792"/>
      <c r="F196" s="793"/>
      <c r="G196" s="801"/>
      <c r="H196" s="801"/>
      <c r="I196" s="801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51673212</v>
      </c>
      <c r="D198" s="263">
        <f t="shared" si="28"/>
        <v>56895898</v>
      </c>
      <c r="E198" s="263">
        <f t="shared" ref="E198:E208" si="29">D198-C198</f>
        <v>5222686</v>
      </c>
      <c r="F198" s="273">
        <f t="shared" ref="F198:F208" si="30">IF(C198=0,0,E198/C198)</f>
        <v>0.1010714410398951</v>
      </c>
    </row>
    <row r="199" spans="1:9" ht="20.25" customHeight="1" x14ac:dyDescent="0.3">
      <c r="A199" s="271"/>
      <c r="B199" s="272" t="s">
        <v>466</v>
      </c>
      <c r="C199" s="263">
        <f t="shared" si="28"/>
        <v>11219026</v>
      </c>
      <c r="D199" s="263">
        <f t="shared" si="28"/>
        <v>12113174</v>
      </c>
      <c r="E199" s="263">
        <f t="shared" si="29"/>
        <v>894148</v>
      </c>
      <c r="F199" s="273">
        <f t="shared" si="30"/>
        <v>7.969925374983533E-2</v>
      </c>
    </row>
    <row r="200" spans="1:9" ht="20.25" customHeight="1" x14ac:dyDescent="0.3">
      <c r="A200" s="271"/>
      <c r="B200" s="272" t="s">
        <v>467</v>
      </c>
      <c r="C200" s="263">
        <f t="shared" si="28"/>
        <v>64074177</v>
      </c>
      <c r="D200" s="263">
        <f t="shared" si="28"/>
        <v>68508982</v>
      </c>
      <c r="E200" s="263">
        <f t="shared" si="29"/>
        <v>4434805</v>
      </c>
      <c r="F200" s="273">
        <f t="shared" si="30"/>
        <v>6.9213608471319105E-2</v>
      </c>
    </row>
    <row r="201" spans="1:9" ht="20.25" customHeight="1" x14ac:dyDescent="0.3">
      <c r="A201" s="271"/>
      <c r="B201" s="272" t="s">
        <v>468</v>
      </c>
      <c r="C201" s="263">
        <f t="shared" si="28"/>
        <v>7920945</v>
      </c>
      <c r="D201" s="263">
        <f t="shared" si="28"/>
        <v>8872104</v>
      </c>
      <c r="E201" s="263">
        <f t="shared" si="29"/>
        <v>951159</v>
      </c>
      <c r="F201" s="273">
        <f t="shared" si="30"/>
        <v>0.12008150542643586</v>
      </c>
    </row>
    <row r="202" spans="1:9" ht="20.25" customHeight="1" x14ac:dyDescent="0.3">
      <c r="A202" s="271"/>
      <c r="B202" s="272" t="s">
        <v>138</v>
      </c>
      <c r="C202" s="274">
        <f t="shared" si="28"/>
        <v>835</v>
      </c>
      <c r="D202" s="274">
        <f t="shared" si="28"/>
        <v>873</v>
      </c>
      <c r="E202" s="274">
        <f t="shared" si="29"/>
        <v>38</v>
      </c>
      <c r="F202" s="273">
        <f t="shared" si="30"/>
        <v>4.5508982035928146E-2</v>
      </c>
    </row>
    <row r="203" spans="1:9" ht="20.25" customHeight="1" x14ac:dyDescent="0.3">
      <c r="A203" s="271"/>
      <c r="B203" s="272" t="s">
        <v>140</v>
      </c>
      <c r="C203" s="274">
        <f t="shared" si="28"/>
        <v>5295</v>
      </c>
      <c r="D203" s="274">
        <f t="shared" si="28"/>
        <v>5374</v>
      </c>
      <c r="E203" s="274">
        <f t="shared" si="29"/>
        <v>79</v>
      </c>
      <c r="F203" s="273">
        <f t="shared" si="30"/>
        <v>1.4919735599622286E-2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17050</v>
      </c>
      <c r="D204" s="274">
        <f t="shared" si="28"/>
        <v>18272</v>
      </c>
      <c r="E204" s="274">
        <f t="shared" si="29"/>
        <v>1222</v>
      </c>
      <c r="F204" s="273">
        <f t="shared" si="30"/>
        <v>7.1671554252199413E-2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1196</v>
      </c>
      <c r="D205" s="274">
        <f t="shared" si="28"/>
        <v>1342</v>
      </c>
      <c r="E205" s="274">
        <f t="shared" si="29"/>
        <v>146</v>
      </c>
      <c r="F205" s="273">
        <f t="shared" si="30"/>
        <v>0.12207357859531773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682</v>
      </c>
      <c r="D206" s="274">
        <f t="shared" si="28"/>
        <v>719</v>
      </c>
      <c r="E206" s="274">
        <f t="shared" si="29"/>
        <v>37</v>
      </c>
      <c r="F206" s="273">
        <f t="shared" si="30"/>
        <v>5.4252199413489736E-2</v>
      </c>
    </row>
    <row r="207" spans="1:9" ht="20.25" customHeight="1" x14ac:dyDescent="0.3">
      <c r="A207" s="271"/>
      <c r="B207" s="262" t="s">
        <v>471</v>
      </c>
      <c r="C207" s="263">
        <f>+C198+C200</f>
        <v>115747389</v>
      </c>
      <c r="D207" s="263">
        <f>+D198+D200</f>
        <v>125404880</v>
      </c>
      <c r="E207" s="263">
        <f t="shared" si="29"/>
        <v>9657491</v>
      </c>
      <c r="F207" s="273">
        <f t="shared" si="30"/>
        <v>8.3435929600105277E-2</v>
      </c>
    </row>
    <row r="208" spans="1:9" ht="20.25" customHeight="1" x14ac:dyDescent="0.3">
      <c r="A208" s="271"/>
      <c r="B208" s="262" t="s">
        <v>472</v>
      </c>
      <c r="C208" s="263">
        <f>+C199+C201</f>
        <v>19139971</v>
      </c>
      <c r="D208" s="263">
        <f>+D199+D201</f>
        <v>20985278</v>
      </c>
      <c r="E208" s="263">
        <f t="shared" si="29"/>
        <v>1845307</v>
      </c>
      <c r="F208" s="273">
        <f t="shared" si="30"/>
        <v>9.6411170110968294E-2</v>
      </c>
    </row>
  </sheetData>
  <mergeCells count="12">
    <mergeCell ref="G195:I196"/>
    <mergeCell ref="A2:F2"/>
    <mergeCell ref="A3:F3"/>
    <mergeCell ref="A4:F4"/>
    <mergeCell ref="A5:F5"/>
    <mergeCell ref="C9:F9"/>
    <mergeCell ref="A10:A11"/>
    <mergeCell ref="B10:B11"/>
    <mergeCell ref="C10:F11"/>
    <mergeCell ref="A195:A196"/>
    <mergeCell ref="B195:B196"/>
    <mergeCell ref="C195:F196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FILING&amp;RSTAMFORD HOSPITAL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zoomScale="70" workbookViewId="0">
      <selection activeCell="B15" sqref="B15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802" t="s">
        <v>0</v>
      </c>
      <c r="B2" s="802"/>
      <c r="C2" s="802"/>
      <c r="D2" s="802"/>
      <c r="E2" s="802"/>
      <c r="F2" s="802"/>
    </row>
    <row r="3" spans="1:7" ht="20.25" customHeight="1" x14ac:dyDescent="0.3">
      <c r="A3" s="802" t="s">
        <v>1</v>
      </c>
      <c r="B3" s="802"/>
      <c r="C3" s="802"/>
      <c r="D3" s="802"/>
      <c r="E3" s="802"/>
      <c r="F3" s="802"/>
    </row>
    <row r="4" spans="1:7" ht="20.25" customHeight="1" x14ac:dyDescent="0.3">
      <c r="A4" s="802" t="s">
        <v>314</v>
      </c>
      <c r="B4" s="802"/>
      <c r="C4" s="802"/>
      <c r="D4" s="802"/>
      <c r="E4" s="802"/>
      <c r="F4" s="802"/>
    </row>
    <row r="5" spans="1:7" ht="20.25" customHeight="1" x14ac:dyDescent="0.3">
      <c r="A5" s="802" t="s">
        <v>473</v>
      </c>
      <c r="B5" s="802"/>
      <c r="C5" s="802"/>
      <c r="D5" s="802"/>
      <c r="E5" s="802"/>
      <c r="F5" s="802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794" t="s">
        <v>12</v>
      </c>
      <c r="B10" s="796" t="s">
        <v>116</v>
      </c>
      <c r="C10" s="798"/>
      <c r="D10" s="799"/>
      <c r="E10" s="799"/>
      <c r="F10" s="800"/>
    </row>
    <row r="11" spans="1:7" ht="20.25" customHeight="1" x14ac:dyDescent="0.3">
      <c r="A11" s="795"/>
      <c r="B11" s="797"/>
      <c r="C11" s="791"/>
      <c r="D11" s="792"/>
      <c r="E11" s="792"/>
      <c r="F11" s="793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794" t="s">
        <v>44</v>
      </c>
      <c r="B109" s="796" t="s">
        <v>490</v>
      </c>
      <c r="C109" s="798"/>
      <c r="D109" s="799"/>
      <c r="E109" s="799"/>
      <c r="F109" s="800"/>
      <c r="G109" s="245"/>
    </row>
    <row r="110" spans="1:7" ht="20.25" customHeight="1" x14ac:dyDescent="0.3">
      <c r="A110" s="795"/>
      <c r="B110" s="797"/>
      <c r="C110" s="791"/>
      <c r="D110" s="792"/>
      <c r="E110" s="792"/>
      <c r="F110" s="793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FILING&amp;RSTAMFORD HOSPITAL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zoomScale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109623000</v>
      </c>
      <c r="D13" s="22">
        <v>134849000</v>
      </c>
      <c r="E13" s="22">
        <f t="shared" ref="E13:E22" si="0">D13-C13</f>
        <v>25226000</v>
      </c>
      <c r="F13" s="306">
        <f t="shared" ref="F13:F22" si="1">IF(C13=0,0,E13/C13)</f>
        <v>0.23011594282221798</v>
      </c>
    </row>
    <row r="14" spans="1:8" ht="24" customHeight="1" x14ac:dyDescent="0.2">
      <c r="A14" s="304">
        <v>2</v>
      </c>
      <c r="B14" s="305" t="s">
        <v>17</v>
      </c>
      <c r="C14" s="22">
        <v>58000</v>
      </c>
      <c r="D14" s="22">
        <v>53000</v>
      </c>
      <c r="E14" s="22">
        <f t="shared" si="0"/>
        <v>-5000</v>
      </c>
      <c r="F14" s="306">
        <f t="shared" si="1"/>
        <v>-8.6206896551724144E-2</v>
      </c>
    </row>
    <row r="15" spans="1:8" ht="35.1" customHeight="1" x14ac:dyDescent="0.2">
      <c r="A15" s="304">
        <v>3</v>
      </c>
      <c r="B15" s="305" t="s">
        <v>18</v>
      </c>
      <c r="C15" s="22">
        <v>73832000</v>
      </c>
      <c r="D15" s="22">
        <v>77483000</v>
      </c>
      <c r="E15" s="22">
        <f t="shared" si="0"/>
        <v>3651000</v>
      </c>
      <c r="F15" s="306">
        <f t="shared" si="1"/>
        <v>4.9450102936396144E-2</v>
      </c>
    </row>
    <row r="16" spans="1:8" ht="35.1" customHeight="1" x14ac:dyDescent="0.2">
      <c r="A16" s="304">
        <v>4</v>
      </c>
      <c r="B16" s="305" t="s">
        <v>19</v>
      </c>
      <c r="C16" s="22">
        <v>257000</v>
      </c>
      <c r="D16" s="22">
        <v>134000</v>
      </c>
      <c r="E16" s="22">
        <f t="shared" si="0"/>
        <v>-123000</v>
      </c>
      <c r="F16" s="306">
        <f t="shared" si="1"/>
        <v>-0.47859922178988329</v>
      </c>
    </row>
    <row r="17" spans="1:11" ht="24" customHeight="1" x14ac:dyDescent="0.2">
      <c r="A17" s="304">
        <v>5</v>
      </c>
      <c r="B17" s="305" t="s">
        <v>20</v>
      </c>
      <c r="C17" s="22">
        <v>0</v>
      </c>
      <c r="D17" s="22">
        <v>0</v>
      </c>
      <c r="E17" s="22">
        <f t="shared" si="0"/>
        <v>0</v>
      </c>
      <c r="F17" s="306">
        <f t="shared" si="1"/>
        <v>0</v>
      </c>
    </row>
    <row r="18" spans="1:11" ht="24" customHeight="1" x14ac:dyDescent="0.2">
      <c r="A18" s="304">
        <v>6</v>
      </c>
      <c r="B18" s="305" t="s">
        <v>21</v>
      </c>
      <c r="C18" s="22">
        <v>2838000</v>
      </c>
      <c r="D18" s="22">
        <v>265000</v>
      </c>
      <c r="E18" s="22">
        <f t="shared" si="0"/>
        <v>-2573000</v>
      </c>
      <c r="F18" s="306">
        <f t="shared" si="1"/>
        <v>-0.90662438336856943</v>
      </c>
    </row>
    <row r="19" spans="1:11" ht="24" customHeight="1" x14ac:dyDescent="0.2">
      <c r="A19" s="304">
        <v>7</v>
      </c>
      <c r="B19" s="305" t="s">
        <v>22</v>
      </c>
      <c r="C19" s="22">
        <v>6403000</v>
      </c>
      <c r="D19" s="22">
        <v>7430000</v>
      </c>
      <c r="E19" s="22">
        <f t="shared" si="0"/>
        <v>1027000</v>
      </c>
      <c r="F19" s="306">
        <f t="shared" si="1"/>
        <v>0.16039356551616429</v>
      </c>
    </row>
    <row r="20" spans="1:11" ht="24" customHeight="1" x14ac:dyDescent="0.2">
      <c r="A20" s="304">
        <v>8</v>
      </c>
      <c r="B20" s="305" t="s">
        <v>23</v>
      </c>
      <c r="C20" s="22">
        <v>6626000</v>
      </c>
      <c r="D20" s="22">
        <v>7965000</v>
      </c>
      <c r="E20" s="22">
        <f t="shared" si="0"/>
        <v>1339000</v>
      </c>
      <c r="F20" s="306">
        <f t="shared" si="1"/>
        <v>0.20208270449743435</v>
      </c>
    </row>
    <row r="21" spans="1:11" ht="24" customHeight="1" x14ac:dyDescent="0.2">
      <c r="A21" s="304">
        <v>9</v>
      </c>
      <c r="B21" s="305" t="s">
        <v>24</v>
      </c>
      <c r="C21" s="22">
        <v>7606000</v>
      </c>
      <c r="D21" s="22">
        <v>11971000</v>
      </c>
      <c r="E21" s="22">
        <f t="shared" si="0"/>
        <v>4365000</v>
      </c>
      <c r="F21" s="306">
        <f t="shared" si="1"/>
        <v>0.57388903497239019</v>
      </c>
    </row>
    <row r="22" spans="1:11" ht="24" customHeight="1" x14ac:dyDescent="0.25">
      <c r="A22" s="307"/>
      <c r="B22" s="308" t="s">
        <v>25</v>
      </c>
      <c r="C22" s="309">
        <f>SUM(C13:C21)</f>
        <v>207243000</v>
      </c>
      <c r="D22" s="309">
        <f>SUM(D13:D21)</f>
        <v>240150000</v>
      </c>
      <c r="E22" s="309">
        <f t="shared" si="0"/>
        <v>32907000</v>
      </c>
      <c r="F22" s="310">
        <f t="shared" si="1"/>
        <v>0.15878461516191139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77128000</v>
      </c>
      <c r="D25" s="22">
        <v>0</v>
      </c>
      <c r="E25" s="22">
        <f>D25-C25</f>
        <v>-77128000</v>
      </c>
      <c r="F25" s="306">
        <f>IF(C25=0,0,E25/C25)</f>
        <v>-1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0</v>
      </c>
      <c r="D26" s="22">
        <v>0</v>
      </c>
      <c r="E26" s="22">
        <f>D26-C26</f>
        <v>0</v>
      </c>
      <c r="F26" s="306">
        <f>IF(C26=0,0,E26/C26)</f>
        <v>0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0</v>
      </c>
      <c r="D27" s="22">
        <v>0</v>
      </c>
      <c r="E27" s="22">
        <f>D27-C27</f>
        <v>0</v>
      </c>
      <c r="F27" s="306">
        <f>IF(C27=0,0,E27/C27)</f>
        <v>0</v>
      </c>
    </row>
    <row r="28" spans="1:11" ht="35.1" customHeight="1" x14ac:dyDescent="0.2">
      <c r="A28" s="304">
        <v>4</v>
      </c>
      <c r="B28" s="305" t="s">
        <v>31</v>
      </c>
      <c r="C28" s="22">
        <v>50025000</v>
      </c>
      <c r="D28" s="22">
        <v>47226000</v>
      </c>
      <c r="E28" s="22">
        <f>D28-C28</f>
        <v>-2799000</v>
      </c>
      <c r="F28" s="306">
        <f>IF(C28=0,0,E28/C28)</f>
        <v>-5.5952023988006E-2</v>
      </c>
    </row>
    <row r="29" spans="1:11" ht="35.1" customHeight="1" x14ac:dyDescent="0.25">
      <c r="A29" s="307"/>
      <c r="B29" s="308" t="s">
        <v>32</v>
      </c>
      <c r="C29" s="309">
        <f>SUM(C25:C28)</f>
        <v>127153000</v>
      </c>
      <c r="D29" s="309">
        <f>SUM(D25:D28)</f>
        <v>47226000</v>
      </c>
      <c r="E29" s="309">
        <f>D29-C29</f>
        <v>-79927000</v>
      </c>
      <c r="F29" s="310">
        <f>IF(C29=0,0,E29/C29)</f>
        <v>-0.62858917996429498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243057000</v>
      </c>
      <c r="D32" s="22">
        <v>205036000</v>
      </c>
      <c r="E32" s="22">
        <f>D32-C32</f>
        <v>-38021000</v>
      </c>
      <c r="F32" s="306">
        <f>IF(C32=0,0,E32/C32)</f>
        <v>-0.15642832751165364</v>
      </c>
    </row>
    <row r="33" spans="1:8" ht="24" customHeight="1" x14ac:dyDescent="0.2">
      <c r="A33" s="304">
        <v>7</v>
      </c>
      <c r="B33" s="305" t="s">
        <v>35</v>
      </c>
      <c r="C33" s="22">
        <v>34783000</v>
      </c>
      <c r="D33" s="22">
        <v>32708000</v>
      </c>
      <c r="E33" s="22">
        <f>D33-C33</f>
        <v>-2075000</v>
      </c>
      <c r="F33" s="306">
        <f>IF(C33=0,0,E33/C33)</f>
        <v>-5.9655578874737658E-2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626774000</v>
      </c>
      <c r="D36" s="22">
        <v>604936000</v>
      </c>
      <c r="E36" s="22">
        <f>D36-C36</f>
        <v>-21838000</v>
      </c>
      <c r="F36" s="306">
        <f>IF(C36=0,0,E36/C36)</f>
        <v>-3.4841904737592813E-2</v>
      </c>
    </row>
    <row r="37" spans="1:8" ht="24" customHeight="1" x14ac:dyDescent="0.2">
      <c r="A37" s="304">
        <v>2</v>
      </c>
      <c r="B37" s="305" t="s">
        <v>39</v>
      </c>
      <c r="C37" s="22">
        <v>403836000</v>
      </c>
      <c r="D37" s="22">
        <v>388290000</v>
      </c>
      <c r="E37" s="22">
        <f>D37-C37</f>
        <v>-15546000</v>
      </c>
      <c r="F37" s="22">
        <f>IF(C37=0,0,E37/C37)</f>
        <v>-3.8495825037886663E-2</v>
      </c>
    </row>
    <row r="38" spans="1:8" ht="24" customHeight="1" x14ac:dyDescent="0.25">
      <c r="A38" s="307"/>
      <c r="B38" s="308" t="s">
        <v>40</v>
      </c>
      <c r="C38" s="309">
        <f>C36-C37</f>
        <v>222938000</v>
      </c>
      <c r="D38" s="309">
        <f>D36-D37</f>
        <v>216646000</v>
      </c>
      <c r="E38" s="309">
        <f>D38-C38</f>
        <v>-6292000</v>
      </c>
      <c r="F38" s="310">
        <f>IF(C38=0,0,E38/C38)</f>
        <v>-2.822309341610672E-2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205926000</v>
      </c>
      <c r="D40" s="22">
        <v>342768000</v>
      </c>
      <c r="E40" s="22">
        <f>D40-C40</f>
        <v>136842000</v>
      </c>
      <c r="F40" s="306">
        <f>IF(C40=0,0,E40/C40)</f>
        <v>0.66452026456105595</v>
      </c>
    </row>
    <row r="41" spans="1:8" ht="24" customHeight="1" x14ac:dyDescent="0.25">
      <c r="A41" s="307"/>
      <c r="B41" s="308" t="s">
        <v>42</v>
      </c>
      <c r="C41" s="309">
        <f>+C38+C40</f>
        <v>428864000</v>
      </c>
      <c r="D41" s="309">
        <f>+D38+D40</f>
        <v>559414000</v>
      </c>
      <c r="E41" s="309">
        <f>D41-C41</f>
        <v>130550000</v>
      </c>
      <c r="F41" s="310">
        <f>IF(C41=0,0,E41/C41)</f>
        <v>0.30440885688703179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1041100000</v>
      </c>
      <c r="D43" s="309">
        <f>D22+D29+D31+D32+D33+D41</f>
        <v>1084534000</v>
      </c>
      <c r="E43" s="309">
        <f>D43-C43</f>
        <v>43434000</v>
      </c>
      <c r="F43" s="310">
        <f>IF(C43=0,0,E43/C43)</f>
        <v>4.1719335318413216E-2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81388000</v>
      </c>
      <c r="D49" s="22">
        <v>89221000</v>
      </c>
      <c r="E49" s="22">
        <f t="shared" ref="E49:E56" si="2">D49-C49</f>
        <v>7833000</v>
      </c>
      <c r="F49" s="306">
        <f t="shared" ref="F49:F56" si="3">IF(C49=0,0,E49/C49)</f>
        <v>9.6242689339951837E-2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14631000</v>
      </c>
      <c r="D50" s="22">
        <v>17725000</v>
      </c>
      <c r="E50" s="22">
        <f t="shared" si="2"/>
        <v>3094000</v>
      </c>
      <c r="F50" s="306">
        <f t="shared" si="3"/>
        <v>0.21146879912514524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17559000</v>
      </c>
      <c r="D51" s="22">
        <v>16906000</v>
      </c>
      <c r="E51" s="22">
        <f t="shared" si="2"/>
        <v>-653000</v>
      </c>
      <c r="F51" s="306">
        <f t="shared" si="3"/>
        <v>-3.7188905974144315E-2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0</v>
      </c>
      <c r="D52" s="22">
        <v>0</v>
      </c>
      <c r="E52" s="22">
        <f t="shared" si="2"/>
        <v>0</v>
      </c>
      <c r="F52" s="306">
        <f t="shared" si="3"/>
        <v>0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5802000</v>
      </c>
      <c r="D53" s="22">
        <v>5933000</v>
      </c>
      <c r="E53" s="22">
        <f t="shared" si="2"/>
        <v>131000</v>
      </c>
      <c r="F53" s="306">
        <f t="shared" si="3"/>
        <v>2.2578421234057223E-2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0</v>
      </c>
      <c r="D54" s="22">
        <v>0</v>
      </c>
      <c r="E54" s="22">
        <f t="shared" si="2"/>
        <v>0</v>
      </c>
      <c r="F54" s="306">
        <f t="shared" si="3"/>
        <v>0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20649000</v>
      </c>
      <c r="D55" s="22">
        <v>21324000</v>
      </c>
      <c r="E55" s="22">
        <f t="shared" si="2"/>
        <v>675000</v>
      </c>
      <c r="F55" s="306">
        <f t="shared" si="3"/>
        <v>3.2689234345488885E-2</v>
      </c>
    </row>
    <row r="56" spans="1:6" ht="24" customHeight="1" x14ac:dyDescent="0.25">
      <c r="A56" s="307"/>
      <c r="B56" s="308" t="s">
        <v>54</v>
      </c>
      <c r="C56" s="309">
        <f>SUM(C49:C55)</f>
        <v>140029000</v>
      </c>
      <c r="D56" s="309">
        <f>SUM(D49:D55)</f>
        <v>151109000</v>
      </c>
      <c r="E56" s="309">
        <f t="shared" si="2"/>
        <v>11080000</v>
      </c>
      <c r="F56" s="310">
        <f t="shared" si="3"/>
        <v>7.9126466660477471E-2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372853000</v>
      </c>
      <c r="D59" s="22">
        <v>366920000</v>
      </c>
      <c r="E59" s="22">
        <f>D59-C59</f>
        <v>-5933000</v>
      </c>
      <c r="F59" s="306">
        <f>IF(C59=0,0,E59/C59)</f>
        <v>-1.5912437341257815E-2</v>
      </c>
    </row>
    <row r="60" spans="1:6" ht="24" customHeight="1" x14ac:dyDescent="0.2">
      <c r="A60" s="304">
        <v>2</v>
      </c>
      <c r="B60" s="305" t="s">
        <v>57</v>
      </c>
      <c r="C60" s="22">
        <v>0</v>
      </c>
      <c r="D60" s="22">
        <v>0</v>
      </c>
      <c r="E60" s="22">
        <f>D60-C60</f>
        <v>0</v>
      </c>
      <c r="F60" s="306">
        <f>IF(C60=0,0,E60/C60)</f>
        <v>0</v>
      </c>
    </row>
    <row r="61" spans="1:6" ht="24" customHeight="1" x14ac:dyDescent="0.25">
      <c r="A61" s="307"/>
      <c r="B61" s="308" t="s">
        <v>58</v>
      </c>
      <c r="C61" s="309">
        <f>SUM(C59:C60)</f>
        <v>372853000</v>
      </c>
      <c r="D61" s="309">
        <f>SUM(D59:D60)</f>
        <v>366920000</v>
      </c>
      <c r="E61" s="309">
        <f>D61-C61</f>
        <v>-5933000</v>
      </c>
      <c r="F61" s="310">
        <f>IF(C61=0,0,E61/C61)</f>
        <v>-1.5912437341257815E-2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84427000</v>
      </c>
      <c r="D63" s="22">
        <v>90860000</v>
      </c>
      <c r="E63" s="22">
        <f>D63-C63</f>
        <v>6433000</v>
      </c>
      <c r="F63" s="306">
        <f>IF(C63=0,0,E63/C63)</f>
        <v>7.619600364812204E-2</v>
      </c>
    </row>
    <row r="64" spans="1:6" ht="24" customHeight="1" x14ac:dyDescent="0.2">
      <c r="A64" s="304">
        <v>4</v>
      </c>
      <c r="B64" s="305" t="s">
        <v>60</v>
      </c>
      <c r="C64" s="22">
        <v>34744000</v>
      </c>
      <c r="D64" s="22">
        <v>38266000</v>
      </c>
      <c r="E64" s="22">
        <f>D64-C64</f>
        <v>3522000</v>
      </c>
      <c r="F64" s="306">
        <f>IF(C64=0,0,E64/C64)</f>
        <v>0.10137002072300254</v>
      </c>
    </row>
    <row r="65" spans="1:6" ht="24" customHeight="1" x14ac:dyDescent="0.25">
      <c r="A65" s="307"/>
      <c r="B65" s="308" t="s">
        <v>61</v>
      </c>
      <c r="C65" s="309">
        <f>SUM(C61:C64)</f>
        <v>492024000</v>
      </c>
      <c r="D65" s="309">
        <f>SUM(D61:D64)</f>
        <v>496046000</v>
      </c>
      <c r="E65" s="309">
        <f>D65-C65</f>
        <v>4022000</v>
      </c>
      <c r="F65" s="310">
        <f>IF(C65=0,0,E65/C65)</f>
        <v>8.1743979968456823E-3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0</v>
      </c>
      <c r="D67" s="22">
        <v>0</v>
      </c>
      <c r="E67" s="22">
        <f>D67-C67</f>
        <v>0</v>
      </c>
      <c r="F67" s="321">
        <f>IF(C67=0,0,E67/C67)</f>
        <v>0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339225000</v>
      </c>
      <c r="D70" s="22">
        <v>344214000</v>
      </c>
      <c r="E70" s="22">
        <f>D70-C70</f>
        <v>4989000</v>
      </c>
      <c r="F70" s="306">
        <f>IF(C70=0,0,E70/C70)</f>
        <v>1.4707052841034712E-2</v>
      </c>
    </row>
    <row r="71" spans="1:6" ht="24" customHeight="1" x14ac:dyDescent="0.2">
      <c r="A71" s="304">
        <v>2</v>
      </c>
      <c r="B71" s="305" t="s">
        <v>65</v>
      </c>
      <c r="C71" s="22">
        <v>61414000</v>
      </c>
      <c r="D71" s="22">
        <v>84673000</v>
      </c>
      <c r="E71" s="22">
        <f>D71-C71</f>
        <v>23259000</v>
      </c>
      <c r="F71" s="306">
        <f>IF(C71=0,0,E71/C71)</f>
        <v>0.37872472074771224</v>
      </c>
    </row>
    <row r="72" spans="1:6" ht="24" customHeight="1" x14ac:dyDescent="0.2">
      <c r="A72" s="304">
        <v>3</v>
      </c>
      <c r="B72" s="305" t="s">
        <v>66</v>
      </c>
      <c r="C72" s="22">
        <v>8408000</v>
      </c>
      <c r="D72" s="22">
        <v>8492000</v>
      </c>
      <c r="E72" s="22">
        <f>D72-C72</f>
        <v>84000</v>
      </c>
      <c r="F72" s="306">
        <f>IF(C72=0,0,E72/C72)</f>
        <v>9.990485252140819E-3</v>
      </c>
    </row>
    <row r="73" spans="1:6" ht="24" customHeight="1" x14ac:dyDescent="0.25">
      <c r="A73" s="304"/>
      <c r="B73" s="308" t="s">
        <v>67</v>
      </c>
      <c r="C73" s="309">
        <f>SUM(C70:C72)</f>
        <v>409047000</v>
      </c>
      <c r="D73" s="309">
        <f>SUM(D70:D72)</f>
        <v>437379000</v>
      </c>
      <c r="E73" s="309">
        <f>D73-C73</f>
        <v>28332000</v>
      </c>
      <c r="F73" s="310">
        <f>IF(C73=0,0,E73/C73)</f>
        <v>6.9263434275278882E-2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1041100000</v>
      </c>
      <c r="D75" s="309">
        <f>D56+D65+D67+D73</f>
        <v>1084534000</v>
      </c>
      <c r="E75" s="309">
        <f>D75-C75</f>
        <v>43434000</v>
      </c>
      <c r="F75" s="310">
        <f>IF(C75=0,0,E75/C75)</f>
        <v>4.1719335318413216E-2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FILING&amp;RSTAMFORD HEALTH INC (FORMERLY STAMFORD HEALTH SYSTEM, INC)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1860699164</v>
      </c>
      <c r="D11" s="76">
        <v>1977312635</v>
      </c>
      <c r="E11" s="76">
        <f t="shared" ref="E11:E20" si="0">D11-C11</f>
        <v>116613471</v>
      </c>
      <c r="F11" s="77">
        <f t="shared" ref="F11:F20" si="1">IF(C11=0,0,E11/C11)</f>
        <v>6.2671856502215309E-2</v>
      </c>
    </row>
    <row r="12" spans="1:7" ht="23.1" customHeight="1" x14ac:dyDescent="0.2">
      <c r="A12" s="74">
        <v>2</v>
      </c>
      <c r="B12" s="75" t="s">
        <v>72</v>
      </c>
      <c r="C12" s="76">
        <v>1292614467</v>
      </c>
      <c r="D12" s="76">
        <v>1394439721</v>
      </c>
      <c r="E12" s="76">
        <f t="shared" si="0"/>
        <v>101825254</v>
      </c>
      <c r="F12" s="77">
        <f t="shared" si="1"/>
        <v>7.8774651374840285E-2</v>
      </c>
    </row>
    <row r="13" spans="1:7" ht="23.1" customHeight="1" x14ac:dyDescent="0.2">
      <c r="A13" s="74">
        <v>3</v>
      </c>
      <c r="B13" s="75" t="s">
        <v>73</v>
      </c>
      <c r="C13" s="76">
        <v>30293187</v>
      </c>
      <c r="D13" s="76">
        <v>32247209</v>
      </c>
      <c r="E13" s="76">
        <f t="shared" si="0"/>
        <v>1954022</v>
      </c>
      <c r="F13" s="77">
        <f t="shared" si="1"/>
        <v>6.4503678665437214E-2</v>
      </c>
    </row>
    <row r="14" spans="1:7" ht="23.1" customHeight="1" x14ac:dyDescent="0.2">
      <c r="A14" s="74">
        <v>4</v>
      </c>
      <c r="B14" s="75" t="s">
        <v>74</v>
      </c>
      <c r="C14" s="76">
        <v>0</v>
      </c>
      <c r="D14" s="76">
        <v>0</v>
      </c>
      <c r="E14" s="76">
        <f t="shared" si="0"/>
        <v>0</v>
      </c>
      <c r="F14" s="77">
        <f t="shared" si="1"/>
        <v>0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537791510</v>
      </c>
      <c r="D15" s="79">
        <f>D11-D12-D13-D14</f>
        <v>550625705</v>
      </c>
      <c r="E15" s="79">
        <f t="shared" si="0"/>
        <v>12834195</v>
      </c>
      <c r="F15" s="80">
        <f t="shared" si="1"/>
        <v>2.3864629250097309E-2</v>
      </c>
    </row>
    <row r="16" spans="1:7" ht="23.1" customHeight="1" x14ac:dyDescent="0.2">
      <c r="A16" s="74">
        <v>5</v>
      </c>
      <c r="B16" s="75" t="s">
        <v>76</v>
      </c>
      <c r="C16" s="76">
        <v>41755223</v>
      </c>
      <c r="D16" s="76">
        <v>29514758</v>
      </c>
      <c r="E16" s="76">
        <f t="shared" si="0"/>
        <v>-12240465</v>
      </c>
      <c r="F16" s="77">
        <f t="shared" si="1"/>
        <v>-0.29314811706310367</v>
      </c>
      <c r="G16" s="65"/>
    </row>
    <row r="17" spans="1:7" ht="31.5" customHeight="1" x14ac:dyDescent="0.25">
      <c r="A17" s="71"/>
      <c r="B17" s="81" t="s">
        <v>77</v>
      </c>
      <c r="C17" s="79">
        <f>C15-C16</f>
        <v>496036287</v>
      </c>
      <c r="D17" s="79">
        <f>D15-D16</f>
        <v>521110947</v>
      </c>
      <c r="E17" s="79">
        <f t="shared" si="0"/>
        <v>25074660</v>
      </c>
      <c r="F17" s="80">
        <f t="shared" si="1"/>
        <v>5.0550051794900241E-2</v>
      </c>
    </row>
    <row r="18" spans="1:7" ht="23.1" customHeight="1" x14ac:dyDescent="0.2">
      <c r="A18" s="74">
        <v>6</v>
      </c>
      <c r="B18" s="75" t="s">
        <v>78</v>
      </c>
      <c r="C18" s="76">
        <v>24336869</v>
      </c>
      <c r="D18" s="76">
        <v>17681618</v>
      </c>
      <c r="E18" s="76">
        <f t="shared" si="0"/>
        <v>-6655251</v>
      </c>
      <c r="F18" s="77">
        <f t="shared" si="1"/>
        <v>-0.27346373109868816</v>
      </c>
      <c r="G18" s="65"/>
    </row>
    <row r="19" spans="1:7" ht="33" customHeight="1" x14ac:dyDescent="0.2">
      <c r="A19" s="74">
        <v>7</v>
      </c>
      <c r="B19" s="82" t="s">
        <v>79</v>
      </c>
      <c r="C19" s="76">
        <v>1495297</v>
      </c>
      <c r="D19" s="76">
        <v>1638154</v>
      </c>
      <c r="E19" s="76">
        <f t="shared" si="0"/>
        <v>142857</v>
      </c>
      <c r="F19" s="77">
        <f t="shared" si="1"/>
        <v>9.5537542040143197E-2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521868453</v>
      </c>
      <c r="D20" s="79">
        <f>SUM(D17:D19)</f>
        <v>540430719</v>
      </c>
      <c r="E20" s="79">
        <f t="shared" si="0"/>
        <v>18562266</v>
      </c>
      <c r="F20" s="80">
        <f t="shared" si="1"/>
        <v>3.5568860108890314E-2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230172455</v>
      </c>
      <c r="D23" s="76">
        <v>240551991</v>
      </c>
      <c r="E23" s="76">
        <f t="shared" ref="E23:E32" si="2">D23-C23</f>
        <v>10379536</v>
      </c>
      <c r="F23" s="77">
        <f t="shared" ref="F23:F32" si="3">IF(C23=0,0,E23/C23)</f>
        <v>4.5094605260216733E-2</v>
      </c>
    </row>
    <row r="24" spans="1:7" ht="23.1" customHeight="1" x14ac:dyDescent="0.2">
      <c r="A24" s="74">
        <v>2</v>
      </c>
      <c r="B24" s="75" t="s">
        <v>83</v>
      </c>
      <c r="C24" s="76">
        <v>53247236</v>
      </c>
      <c r="D24" s="76">
        <v>55661609</v>
      </c>
      <c r="E24" s="76">
        <f t="shared" si="2"/>
        <v>2414373</v>
      </c>
      <c r="F24" s="77">
        <f t="shared" si="3"/>
        <v>4.5342691590601995E-2</v>
      </c>
    </row>
    <row r="25" spans="1:7" ht="23.1" customHeight="1" x14ac:dyDescent="0.2">
      <c r="A25" s="74">
        <v>3</v>
      </c>
      <c r="B25" s="75" t="s">
        <v>84</v>
      </c>
      <c r="C25" s="76">
        <v>11954200</v>
      </c>
      <c r="D25" s="76">
        <v>12722131</v>
      </c>
      <c r="E25" s="76">
        <f t="shared" si="2"/>
        <v>767931</v>
      </c>
      <c r="F25" s="77">
        <f t="shared" si="3"/>
        <v>6.4239430493048463E-2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65872580</v>
      </c>
      <c r="D26" s="76">
        <v>65446195</v>
      </c>
      <c r="E26" s="76">
        <f t="shared" si="2"/>
        <v>-426385</v>
      </c>
      <c r="F26" s="77">
        <f t="shared" si="3"/>
        <v>-6.4728753602788895E-3</v>
      </c>
    </row>
    <row r="27" spans="1:7" ht="23.1" customHeight="1" x14ac:dyDescent="0.2">
      <c r="A27" s="74">
        <v>5</v>
      </c>
      <c r="B27" s="75" t="s">
        <v>86</v>
      </c>
      <c r="C27" s="76">
        <v>25517943</v>
      </c>
      <c r="D27" s="76">
        <v>25572224</v>
      </c>
      <c r="E27" s="76">
        <f t="shared" si="2"/>
        <v>54281</v>
      </c>
      <c r="F27" s="77">
        <f t="shared" si="3"/>
        <v>2.1271698898300698E-3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6171167</v>
      </c>
      <c r="D29" s="76">
        <v>5899903</v>
      </c>
      <c r="E29" s="76">
        <f t="shared" si="2"/>
        <v>-271264</v>
      </c>
      <c r="F29" s="77">
        <f t="shared" si="3"/>
        <v>-4.3956677886046513E-2</v>
      </c>
    </row>
    <row r="30" spans="1:7" ht="23.1" customHeight="1" x14ac:dyDescent="0.2">
      <c r="A30" s="74">
        <v>8</v>
      </c>
      <c r="B30" s="75" t="s">
        <v>89</v>
      </c>
      <c r="C30" s="76">
        <v>4032777</v>
      </c>
      <c r="D30" s="76">
        <v>1546684</v>
      </c>
      <c r="E30" s="76">
        <f t="shared" si="2"/>
        <v>-2486093</v>
      </c>
      <c r="F30" s="77">
        <f t="shared" si="3"/>
        <v>-0.6164717265546793</v>
      </c>
    </row>
    <row r="31" spans="1:7" ht="23.1" customHeight="1" x14ac:dyDescent="0.2">
      <c r="A31" s="74">
        <v>9</v>
      </c>
      <c r="B31" s="75" t="s">
        <v>90</v>
      </c>
      <c r="C31" s="76">
        <v>116341673</v>
      </c>
      <c r="D31" s="76">
        <v>118045071</v>
      </c>
      <c r="E31" s="76">
        <f t="shared" si="2"/>
        <v>1703398</v>
      </c>
      <c r="F31" s="77">
        <f t="shared" si="3"/>
        <v>1.4641340081124672E-2</v>
      </c>
    </row>
    <row r="32" spans="1:7" ht="23.1" customHeight="1" x14ac:dyDescent="0.25">
      <c r="A32" s="71"/>
      <c r="B32" s="78" t="s">
        <v>91</v>
      </c>
      <c r="C32" s="79">
        <f>SUM(C23:C31)</f>
        <v>513310031</v>
      </c>
      <c r="D32" s="79">
        <f>SUM(D23:D31)</f>
        <v>525445808</v>
      </c>
      <c r="E32" s="79">
        <f t="shared" si="2"/>
        <v>12135777</v>
      </c>
      <c r="F32" s="80">
        <f t="shared" si="3"/>
        <v>2.36421972435602E-2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8558422</v>
      </c>
      <c r="D34" s="79">
        <f>+D20-D32</f>
        <v>14984911</v>
      </c>
      <c r="E34" s="79">
        <f>D34-C34</f>
        <v>6426489</v>
      </c>
      <c r="F34" s="80">
        <f>IF(C34=0,0,E34/C34)</f>
        <v>0.75089648535676323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6206881</v>
      </c>
      <c r="D37" s="76">
        <v>-3158606</v>
      </c>
      <c r="E37" s="76">
        <f>D37-C37</f>
        <v>-9365487</v>
      </c>
      <c r="F37" s="77">
        <f>IF(C37=0,0,E37/C37)</f>
        <v>-1.5088877972688699</v>
      </c>
    </row>
    <row r="38" spans="1:6" ht="23.1" customHeight="1" x14ac:dyDescent="0.2">
      <c r="A38" s="85">
        <v>2</v>
      </c>
      <c r="B38" s="75" t="s">
        <v>95</v>
      </c>
      <c r="C38" s="76">
        <v>0</v>
      </c>
      <c r="D38" s="76">
        <v>0</v>
      </c>
      <c r="E38" s="76">
        <f>D38-C38</f>
        <v>0</v>
      </c>
      <c r="F38" s="77">
        <f>IF(C38=0,0,E38/C38)</f>
        <v>0</v>
      </c>
    </row>
    <row r="39" spans="1:6" ht="23.1" customHeight="1" x14ac:dyDescent="0.2">
      <c r="A39" s="85">
        <v>3</v>
      </c>
      <c r="B39" s="75" t="s">
        <v>96</v>
      </c>
      <c r="C39" s="76">
        <v>1185087</v>
      </c>
      <c r="D39" s="76">
        <v>8390290</v>
      </c>
      <c r="E39" s="76">
        <f>D39-C39</f>
        <v>7205203</v>
      </c>
      <c r="F39" s="77">
        <f>IF(C39=0,0,E39/C39)</f>
        <v>6.0798937124447407</v>
      </c>
    </row>
    <row r="40" spans="1:6" ht="23.1" customHeight="1" x14ac:dyDescent="0.25">
      <c r="A40" s="83"/>
      <c r="B40" s="78" t="s">
        <v>97</v>
      </c>
      <c r="C40" s="79">
        <f>SUM(C37:C39)</f>
        <v>7391968</v>
      </c>
      <c r="D40" s="79">
        <f>SUM(D37:D39)</f>
        <v>5231684</v>
      </c>
      <c r="E40" s="79">
        <f>D40-C40</f>
        <v>-2160284</v>
      </c>
      <c r="F40" s="80">
        <f>IF(C40=0,0,E40/C40)</f>
        <v>-0.29224747726180633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15950390</v>
      </c>
      <c r="D42" s="79">
        <f>D34+D40</f>
        <v>20216595</v>
      </c>
      <c r="E42" s="79">
        <f>D42-C42</f>
        <v>4266205</v>
      </c>
      <c r="F42" s="80">
        <f>IF(C42=0,0,E42/C42)</f>
        <v>0.26746712776302023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1586055</v>
      </c>
      <c r="D45" s="76">
        <v>-7809620</v>
      </c>
      <c r="E45" s="76">
        <f>D45-C45</f>
        <v>-9395675</v>
      </c>
      <c r="F45" s="77">
        <f>IF(C45=0,0,E45/C45)</f>
        <v>-5.9239276065458011</v>
      </c>
    </row>
    <row r="46" spans="1:6" ht="23.1" customHeight="1" x14ac:dyDescent="0.2">
      <c r="A46" s="85"/>
      <c r="B46" s="75" t="s">
        <v>101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5">
      <c r="A47" s="83"/>
      <c r="B47" s="78" t="s">
        <v>102</v>
      </c>
      <c r="C47" s="79">
        <f>SUM(C45:C46)</f>
        <v>1586055</v>
      </c>
      <c r="D47" s="79">
        <f>SUM(D45:D46)</f>
        <v>-7809620</v>
      </c>
      <c r="E47" s="79">
        <f>D47-C47</f>
        <v>-9395675</v>
      </c>
      <c r="F47" s="80">
        <f>IF(C47=0,0,E47/C47)</f>
        <v>-5.9239276065458011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17536445</v>
      </c>
      <c r="D49" s="79">
        <f>D42+D47</f>
        <v>12406975</v>
      </c>
      <c r="E49" s="79">
        <f>D49-C49</f>
        <v>-5129470</v>
      </c>
      <c r="F49" s="80">
        <f>IF(C49=0,0,E49/C49)</f>
        <v>-0.29250341217960651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paperSize="9" scale="74" orientation="portrait" horizontalDpi="1200" verticalDpi="1200" r:id="rId1"/>
  <headerFooter>
    <oddHeader>&amp;L&amp;8OFFICE OF HEALTH CARE ACCESS&amp;C&amp;8TWELVE MONTHS ACTUAL FILING&amp;R&amp;8STAMFORD HEALTH INC (FORMERLY STAMFORD HEALTH SYSTEM, INC)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Ciesones, Ron</cp:lastModifiedBy>
  <cp:lastPrinted>2016-07-20T11:52:40Z</cp:lastPrinted>
  <dcterms:created xsi:type="dcterms:W3CDTF">2016-07-19T18:44:52Z</dcterms:created>
  <dcterms:modified xsi:type="dcterms:W3CDTF">2016-07-20T11:53:43Z</dcterms:modified>
</cp:coreProperties>
</file>