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Report485!$A$11:$F$35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102" i="22" l="1"/>
  <c r="C102" i="22"/>
  <c r="E97" i="22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E103" i="22"/>
  <c r="D83" i="22"/>
  <c r="D102" i="22"/>
  <c r="C83" i="22"/>
  <c r="C101" i="22"/>
  <c r="C103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34" i="22"/>
  <c r="C34" i="22"/>
  <c r="E28" i="22"/>
  <c r="D28" i="22"/>
  <c r="C28" i="22"/>
  <c r="E27" i="22"/>
  <c r="D27" i="22"/>
  <c r="C27" i="22"/>
  <c r="E23" i="22"/>
  <c r="E111" i="22"/>
  <c r="C23" i="22"/>
  <c r="C111" i="22"/>
  <c r="E21" i="22"/>
  <c r="D21" i="22"/>
  <c r="C21" i="22"/>
  <c r="E12" i="22"/>
  <c r="E33" i="22"/>
  <c r="D12" i="22"/>
  <c r="D34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D239" i="18"/>
  <c r="E239" i="18"/>
  <c r="C215" i="18"/>
  <c r="C239" i="18"/>
  <c r="D210" i="18"/>
  <c r="E209" i="18"/>
  <c r="E208" i="18"/>
  <c r="E207" i="18"/>
  <c r="E206" i="18"/>
  <c r="D205" i="18"/>
  <c r="D229" i="18"/>
  <c r="C205" i="18"/>
  <c r="C229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75" i="18"/>
  <c r="C139" i="18"/>
  <c r="C163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D54" i="18"/>
  <c r="C54" i="18"/>
  <c r="C55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D294" i="18"/>
  <c r="C32" i="18"/>
  <c r="C33" i="18"/>
  <c r="E31" i="18"/>
  <c r="E30" i="18"/>
  <c r="E29" i="18"/>
  <c r="E28" i="18"/>
  <c r="E27" i="18"/>
  <c r="E26" i="18"/>
  <c r="E25" i="18"/>
  <c r="C22" i="18"/>
  <c r="C284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C290" i="17"/>
  <c r="D191" i="17"/>
  <c r="D280" i="17"/>
  <c r="C191" i="17"/>
  <c r="C280" i="17"/>
  <c r="D189" i="17"/>
  <c r="C189" i="17"/>
  <c r="C278" i="17"/>
  <c r="D188" i="17"/>
  <c r="C188" i="17"/>
  <c r="C277" i="17"/>
  <c r="F180" i="17"/>
  <c r="D180" i="17"/>
  <c r="E180" i="17"/>
  <c r="C180" i="17"/>
  <c r="F179" i="17"/>
  <c r="D179" i="17"/>
  <c r="E179" i="17"/>
  <c r="C179" i="17"/>
  <c r="C181" i="17"/>
  <c r="F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E145" i="17"/>
  <c r="F145" i="17"/>
  <c r="C145" i="17"/>
  <c r="D144" i="17"/>
  <c r="E144" i="17"/>
  <c r="F144" i="17"/>
  <c r="C144" i="17"/>
  <c r="C146" i="17"/>
  <c r="D136" i="17"/>
  <c r="D137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D192" i="17"/>
  <c r="C12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D109" i="17"/>
  <c r="D111" i="17"/>
  <c r="E111" i="17"/>
  <c r="C109" i="17"/>
  <c r="C111" i="17"/>
  <c r="D101" i="17"/>
  <c r="D102" i="17"/>
  <c r="C101" i="17"/>
  <c r="C102" i="17"/>
  <c r="D100" i="17"/>
  <c r="E100" i="17"/>
  <c r="F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E85" i="17"/>
  <c r="F85" i="17"/>
  <c r="C85" i="17"/>
  <c r="E84" i="17"/>
  <c r="F84" i="17"/>
  <c r="E83" i="17"/>
  <c r="F83" i="17"/>
  <c r="D76" i="17"/>
  <c r="D77" i="17"/>
  <c r="E77" i="17"/>
  <c r="C76" i="17"/>
  <c r="C77" i="17"/>
  <c r="E74" i="17"/>
  <c r="F74" i="17"/>
  <c r="E73" i="17"/>
  <c r="F73" i="17"/>
  <c r="D67" i="17"/>
  <c r="C67" i="17"/>
  <c r="D66" i="17"/>
  <c r="D68" i="17"/>
  <c r="E68" i="17"/>
  <c r="C66" i="17"/>
  <c r="C68" i="17"/>
  <c r="D59" i="17"/>
  <c r="D60" i="17"/>
  <c r="C59" i="17"/>
  <c r="C60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C30" i="17"/>
  <c r="C31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8" i="16"/>
  <c r="E28" i="16"/>
  <c r="F28" i="16"/>
  <c r="C28" i="16"/>
  <c r="F27" i="16"/>
  <c r="E27" i="16"/>
  <c r="F26" i="16"/>
  <c r="E26" i="16"/>
  <c r="F25" i="16"/>
  <c r="E25" i="16"/>
  <c r="F24" i="16"/>
  <c r="E24" i="16"/>
  <c r="D21" i="16"/>
  <c r="E21" i="16"/>
  <c r="F21" i="16"/>
  <c r="C21" i="16"/>
  <c r="F20" i="16"/>
  <c r="E20" i="16"/>
  <c r="F19" i="16"/>
  <c r="E19" i="16"/>
  <c r="F18" i="16"/>
  <c r="E18" i="16"/>
  <c r="D15" i="16"/>
  <c r="E15" i="16"/>
  <c r="F15" i="16"/>
  <c r="C15" i="16"/>
  <c r="F14" i="16"/>
  <c r="E14" i="16"/>
  <c r="F13" i="16"/>
  <c r="E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F31" i="14"/>
  <c r="D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61" i="13"/>
  <c r="E57" i="13"/>
  <c r="C59" i="13"/>
  <c r="C61" i="13"/>
  <c r="C57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F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F76" i="9"/>
  <c r="D76" i="9"/>
  <c r="E76" i="9"/>
  <c r="C76" i="9"/>
  <c r="F75" i="9"/>
  <c r="D75" i="9"/>
  <c r="E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C164" i="8"/>
  <c r="E162" i="8"/>
  <c r="D162" i="8"/>
  <c r="C162" i="8"/>
  <c r="E161" i="8"/>
  <c r="D161" i="8"/>
  <c r="C161" i="8"/>
  <c r="E160" i="8"/>
  <c r="E166" i="8"/>
  <c r="D160" i="8"/>
  <c r="D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D95" i="8"/>
  <c r="C95" i="8"/>
  <c r="E94" i="8"/>
  <c r="D94" i="8"/>
  <c r="C94" i="8"/>
  <c r="E89" i="8"/>
  <c r="D89" i="8"/>
  <c r="C89" i="8"/>
  <c r="E87" i="8"/>
  <c r="D87" i="8"/>
  <c r="C87" i="8"/>
  <c r="E84" i="8"/>
  <c r="D84" i="8"/>
  <c r="C84" i="8"/>
  <c r="E83" i="8"/>
  <c r="D83" i="8"/>
  <c r="C83" i="8"/>
  <c r="E79" i="8"/>
  <c r="D79" i="8"/>
  <c r="C79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E15" i="8"/>
  <c r="E24" i="8"/>
  <c r="C15" i="8"/>
  <c r="C24" i="8"/>
  <c r="E13" i="8"/>
  <c r="E25" i="8"/>
  <c r="E27" i="8"/>
  <c r="D13" i="8"/>
  <c r="D25" i="8"/>
  <c r="D27" i="8"/>
  <c r="C13" i="8"/>
  <c r="C25" i="8"/>
  <c r="C27" i="8"/>
  <c r="E186" i="7"/>
  <c r="F186" i="7"/>
  <c r="D183" i="7"/>
  <c r="D188" i="7"/>
  <c r="C183" i="7"/>
  <c r="F182" i="7"/>
  <c r="E182" i="7"/>
  <c r="E181" i="7"/>
  <c r="F181" i="7"/>
  <c r="F180" i="7"/>
  <c r="E180" i="7"/>
  <c r="E179" i="7"/>
  <c r="F179" i="7"/>
  <c r="E178" i="7"/>
  <c r="F178" i="7"/>
  <c r="E177" i="7"/>
  <c r="F177" i="7"/>
  <c r="E176" i="7"/>
  <c r="F176" i="7"/>
  <c r="E175" i="7"/>
  <c r="F175" i="7"/>
  <c r="E174" i="7"/>
  <c r="F174" i="7"/>
  <c r="E173" i="7"/>
  <c r="F173" i="7"/>
  <c r="E172" i="7"/>
  <c r="F172" i="7"/>
  <c r="E171" i="7"/>
  <c r="F171" i="7"/>
  <c r="E170" i="7"/>
  <c r="F170" i="7"/>
  <c r="D167" i="7"/>
  <c r="C167" i="7"/>
  <c r="E166" i="7"/>
  <c r="F166" i="7"/>
  <c r="E165" i="7"/>
  <c r="F165" i="7"/>
  <c r="E164" i="7"/>
  <c r="F164" i="7"/>
  <c r="E163" i="7"/>
  <c r="F163" i="7"/>
  <c r="F162" i="7"/>
  <c r="E162" i="7"/>
  <c r="F161" i="7"/>
  <c r="E161" i="7"/>
  <c r="E160" i="7"/>
  <c r="F160" i="7"/>
  <c r="F159" i="7"/>
  <c r="E159" i="7"/>
  <c r="F158" i="7"/>
  <c r="E158" i="7"/>
  <c r="E157" i="7"/>
  <c r="F157" i="7"/>
  <c r="E156" i="7"/>
  <c r="F156" i="7"/>
  <c r="E155" i="7"/>
  <c r="F155" i="7"/>
  <c r="E154" i="7"/>
  <c r="F154" i="7"/>
  <c r="F153" i="7"/>
  <c r="E153" i="7"/>
  <c r="F152" i="7"/>
  <c r="E152" i="7"/>
  <c r="F151" i="7"/>
  <c r="E151" i="7"/>
  <c r="E150" i="7"/>
  <c r="F150" i="7"/>
  <c r="F149" i="7"/>
  <c r="E149" i="7"/>
  <c r="F148" i="7"/>
  <c r="E148" i="7"/>
  <c r="F147" i="7"/>
  <c r="E147" i="7"/>
  <c r="E146" i="7"/>
  <c r="F146" i="7"/>
  <c r="E145" i="7"/>
  <c r="F145" i="7"/>
  <c r="F144" i="7"/>
  <c r="E144" i="7"/>
  <c r="E143" i="7"/>
  <c r="F143" i="7"/>
  <c r="E142" i="7"/>
  <c r="F142" i="7"/>
  <c r="E141" i="7"/>
  <c r="F141" i="7"/>
  <c r="E140" i="7"/>
  <c r="F140" i="7"/>
  <c r="E139" i="7"/>
  <c r="F139" i="7"/>
  <c r="E138" i="7"/>
  <c r="F138" i="7"/>
  <c r="E137" i="7"/>
  <c r="F137" i="7"/>
  <c r="E136" i="7"/>
  <c r="F136" i="7"/>
  <c r="E135" i="7"/>
  <c r="F135" i="7"/>
  <c r="E134" i="7"/>
  <c r="F134" i="7"/>
  <c r="E133" i="7"/>
  <c r="F133" i="7"/>
  <c r="D130" i="7"/>
  <c r="C130" i="7"/>
  <c r="F129" i="7"/>
  <c r="E129" i="7"/>
  <c r="E128" i="7"/>
  <c r="F128" i="7"/>
  <c r="E127" i="7"/>
  <c r="F127" i="7"/>
  <c r="E126" i="7"/>
  <c r="F126" i="7"/>
  <c r="E125" i="7"/>
  <c r="F125" i="7"/>
  <c r="E124" i="7"/>
  <c r="F124" i="7"/>
  <c r="D121" i="7"/>
  <c r="C121" i="7"/>
  <c r="E120" i="7"/>
  <c r="F120" i="7"/>
  <c r="E119" i="7"/>
  <c r="F119" i="7"/>
  <c r="E118" i="7"/>
  <c r="F118" i="7"/>
  <c r="E117" i="7"/>
  <c r="F117" i="7"/>
  <c r="E116" i="7"/>
  <c r="F116" i="7"/>
  <c r="E115" i="7"/>
  <c r="F115" i="7"/>
  <c r="E114" i="7"/>
  <c r="F114" i="7"/>
  <c r="E113" i="7"/>
  <c r="F113" i="7"/>
  <c r="E112" i="7"/>
  <c r="F112" i="7"/>
  <c r="E111" i="7"/>
  <c r="F111" i="7"/>
  <c r="E110" i="7"/>
  <c r="F110" i="7"/>
  <c r="E109" i="7"/>
  <c r="F109" i="7"/>
  <c r="E108" i="7"/>
  <c r="F108" i="7"/>
  <c r="F107" i="7"/>
  <c r="E107" i="7"/>
  <c r="E106" i="7"/>
  <c r="F106" i="7"/>
  <c r="E105" i="7"/>
  <c r="F105" i="7"/>
  <c r="E104" i="7"/>
  <c r="F104" i="7"/>
  <c r="E103" i="7"/>
  <c r="F103" i="7"/>
  <c r="F93" i="7"/>
  <c r="E93" i="7"/>
  <c r="D90" i="7"/>
  <c r="C90" i="7"/>
  <c r="E89" i="7"/>
  <c r="F89" i="7"/>
  <c r="E88" i="7"/>
  <c r="F88" i="7"/>
  <c r="E87" i="7"/>
  <c r="F87" i="7"/>
  <c r="E86" i="7"/>
  <c r="F86" i="7"/>
  <c r="E85" i="7"/>
  <c r="F85" i="7"/>
  <c r="E84" i="7"/>
  <c r="F84" i="7"/>
  <c r="E83" i="7"/>
  <c r="F83" i="7"/>
  <c r="E82" i="7"/>
  <c r="F82" i="7"/>
  <c r="E81" i="7"/>
  <c r="F81" i="7"/>
  <c r="E80" i="7"/>
  <c r="F80" i="7"/>
  <c r="E79" i="7"/>
  <c r="F79" i="7"/>
  <c r="F78" i="7"/>
  <c r="E78" i="7"/>
  <c r="E77" i="7"/>
  <c r="F77" i="7"/>
  <c r="E76" i="7"/>
  <c r="F76" i="7"/>
  <c r="E75" i="7"/>
  <c r="F75" i="7"/>
  <c r="E74" i="7"/>
  <c r="F74" i="7"/>
  <c r="E73" i="7"/>
  <c r="F73" i="7"/>
  <c r="E72" i="7"/>
  <c r="F72" i="7"/>
  <c r="E71" i="7"/>
  <c r="F71" i="7"/>
  <c r="E70" i="7"/>
  <c r="F70" i="7"/>
  <c r="E69" i="7"/>
  <c r="F69" i="7"/>
  <c r="E68" i="7"/>
  <c r="F68" i="7"/>
  <c r="E67" i="7"/>
  <c r="F67" i="7"/>
  <c r="E66" i="7"/>
  <c r="F66" i="7"/>
  <c r="E65" i="7"/>
  <c r="F65" i="7"/>
  <c r="E64" i="7"/>
  <c r="F64" i="7"/>
  <c r="E63" i="7"/>
  <c r="F63" i="7"/>
  <c r="E62" i="7"/>
  <c r="F62" i="7"/>
  <c r="D59" i="7"/>
  <c r="C59" i="7"/>
  <c r="C95" i="7"/>
  <c r="E58" i="7"/>
  <c r="F58" i="7"/>
  <c r="E57" i="7"/>
  <c r="F57" i="7"/>
  <c r="E56" i="7"/>
  <c r="F56" i="7"/>
  <c r="F55" i="7"/>
  <c r="E55" i="7"/>
  <c r="E54" i="7"/>
  <c r="F54" i="7"/>
  <c r="E53" i="7"/>
  <c r="F53" i="7"/>
  <c r="E50" i="7"/>
  <c r="F50" i="7"/>
  <c r="E47" i="7"/>
  <c r="F47" i="7"/>
  <c r="F44" i="7"/>
  <c r="E44" i="7"/>
  <c r="D41" i="7"/>
  <c r="C41" i="7"/>
  <c r="E41" i="7"/>
  <c r="F40" i="7"/>
  <c r="E40" i="7"/>
  <c r="E39" i="7"/>
  <c r="F39" i="7"/>
  <c r="E38" i="7"/>
  <c r="F38" i="7"/>
  <c r="D35" i="7"/>
  <c r="C35" i="7"/>
  <c r="E35" i="7"/>
  <c r="E34" i="7"/>
  <c r="F34" i="7"/>
  <c r="E33" i="7"/>
  <c r="F33" i="7"/>
  <c r="D30" i="7"/>
  <c r="C30" i="7"/>
  <c r="E30" i="7"/>
  <c r="E29" i="7"/>
  <c r="F29" i="7"/>
  <c r="E28" i="7"/>
  <c r="F28" i="7"/>
  <c r="E27" i="7"/>
  <c r="F27" i="7"/>
  <c r="D24" i="7"/>
  <c r="C24" i="7"/>
  <c r="E24" i="7"/>
  <c r="E23" i="7"/>
  <c r="F23" i="7"/>
  <c r="F22" i="7"/>
  <c r="E22" i="7"/>
  <c r="E21" i="7"/>
  <c r="F21" i="7"/>
  <c r="D18" i="7"/>
  <c r="C18" i="7"/>
  <c r="E18" i="7"/>
  <c r="E17" i="7"/>
  <c r="F17" i="7"/>
  <c r="F16" i="7"/>
  <c r="E16" i="7"/>
  <c r="E15" i="7"/>
  <c r="F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E41" i="6"/>
  <c r="F41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F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D22" i="22"/>
  <c r="C30" i="22"/>
  <c r="E30" i="22"/>
  <c r="D33" i="22"/>
  <c r="C36" i="22"/>
  <c r="E36" i="22"/>
  <c r="C40" i="22"/>
  <c r="E40" i="22"/>
  <c r="C46" i="22"/>
  <c r="E46" i="22"/>
  <c r="C54" i="22"/>
  <c r="E54" i="22"/>
  <c r="D101" i="22"/>
  <c r="D103" i="22"/>
  <c r="E23" i="17"/>
  <c r="F23" i="17"/>
  <c r="E24" i="17"/>
  <c r="E29" i="17"/>
  <c r="F29" i="17"/>
  <c r="E36" i="17"/>
  <c r="E44" i="17"/>
  <c r="F44" i="17"/>
  <c r="C22" i="22"/>
  <c r="E22" i="22"/>
  <c r="D23" i="22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E294" i="17"/>
  <c r="F294" i="17"/>
  <c r="E295" i="17"/>
  <c r="E296" i="17"/>
  <c r="F296" i="17"/>
  <c r="E297" i="17"/>
  <c r="E298" i="17"/>
  <c r="E299" i="17"/>
  <c r="C22" i="19"/>
  <c r="E33" i="18"/>
  <c r="D258" i="18"/>
  <c r="D101" i="18"/>
  <c r="D99" i="18"/>
  <c r="D97" i="18"/>
  <c r="D95" i="18"/>
  <c r="D88" i="18"/>
  <c r="D86" i="18"/>
  <c r="D84" i="18"/>
  <c r="D100" i="18"/>
  <c r="D98" i="18"/>
  <c r="D96" i="18"/>
  <c r="D89" i="18"/>
  <c r="D87" i="18"/>
  <c r="D85" i="18"/>
  <c r="D83" i="18"/>
  <c r="E44" i="18"/>
  <c r="D259" i="18"/>
  <c r="E43" i="18"/>
  <c r="C258" i="18"/>
  <c r="C100" i="18"/>
  <c r="C98" i="18"/>
  <c r="C96" i="18"/>
  <c r="C102" i="18"/>
  <c r="C89" i="18"/>
  <c r="C87" i="18"/>
  <c r="C85" i="18"/>
  <c r="C83" i="18"/>
  <c r="C91" i="18"/>
  <c r="C101" i="18"/>
  <c r="C99" i="18"/>
  <c r="C97" i="18"/>
  <c r="C95" i="18"/>
  <c r="C103" i="18"/>
  <c r="C88" i="18"/>
  <c r="C86" i="18"/>
  <c r="C84" i="18"/>
  <c r="C90" i="18"/>
  <c r="E17" i="17"/>
  <c r="E52" i="17"/>
  <c r="E53" i="17"/>
  <c r="E58" i="17"/>
  <c r="E67" i="17"/>
  <c r="C283" i="18"/>
  <c r="E21" i="18"/>
  <c r="D22" i="18"/>
  <c r="E37" i="18"/>
  <c r="E55" i="18"/>
  <c r="D66" i="18"/>
  <c r="E65" i="18"/>
  <c r="D77" i="18"/>
  <c r="E69" i="18"/>
  <c r="E283" i="18"/>
  <c r="C294" i="18"/>
  <c r="E294" i="18"/>
  <c r="E32" i="18"/>
  <c r="D295" i="18"/>
  <c r="E36" i="18"/>
  <c r="E54" i="18"/>
  <c r="C289" i="18"/>
  <c r="C71" i="18"/>
  <c r="C76" i="18"/>
  <c r="C65" i="18"/>
  <c r="C66" i="18"/>
  <c r="C295" i="18"/>
  <c r="E60" i="18"/>
  <c r="E70" i="18"/>
  <c r="D157" i="18"/>
  <c r="E157" i="18"/>
  <c r="E156" i="18"/>
  <c r="E289" i="18"/>
  <c r="C144" i="18"/>
  <c r="E144" i="18"/>
  <c r="D145" i="18"/>
  <c r="E151" i="18"/>
  <c r="D163" i="18"/>
  <c r="E163" i="18"/>
  <c r="C175" i="18"/>
  <c r="E175" i="18"/>
  <c r="D180" i="18"/>
  <c r="C261" i="18"/>
  <c r="E261" i="18"/>
  <c r="C189" i="18"/>
  <c r="E188" i="18"/>
  <c r="D260" i="18"/>
  <c r="E195" i="18"/>
  <c r="E229" i="18"/>
  <c r="D241" i="18"/>
  <c r="E241" i="18"/>
  <c r="E242" i="18"/>
  <c r="E243" i="18"/>
  <c r="E244" i="18"/>
  <c r="E245" i="18"/>
  <c r="D252" i="18"/>
  <c r="D253" i="18"/>
  <c r="E253" i="18"/>
  <c r="E302" i="18"/>
  <c r="C303" i="18"/>
  <c r="C306" i="18"/>
  <c r="C310" i="18"/>
  <c r="E139" i="18"/>
  <c r="E189" i="18"/>
  <c r="D234" i="18"/>
  <c r="C253" i="18"/>
  <c r="C254" i="18"/>
  <c r="E303" i="18"/>
  <c r="D306" i="18"/>
  <c r="D320" i="18"/>
  <c r="E320" i="18"/>
  <c r="E316" i="18"/>
  <c r="E326" i="18"/>
  <c r="D330" i="18"/>
  <c r="E330" i="18"/>
  <c r="C210" i="18"/>
  <c r="E210" i="18"/>
  <c r="D211" i="18"/>
  <c r="E215" i="18"/>
  <c r="C217" i="18"/>
  <c r="C241" i="18"/>
  <c r="E217" i="18"/>
  <c r="E219" i="18"/>
  <c r="E221" i="18"/>
  <c r="D222" i="18"/>
  <c r="C252" i="18"/>
  <c r="E265" i="18"/>
  <c r="E314" i="18"/>
  <c r="E205" i="18"/>
  <c r="E216" i="18"/>
  <c r="E218" i="18"/>
  <c r="E220" i="18"/>
  <c r="C222" i="18"/>
  <c r="C246" i="18"/>
  <c r="D223" i="18"/>
  <c r="E233" i="18"/>
  <c r="E251" i="18"/>
  <c r="E301" i="18"/>
  <c r="E324" i="18"/>
  <c r="E31" i="17"/>
  <c r="D32" i="17"/>
  <c r="D90" i="17"/>
  <c r="E48" i="17"/>
  <c r="F48" i="17"/>
  <c r="C61" i="17"/>
  <c r="F68" i="17"/>
  <c r="F89" i="17"/>
  <c r="C103" i="17"/>
  <c r="F111" i="17"/>
  <c r="C207" i="17"/>
  <c r="C138" i="17"/>
  <c r="C32" i="17"/>
  <c r="F31" i="17"/>
  <c r="C160" i="17"/>
  <c r="C90" i="17"/>
  <c r="E60" i="17"/>
  <c r="F60" i="17"/>
  <c r="D61" i="17"/>
  <c r="D103" i="17"/>
  <c r="E103" i="17"/>
  <c r="E102" i="17"/>
  <c r="F102" i="17"/>
  <c r="D138" i="17"/>
  <c r="E137" i="17"/>
  <c r="F137" i="17"/>
  <c r="F17" i="17"/>
  <c r="D21" i="17"/>
  <c r="F24" i="17"/>
  <c r="F36" i="17"/>
  <c r="F52" i="17"/>
  <c r="F53" i="17"/>
  <c r="F58" i="17"/>
  <c r="F67" i="17"/>
  <c r="E88" i="17"/>
  <c r="F88" i="17"/>
  <c r="E101" i="17"/>
  <c r="F101" i="17"/>
  <c r="E109" i="17"/>
  <c r="F109" i="17"/>
  <c r="C193" i="17"/>
  <c r="C192" i="17"/>
  <c r="E192" i="17"/>
  <c r="E123" i="17"/>
  <c r="F123" i="17"/>
  <c r="C124" i="17"/>
  <c r="C125" i="17"/>
  <c r="E136" i="17"/>
  <c r="F136" i="17"/>
  <c r="F172" i="17"/>
  <c r="D277" i="17"/>
  <c r="D261" i="17"/>
  <c r="D214" i="17"/>
  <c r="D206" i="17"/>
  <c r="D190" i="17"/>
  <c r="E188" i="17"/>
  <c r="F188" i="17"/>
  <c r="C288" i="17"/>
  <c r="E227" i="17"/>
  <c r="E239" i="17"/>
  <c r="C282" i="17"/>
  <c r="C266" i="17"/>
  <c r="E20" i="17"/>
  <c r="F20" i="17"/>
  <c r="C21" i="17"/>
  <c r="E30" i="17"/>
  <c r="F30" i="17"/>
  <c r="C304" i="17"/>
  <c r="E35" i="17"/>
  <c r="F35" i="17"/>
  <c r="C37" i="17"/>
  <c r="E37" i="17"/>
  <c r="E47" i="17"/>
  <c r="F47" i="17"/>
  <c r="E59" i="17"/>
  <c r="F59" i="17"/>
  <c r="E66" i="17"/>
  <c r="F66" i="17"/>
  <c r="E76" i="17"/>
  <c r="F76" i="17"/>
  <c r="D124" i="17"/>
  <c r="E124" i="17"/>
  <c r="D146" i="17"/>
  <c r="E146" i="17"/>
  <c r="F146" i="17"/>
  <c r="D159" i="17"/>
  <c r="E159" i="17"/>
  <c r="D172" i="17"/>
  <c r="D181" i="17"/>
  <c r="E181" i="17"/>
  <c r="C287" i="17"/>
  <c r="C284" i="17"/>
  <c r="C279" i="17"/>
  <c r="D278" i="17"/>
  <c r="D262" i="17"/>
  <c r="D215" i="17"/>
  <c r="E189" i="17"/>
  <c r="F189" i="17"/>
  <c r="F227" i="17"/>
  <c r="F239" i="17"/>
  <c r="C190" i="17"/>
  <c r="C281" i="17"/>
  <c r="E191" i="17"/>
  <c r="F191" i="17"/>
  <c r="C199" i="17"/>
  <c r="C200" i="17"/>
  <c r="C286" i="17"/>
  <c r="C205" i="17"/>
  <c r="C206" i="17"/>
  <c r="C21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C274" i="17"/>
  <c r="E280" i="17"/>
  <c r="F280" i="17"/>
  <c r="D193" i="17"/>
  <c r="D266" i="17"/>
  <c r="E266" i="17"/>
  <c r="D290" i="17"/>
  <c r="E290" i="17"/>
  <c r="F290" i="17"/>
  <c r="D274" i="17"/>
  <c r="E274" i="17"/>
  <c r="D199" i="17"/>
  <c r="D200" i="17"/>
  <c r="E200" i="17"/>
  <c r="D283" i="17"/>
  <c r="D267" i="17"/>
  <c r="D285" i="17"/>
  <c r="E285" i="17"/>
  <c r="F285" i="17"/>
  <c r="D269" i="17"/>
  <c r="E269" i="17"/>
  <c r="D205" i="17"/>
  <c r="E205" i="17"/>
  <c r="D264" i="17"/>
  <c r="F295" i="17"/>
  <c r="F297" i="17"/>
  <c r="F298" i="17"/>
  <c r="F299" i="17"/>
  <c r="F36" i="14"/>
  <c r="F38" i="14"/>
  <c r="F40" i="14"/>
  <c r="I31" i="14"/>
  <c r="H31" i="14"/>
  <c r="I17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F17" i="12"/>
  <c r="C20" i="12"/>
  <c r="D20" i="12"/>
  <c r="E17" i="12"/>
  <c r="E15" i="12"/>
  <c r="F15" i="12"/>
  <c r="E43" i="11"/>
  <c r="F43" i="11"/>
  <c r="E41" i="11"/>
  <c r="F75" i="11"/>
  <c r="F65" i="11"/>
  <c r="F73" i="11"/>
  <c r="F41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F206" i="9"/>
  <c r="E198" i="9"/>
  <c r="F198" i="9"/>
  <c r="E199" i="9"/>
  <c r="F199" i="9"/>
  <c r="C20" i="8"/>
  <c r="C21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E157" i="8"/>
  <c r="E155" i="8"/>
  <c r="E153" i="8"/>
  <c r="E156" i="8"/>
  <c r="E154" i="8"/>
  <c r="E152" i="8"/>
  <c r="D21" i="8"/>
  <c r="C140" i="8"/>
  <c r="C138" i="8"/>
  <c r="C136" i="8"/>
  <c r="C139" i="8"/>
  <c r="C137" i="8"/>
  <c r="C135" i="8"/>
  <c r="D156" i="8"/>
  <c r="D154" i="8"/>
  <c r="D152" i="8"/>
  <c r="D157" i="8"/>
  <c r="D155" i="8"/>
  <c r="D153" i="8"/>
  <c r="D15" i="8"/>
  <c r="C17" i="8"/>
  <c r="E17" i="8"/>
  <c r="C43" i="8"/>
  <c r="E43" i="8"/>
  <c r="D49" i="8"/>
  <c r="C53" i="8"/>
  <c r="E53" i="8"/>
  <c r="D57" i="8"/>
  <c r="D62" i="8"/>
  <c r="D77" i="8"/>
  <c r="D71" i="8"/>
  <c r="D43" i="8"/>
  <c r="C49" i="8"/>
  <c r="E49" i="8"/>
  <c r="C77" i="8"/>
  <c r="C71" i="8"/>
  <c r="E77" i="8"/>
  <c r="E71" i="8"/>
  <c r="F95" i="7"/>
  <c r="F18" i="7"/>
  <c r="F24" i="7"/>
  <c r="F30" i="7"/>
  <c r="F35" i="7"/>
  <c r="F41" i="7"/>
  <c r="E90" i="7"/>
  <c r="F90" i="7"/>
  <c r="E59" i="7"/>
  <c r="F59" i="7"/>
  <c r="D95" i="7"/>
  <c r="E95" i="7"/>
  <c r="F130" i="7"/>
  <c r="E121" i="7"/>
  <c r="F121" i="7"/>
  <c r="E130" i="7"/>
  <c r="E167" i="7"/>
  <c r="F167" i="7"/>
  <c r="E183" i="7"/>
  <c r="F183" i="7"/>
  <c r="C188" i="7"/>
  <c r="E95" i="6"/>
  <c r="F95" i="6"/>
  <c r="D52" i="6"/>
  <c r="E52" i="6"/>
  <c r="F52" i="6"/>
  <c r="E84" i="6"/>
  <c r="F84" i="6"/>
  <c r="D21" i="5"/>
  <c r="E18" i="5"/>
  <c r="F18" i="5"/>
  <c r="C21" i="5"/>
  <c r="E16" i="5"/>
  <c r="F16" i="5"/>
  <c r="F43" i="4"/>
  <c r="E43" i="4"/>
  <c r="E41" i="4"/>
  <c r="F75" i="4"/>
  <c r="F65" i="4"/>
  <c r="F73" i="4"/>
  <c r="F41" i="4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C113" i="22"/>
  <c r="C56" i="22"/>
  <c r="C48" i="22"/>
  <c r="C38" i="22"/>
  <c r="D54" i="22"/>
  <c r="D46" i="22"/>
  <c r="D40" i="22"/>
  <c r="D36" i="22"/>
  <c r="D30" i="22"/>
  <c r="D111" i="22"/>
  <c r="C53" i="22"/>
  <c r="C45" i="22"/>
  <c r="C39" i="22"/>
  <c r="C35" i="22"/>
  <c r="C29" i="22"/>
  <c r="C110" i="22"/>
  <c r="E113" i="22"/>
  <c r="E56" i="22"/>
  <c r="E48" i="22"/>
  <c r="E38" i="22"/>
  <c r="D110" i="22"/>
  <c r="D53" i="22"/>
  <c r="D45" i="22"/>
  <c r="D39" i="22"/>
  <c r="D35" i="22"/>
  <c r="D29" i="22"/>
  <c r="F39" i="20"/>
  <c r="F43" i="20"/>
  <c r="E46" i="20"/>
  <c r="F46" i="20"/>
  <c r="F41" i="20"/>
  <c r="C259" i="18"/>
  <c r="C263" i="18"/>
  <c r="E76" i="18"/>
  <c r="C77" i="18"/>
  <c r="D247" i="18"/>
  <c r="E222" i="18"/>
  <c r="D246" i="18"/>
  <c r="E246" i="18"/>
  <c r="D235" i="18"/>
  <c r="E235" i="18"/>
  <c r="C211" i="18"/>
  <c r="C235" i="18"/>
  <c r="C234" i="18"/>
  <c r="D254" i="18"/>
  <c r="E254" i="18"/>
  <c r="E252" i="18"/>
  <c r="E260" i="18"/>
  <c r="D181" i="18"/>
  <c r="D169" i="18"/>
  <c r="C180" i="18"/>
  <c r="E180" i="18"/>
  <c r="C145" i="18"/>
  <c r="E145" i="18"/>
  <c r="C168" i="18"/>
  <c r="E168" i="18"/>
  <c r="E71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E77" i="18"/>
  <c r="E66" i="18"/>
  <c r="D284" i="18"/>
  <c r="E284" i="18"/>
  <c r="E22" i="18"/>
  <c r="C264" i="18"/>
  <c r="C266" i="18"/>
  <c r="C267" i="18"/>
  <c r="E85" i="18"/>
  <c r="E89" i="18"/>
  <c r="E98" i="18"/>
  <c r="D90" i="18"/>
  <c r="E90" i="18"/>
  <c r="E84" i="18"/>
  <c r="E88" i="18"/>
  <c r="E97" i="18"/>
  <c r="E101" i="18"/>
  <c r="C223" i="18"/>
  <c r="C247" i="18"/>
  <c r="E306" i="18"/>
  <c r="D310" i="18"/>
  <c r="E310" i="18"/>
  <c r="E234" i="18"/>
  <c r="E295" i="18"/>
  <c r="C105" i="18"/>
  <c r="D263" i="18"/>
  <c r="E263" i="18"/>
  <c r="E259" i="18"/>
  <c r="E83" i="18"/>
  <c r="D91" i="18"/>
  <c r="E87" i="18"/>
  <c r="E96" i="18"/>
  <c r="D102" i="18"/>
  <c r="E102" i="18"/>
  <c r="E100" i="18"/>
  <c r="E86" i="18"/>
  <c r="D103" i="18"/>
  <c r="E103" i="18"/>
  <c r="E95" i="18"/>
  <c r="E99" i="18"/>
  <c r="E258" i="18"/>
  <c r="D264" i="18"/>
  <c r="F269" i="17"/>
  <c r="C271" i="17"/>
  <c r="C268" i="17"/>
  <c r="C263" i="17"/>
  <c r="D300" i="17"/>
  <c r="D265" i="17"/>
  <c r="E264" i="17"/>
  <c r="E283" i="17"/>
  <c r="F283" i="17"/>
  <c r="D286" i="17"/>
  <c r="E286" i="17"/>
  <c r="F286" i="17"/>
  <c r="E199" i="17"/>
  <c r="F199" i="17"/>
  <c r="F274" i="17"/>
  <c r="C270" i="17"/>
  <c r="C272" i="17"/>
  <c r="C216" i="17"/>
  <c r="F205" i="17"/>
  <c r="F200" i="17"/>
  <c r="D255" i="17"/>
  <c r="E255" i="17"/>
  <c r="F255" i="17"/>
  <c r="E215" i="17"/>
  <c r="F215" i="17"/>
  <c r="D288" i="17"/>
  <c r="E288" i="17"/>
  <c r="E278" i="17"/>
  <c r="F278" i="17"/>
  <c r="C291" i="17"/>
  <c r="C289" i="17"/>
  <c r="E172" i="17"/>
  <c r="D173" i="17"/>
  <c r="E173" i="17"/>
  <c r="F288" i="17"/>
  <c r="E190" i="17"/>
  <c r="F190" i="17"/>
  <c r="D254" i="17"/>
  <c r="D216" i="17"/>
  <c r="E216" i="17"/>
  <c r="E214" i="17"/>
  <c r="F214" i="17"/>
  <c r="D287" i="17"/>
  <c r="D284" i="17"/>
  <c r="E284" i="17"/>
  <c r="D279" i="17"/>
  <c r="E279" i="17"/>
  <c r="F279" i="17"/>
  <c r="E277" i="17"/>
  <c r="F277" i="17"/>
  <c r="C194" i="17"/>
  <c r="E138" i="17"/>
  <c r="D174" i="17"/>
  <c r="E174" i="17"/>
  <c r="D139" i="17"/>
  <c r="D104" i="17"/>
  <c r="E104" i="17"/>
  <c r="E61" i="17"/>
  <c r="F61" i="17"/>
  <c r="C174" i="17"/>
  <c r="C139" i="17"/>
  <c r="C104" i="17"/>
  <c r="E90" i="17"/>
  <c r="F90" i="17"/>
  <c r="D160" i="17"/>
  <c r="E160" i="17"/>
  <c r="F160" i="17"/>
  <c r="D270" i="17"/>
  <c r="E270" i="17"/>
  <c r="E267" i="17"/>
  <c r="F267" i="17"/>
  <c r="D194" i="17"/>
  <c r="D196" i="17"/>
  <c r="E193" i="17"/>
  <c r="F193" i="17"/>
  <c r="C300" i="17"/>
  <c r="F264" i="17"/>
  <c r="C265" i="17"/>
  <c r="D272" i="17"/>
  <c r="E272" i="17"/>
  <c r="E262" i="17"/>
  <c r="F262" i="17"/>
  <c r="F284" i="17"/>
  <c r="F37" i="17"/>
  <c r="C196" i="17"/>
  <c r="C161" i="17"/>
  <c r="C49" i="17"/>
  <c r="C126" i="17"/>
  <c r="C91" i="17"/>
  <c r="F266" i="17"/>
  <c r="E206" i="17"/>
  <c r="F206" i="17"/>
  <c r="D271" i="17"/>
  <c r="D268" i="17"/>
  <c r="E268" i="17"/>
  <c r="D263" i="17"/>
  <c r="E263" i="17"/>
  <c r="E261" i="17"/>
  <c r="F261" i="17"/>
  <c r="F124" i="17"/>
  <c r="F192" i="17"/>
  <c r="D161" i="17"/>
  <c r="D126" i="17"/>
  <c r="D91" i="17"/>
  <c r="E21" i="17"/>
  <c r="F21" i="17"/>
  <c r="D49" i="17"/>
  <c r="D282" i="17"/>
  <c r="D207" i="17"/>
  <c r="C175" i="17"/>
  <c r="C62" i="17"/>
  <c r="C140" i="17"/>
  <c r="C105" i="17"/>
  <c r="F138" i="17"/>
  <c r="C208" i="17"/>
  <c r="C209" i="17"/>
  <c r="F103" i="17"/>
  <c r="D125" i="17"/>
  <c r="E125" i="17"/>
  <c r="F125" i="17"/>
  <c r="D175" i="17"/>
  <c r="D140" i="17"/>
  <c r="D105" i="17"/>
  <c r="E32" i="17"/>
  <c r="F32" i="17"/>
  <c r="D62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D24" i="8"/>
  <c r="D20" i="8"/>
  <c r="D17" i="8"/>
  <c r="C112" i="8"/>
  <c r="C111" i="8"/>
  <c r="C28" i="8"/>
  <c r="C141" i="8"/>
  <c r="E158" i="8"/>
  <c r="C158" i="8"/>
  <c r="E141" i="8"/>
  <c r="E112" i="8"/>
  <c r="E111" i="8"/>
  <c r="E28" i="8"/>
  <c r="D158" i="8"/>
  <c r="D141" i="8"/>
  <c r="F188" i="7"/>
  <c r="E188" i="7"/>
  <c r="D35" i="5"/>
  <c r="E21" i="5"/>
  <c r="F21" i="5"/>
  <c r="C35" i="5"/>
  <c r="D112" i="22"/>
  <c r="D55" i="22"/>
  <c r="D47" i="22"/>
  <c r="D37" i="22"/>
  <c r="C55" i="22"/>
  <c r="C47" i="22"/>
  <c r="C37" i="22"/>
  <c r="C112" i="22"/>
  <c r="D56" i="22"/>
  <c r="D48" i="22"/>
  <c r="D38" i="22"/>
  <c r="D113" i="22"/>
  <c r="E55" i="22"/>
  <c r="E47" i="22"/>
  <c r="E37" i="22"/>
  <c r="E112" i="22"/>
  <c r="E264" i="18"/>
  <c r="D266" i="18"/>
  <c r="D129" i="18"/>
  <c r="D117" i="18"/>
  <c r="D128" i="18"/>
  <c r="E211" i="18"/>
  <c r="E247" i="18"/>
  <c r="E91" i="18"/>
  <c r="D105" i="18"/>
  <c r="E105" i="18"/>
  <c r="C269" i="18"/>
  <c r="C268" i="18"/>
  <c r="E110" i="18"/>
  <c r="D116" i="18"/>
  <c r="E114" i="18"/>
  <c r="E127" i="18"/>
  <c r="E115" i="18"/>
  <c r="C169" i="18"/>
  <c r="C181" i="18"/>
  <c r="E169" i="18"/>
  <c r="E181" i="18"/>
  <c r="E223" i="18"/>
  <c r="C127" i="18"/>
  <c r="C125" i="18"/>
  <c r="E125" i="18"/>
  <c r="C123" i="18"/>
  <c r="E123" i="18"/>
  <c r="C121" i="18"/>
  <c r="E121" i="18"/>
  <c r="C114" i="18"/>
  <c r="C112" i="18"/>
  <c r="E112" i="18"/>
  <c r="C110" i="18"/>
  <c r="C126" i="18"/>
  <c r="E126" i="18"/>
  <c r="C124" i="18"/>
  <c r="E124" i="18"/>
  <c r="C122" i="18"/>
  <c r="C128" i="18"/>
  <c r="C115" i="18"/>
  <c r="C113" i="18"/>
  <c r="E113" i="18"/>
  <c r="C111" i="18"/>
  <c r="E111" i="18"/>
  <c r="C109" i="18"/>
  <c r="E109" i="18"/>
  <c r="D106" i="17"/>
  <c r="E105" i="17"/>
  <c r="F105" i="17"/>
  <c r="C63" i="17"/>
  <c r="C210" i="17"/>
  <c r="D197" i="17"/>
  <c r="E196" i="17"/>
  <c r="F196" i="17"/>
  <c r="D304" i="17"/>
  <c r="D273" i="17"/>
  <c r="E271" i="17"/>
  <c r="E140" i="17"/>
  <c r="F140" i="17"/>
  <c r="D141" i="17"/>
  <c r="C141" i="17"/>
  <c r="C176" i="17"/>
  <c r="F176" i="17"/>
  <c r="D208" i="17"/>
  <c r="E207" i="17"/>
  <c r="F207" i="17"/>
  <c r="E49" i="17"/>
  <c r="D50" i="17"/>
  <c r="D92" i="17"/>
  <c r="E91" i="17"/>
  <c r="F91" i="17"/>
  <c r="E161" i="17"/>
  <c r="F161" i="17"/>
  <c r="D162" i="17"/>
  <c r="C127" i="17"/>
  <c r="C162" i="17"/>
  <c r="E194" i="17"/>
  <c r="F194" i="17"/>
  <c r="D195" i="17"/>
  <c r="F104" i="17"/>
  <c r="F174" i="17"/>
  <c r="E139" i="17"/>
  <c r="F139" i="17"/>
  <c r="C195" i="17"/>
  <c r="E254" i="17"/>
  <c r="F254" i="17"/>
  <c r="C305" i="17"/>
  <c r="F216" i="17"/>
  <c r="F272" i="17"/>
  <c r="F270" i="17"/>
  <c r="E300" i="17"/>
  <c r="F300" i="17"/>
  <c r="F263" i="17"/>
  <c r="F271" i="17"/>
  <c r="C273" i="17"/>
  <c r="E62" i="17"/>
  <c r="F62" i="17"/>
  <c r="D63" i="17"/>
  <c r="E63" i="17"/>
  <c r="E175" i="17"/>
  <c r="F175" i="17"/>
  <c r="D176" i="17"/>
  <c r="E176" i="17"/>
  <c r="C106" i="17"/>
  <c r="E282" i="17"/>
  <c r="F282" i="17"/>
  <c r="D281" i="17"/>
  <c r="E281" i="17"/>
  <c r="F281" i="17"/>
  <c r="D127" i="17"/>
  <c r="E126" i="17"/>
  <c r="F126" i="17"/>
  <c r="C92" i="17"/>
  <c r="C50" i="17"/>
  <c r="F49" i="17"/>
  <c r="E287" i="17"/>
  <c r="F287" i="17"/>
  <c r="D291" i="17"/>
  <c r="D289" i="17"/>
  <c r="E289" i="17"/>
  <c r="F289" i="17"/>
  <c r="E265" i="17"/>
  <c r="F265" i="17"/>
  <c r="F268" i="17"/>
  <c r="D70" i="13"/>
  <c r="D72" i="13"/>
  <c r="D69" i="13"/>
  <c r="D22" i="13"/>
  <c r="D42" i="12"/>
  <c r="E34" i="12"/>
  <c r="F34" i="12"/>
  <c r="C42" i="12"/>
  <c r="E99" i="8"/>
  <c r="E101" i="8"/>
  <c r="E98" i="8"/>
  <c r="E22" i="8"/>
  <c r="C99" i="8"/>
  <c r="C101" i="8"/>
  <c r="C98" i="8"/>
  <c r="C22" i="8"/>
  <c r="D28" i="8"/>
  <c r="D112" i="8"/>
  <c r="D111" i="8"/>
  <c r="D43" i="5"/>
  <c r="E35" i="5"/>
  <c r="F35" i="5"/>
  <c r="C43" i="5"/>
  <c r="C116" i="18"/>
  <c r="E116" i="18"/>
  <c r="C271" i="18"/>
  <c r="E128" i="18"/>
  <c r="E266" i="18"/>
  <c r="D267" i="18"/>
  <c r="C117" i="18"/>
  <c r="C131" i="18"/>
  <c r="C129" i="18"/>
  <c r="E122" i="18"/>
  <c r="D131" i="18"/>
  <c r="E129" i="18"/>
  <c r="C324" i="17"/>
  <c r="C113" i="17"/>
  <c r="E291" i="17"/>
  <c r="F291" i="17"/>
  <c r="D305" i="17"/>
  <c r="C70" i="17"/>
  <c r="D148" i="17"/>
  <c r="E127" i="17"/>
  <c r="F127" i="17"/>
  <c r="C309" i="17"/>
  <c r="E195" i="17"/>
  <c r="F195" i="17"/>
  <c r="C197" i="17"/>
  <c r="C148" i="17"/>
  <c r="D323" i="17"/>
  <c r="E323" i="17"/>
  <c r="E162" i="17"/>
  <c r="D183" i="17"/>
  <c r="E50" i="17"/>
  <c r="F50" i="17"/>
  <c r="D70" i="17"/>
  <c r="E70" i="17"/>
  <c r="D322" i="17"/>
  <c r="E141" i="17"/>
  <c r="E273" i="17"/>
  <c r="F273" i="17"/>
  <c r="F63" i="17"/>
  <c r="E106" i="17"/>
  <c r="F106" i="17"/>
  <c r="C323" i="17"/>
  <c r="F323" i="17"/>
  <c r="C183" i="17"/>
  <c r="F183" i="17"/>
  <c r="F162" i="17"/>
  <c r="D324" i="17"/>
  <c r="D113" i="17"/>
  <c r="E113" i="17"/>
  <c r="E92" i="17"/>
  <c r="F92" i="17"/>
  <c r="E208" i="17"/>
  <c r="F208" i="17"/>
  <c r="D209" i="17"/>
  <c r="E209" i="17"/>
  <c r="F209" i="17"/>
  <c r="D210" i="17"/>
  <c r="C322" i="17"/>
  <c r="C211" i="17"/>
  <c r="F141" i="17"/>
  <c r="E304" i="17"/>
  <c r="F304" i="17"/>
  <c r="E197" i="17"/>
  <c r="D49" i="12"/>
  <c r="E49" i="12"/>
  <c r="E42" i="12"/>
  <c r="F42" i="12"/>
  <c r="C49" i="12"/>
  <c r="D99" i="8"/>
  <c r="D101" i="8"/>
  <c r="D98" i="8"/>
  <c r="D22" i="8"/>
  <c r="D50" i="5"/>
  <c r="E50" i="5"/>
  <c r="E43" i="5"/>
  <c r="F43" i="5"/>
  <c r="C50" i="5"/>
  <c r="E131" i="18"/>
  <c r="D269" i="18"/>
  <c r="E269" i="18"/>
  <c r="E267" i="18"/>
  <c r="D268" i="18"/>
  <c r="E117" i="18"/>
  <c r="D211" i="17"/>
  <c r="E211" i="17"/>
  <c r="F211" i="17"/>
  <c r="E210" i="17"/>
  <c r="F210" i="17"/>
  <c r="E322" i="17"/>
  <c r="F322" i="17"/>
  <c r="F197" i="17"/>
  <c r="E148" i="17"/>
  <c r="F148" i="17"/>
  <c r="F70" i="17"/>
  <c r="D325" i="17"/>
  <c r="E324" i="17"/>
  <c r="E183" i="17"/>
  <c r="C310" i="17"/>
  <c r="D309" i="17"/>
  <c r="E305" i="17"/>
  <c r="F305" i="17"/>
  <c r="F113" i="17"/>
  <c r="F324" i="17"/>
  <c r="C325" i="17"/>
  <c r="F49" i="12"/>
  <c r="F50" i="5"/>
  <c r="D271" i="18"/>
  <c r="E271" i="18"/>
  <c r="E268" i="18"/>
  <c r="E325" i="17"/>
  <c r="F325" i="17"/>
  <c r="C312" i="17"/>
  <c r="E309" i="17"/>
  <c r="F309" i="17"/>
  <c r="D310" i="17"/>
  <c r="D312" i="17"/>
  <c r="E310" i="17"/>
  <c r="F310" i="17"/>
  <c r="C313" i="17"/>
  <c r="E312" i="17"/>
  <c r="F312" i="17"/>
  <c r="D313" i="17"/>
  <c r="C314" i="17"/>
  <c r="C251" i="17"/>
  <c r="C256" i="17"/>
  <c r="C315" i="17"/>
  <c r="C257" i="17"/>
  <c r="C318" i="17"/>
  <c r="D315" i="17"/>
  <c r="E315" i="17"/>
  <c r="F315" i="17"/>
  <c r="D314" i="17"/>
  <c r="E313" i="17"/>
  <c r="F313" i="17"/>
  <c r="D251" i="17"/>
  <c r="E251" i="17"/>
  <c r="F251" i="17"/>
  <c r="D256" i="17"/>
  <c r="D318" i="17"/>
  <c r="E318" i="17"/>
  <c r="E314" i="17"/>
  <c r="F314" i="17"/>
  <c r="F318" i="17"/>
  <c r="D257" i="17"/>
  <c r="E257" i="17"/>
  <c r="F257" i="17"/>
  <c r="E256" i="17"/>
  <c r="F256" i="17"/>
</calcChain>
</file>

<file path=xl/sharedStrings.xml><?xml version="1.0" encoding="utf-8"?>
<sst xmlns="http://schemas.openxmlformats.org/spreadsheetml/2006/main" count="2340" uniqueCount="1012">
  <si>
    <t>YALE-NEW HAVEN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</si>
  <si>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</si>
  <si>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</si>
  <si>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</si>
  <si>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</si>
  <si>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</si>
  <si>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</si>
  <si>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</si>
  <si>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</si>
  <si>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</si>
  <si>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</si>
  <si>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</si>
  <si>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</si>
  <si>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</si>
  <si>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</si>
  <si>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</si>
  <si>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</si>
  <si>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</si>
  <si>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</si>
  <si>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</si>
  <si>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</si>
  <si>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</si>
  <si>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</si>
  <si>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</si>
  <si>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</si>
  <si>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</si>
  <si>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</si>
  <si>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</si>
  <si>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</si>
  <si>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</si>
  <si>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</si>
  <si>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</si>
  <si>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</si>
  <si>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</si>
  <si>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</si>
  <si>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</si>
  <si>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</si>
  <si>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</si>
  <si>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</si>
  <si>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</si>
  <si>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</si>
  <si>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</si>
  <si>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</si>
  <si>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</si>
  <si>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</si>
  <si>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</si>
  <si>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</si>
  <si>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</si>
  <si>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</si>
  <si>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</si>
  <si>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</si>
  <si>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</si>
  <si>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</si>
  <si>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</si>
  <si>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</si>
  <si>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</si>
  <si>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</si>
  <si>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</si>
  <si>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</si>
  <si>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</si>
  <si>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</si>
  <si>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</si>
  <si>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</si>
  <si>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</si>
  <si>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</si>
  <si>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</si>
  <si>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</si>
  <si>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</si>
  <si>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</si>
  <si>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</si>
  <si>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</si>
  <si>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</si>
  <si>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</si>
  <si>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</si>
  <si>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</si>
  <si>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</si>
  <si>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</si>
  <si>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</si>
  <si>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</si>
  <si>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</si>
  <si>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</si>
  <si>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</si>
  <si>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</si>
  <si>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</si>
  <si>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</si>
  <si>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</si>
  <si>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</si>
  <si>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</si>
  <si>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</si>
  <si>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</si>
  <si>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</si>
  <si>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</si>
  <si>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</si>
  <si>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</si>
  <si>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</si>
  <si>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</si>
  <si>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</si>
  <si>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</si>
  <si>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</si>
  <si>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</si>
  <si>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</si>
  <si>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</si>
  <si>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</si>
  <si>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</si>
  <si>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</si>
  <si>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</si>
  <si>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</si>
  <si>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</si>
  <si>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</si>
  <si>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</si>
  <si>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</si>
  <si>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</si>
  <si>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</si>
  <si>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</si>
  <si>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</si>
  <si>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</si>
  <si>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</si>
  <si>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</si>
  <si>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</si>
  <si>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</si>
  <si>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</si>
  <si>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</si>
  <si>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</si>
  <si>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</si>
  <si>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</si>
  <si>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</si>
  <si>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</si>
  <si>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</si>
  <si>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</si>
  <si>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</si>
  <si>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</si>
  <si>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</si>
  <si>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</si>
  <si>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</si>
  <si>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</si>
  <si>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</si>
  <si>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</si>
  <si>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</si>
  <si>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</si>
  <si>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</si>
  <si>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</si>
  <si>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</si>
  <si>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</si>
  <si>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</si>
  <si>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</si>
  <si>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</si>
  <si>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</si>
  <si>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</si>
  <si>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</si>
  <si>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</si>
  <si>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</si>
  <si>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</si>
  <si>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</si>
  <si>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</si>
  <si>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</si>
  <si>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</si>
  <si>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</si>
  <si>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</si>
  <si>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</si>
  <si>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</si>
  <si>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</si>
  <si>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</si>
  <si>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</si>
  <si>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</si>
  <si>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</si>
  <si>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</si>
  <si>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</si>
  <si>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</si>
  <si>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</si>
  <si>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</si>
  <si>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</si>
  <si>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</si>
  <si>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</si>
  <si>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</si>
  <si>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</si>
  <si>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</si>
  <si>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</si>
  <si>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</si>
  <si>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</si>
  <si>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</si>
  <si>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</si>
  <si>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</si>
  <si>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</si>
  <si>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</si>
  <si>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</si>
  <si>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</si>
  <si>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</si>
  <si>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</si>
  <si>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</si>
  <si>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</si>
  <si>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</si>
  <si>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</si>
  <si>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</si>
  <si>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</si>
  <si>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</si>
  <si>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</si>
  <si>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</si>
  <si>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</si>
  <si>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</si>
  <si>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</si>
  <si>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</si>
  <si>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</si>
  <si>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</si>
  <si>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</si>
  <si>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</si>
  <si>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</si>
  <si>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</si>
  <si>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</si>
  <si>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</si>
  <si>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</si>
  <si>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</si>
  <si>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</si>
  <si>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</si>
  <si>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</si>
  <si>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</si>
  <si>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</si>
  <si>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</si>
  <si>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</si>
  <si>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</si>
  <si>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</si>
  <si>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</si>
  <si>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</si>
  <si>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</si>
  <si>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</si>
  <si>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</si>
  <si>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</si>
  <si>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</si>
  <si>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</si>
  <si>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</si>
  <si>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</si>
  <si>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</si>
  <si>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</si>
  <si>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</si>
  <si>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</si>
  <si>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</si>
  <si>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</si>
  <si>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</si>
  <si>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</si>
  <si>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</si>
  <si>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</si>
  <si>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</si>
  <si>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</si>
  <si>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</si>
  <si>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</si>
  <si>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</si>
  <si>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</si>
  <si>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</si>
  <si>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</si>
  <si>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</si>
  <si>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</si>
  <si>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</si>
  <si>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</si>
  <si>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</si>
  <si>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</si>
  <si>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</si>
  <si>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</si>
  <si>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</si>
  <si>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</si>
  <si>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</si>
  <si>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</si>
  <si>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</si>
  <si>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</si>
  <si>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</si>
  <si>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</si>
  <si>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</si>
  <si>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</si>
  <si>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</si>
  <si>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</si>
  <si>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</si>
  <si>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</si>
  <si>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</si>
  <si>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</si>
  <si>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</si>
  <si>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</si>
  <si>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</si>
  <si>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</si>
  <si>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</si>
  <si>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</si>
  <si>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</si>
  <si>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</si>
  <si>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</si>
  <si>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</si>
  <si>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</si>
  <si>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</si>
  <si>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</si>
  <si>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</si>
  <si>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</si>
  <si>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</si>
  <si>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</si>
  <si>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</si>
  <si>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</si>
  <si>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</si>
  <si>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</si>
  <si>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</si>
  <si>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</si>
  <si>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</si>
  <si>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</si>
  <si>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</si>
  <si>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</si>
  <si>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</si>
  <si>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</si>
  <si>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</si>
  <si>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</si>
  <si>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</si>
  <si>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</si>
  <si>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</si>
  <si>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</si>
  <si>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</si>
  <si>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</si>
  <si>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</si>
  <si>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</si>
  <si>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</si>
  <si>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</si>
  <si>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</si>
  <si>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</si>
  <si>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</si>
  <si>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</si>
  <si>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</si>
  <si>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</si>
  <si>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</si>
  <si>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</si>
  <si>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</si>
  <si>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</si>
  <si>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</si>
  <si>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</si>
  <si>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</si>
  <si>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</si>
  <si>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</si>
  <si>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</si>
  <si>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</si>
  <si>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</si>
  <si>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</si>
  <si>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</si>
  <si>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</si>
  <si>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</si>
  <si>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</si>
  <si>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</si>
  <si>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</si>
  <si>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</si>
  <si>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</si>
  <si>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</si>
  <si>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</si>
  <si>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</si>
  <si>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</si>
  <si>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</si>
  <si>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</si>
  <si>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</si>
  <si>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</si>
  <si>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</si>
  <si>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</si>
  <si>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</si>
  <si>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</si>
  <si>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</si>
  <si>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</si>
  <si>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</si>
  <si>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</si>
  <si>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</si>
  <si>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</si>
  <si>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</si>
  <si>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</si>
  <si>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</si>
  <si>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</si>
  <si>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</si>
  <si>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</si>
  <si>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</si>
  <si>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</si>
  <si>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</si>
  <si>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</si>
  <si>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</si>
  <si>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</si>
  <si>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</si>
  <si>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</si>
  <si>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</si>
  <si>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</si>
  <si>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</si>
  <si>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</si>
  <si>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</si>
  <si>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</si>
  <si>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</si>
  <si>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</si>
  <si>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</si>
  <si>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</si>
  <si>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</si>
  <si>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</si>
  <si>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</si>
  <si>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</si>
  <si>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</si>
  <si>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</si>
  <si>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</si>
  <si>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</si>
  <si>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</si>
  <si>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</si>
  <si>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</si>
  <si>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</si>
  <si>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</si>
  <si>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</si>
  <si>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</si>
  <si>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</si>
  <si>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</si>
  <si>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</si>
  <si>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</si>
  <si>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</si>
  <si>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</si>
  <si>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</si>
  <si>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</si>
  <si>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</si>
  <si>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</si>
  <si>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</si>
  <si>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</si>
  <si>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</si>
  <si>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</si>
  <si>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</si>
  <si>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</si>
  <si>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</si>
  <si>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</si>
  <si>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</si>
  <si>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</si>
  <si>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</si>
  <si>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</si>
  <si>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</si>
  <si>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</si>
  <si>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</si>
  <si>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</si>
  <si>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</si>
  <si>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</si>
  <si>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</si>
  <si>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</si>
  <si>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</si>
  <si>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</si>
  <si>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</si>
  <si>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</si>
  <si>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</si>
  <si>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</si>
  <si>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</si>
  <si>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</si>
  <si>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</si>
  <si>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</si>
  <si>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</si>
  <si>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</si>
  <si>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</si>
  <si>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</si>
  <si>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</si>
  <si>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</si>
  <si>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</si>
  <si>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</si>
  <si>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</si>
  <si>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</si>
  <si>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</si>
  <si>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</si>
  <si>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</si>
  <si>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</si>
  <si>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</si>
  <si>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</si>
  <si>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</si>
  <si>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</si>
  <si>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</si>
  <si>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</si>
  <si>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</si>
  <si>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</si>
  <si>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</si>
  <si>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</si>
  <si>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</si>
  <si>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</si>
  <si>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</si>
  <si>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</si>
  <si>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</si>
  <si>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</si>
  <si>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</si>
  <si>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</si>
  <si>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</si>
  <si>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</si>
  <si>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</si>
  <si>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</si>
  <si>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</si>
  <si>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</si>
  <si>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</si>
  <si>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</si>
  <si>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</si>
  <si>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</si>
  <si>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</si>
  <si>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</si>
  <si>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</si>
  <si>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</si>
  <si>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</si>
  <si>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</si>
  <si>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</si>
  <si>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</si>
  <si>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</si>
  <si>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</si>
  <si>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</si>
  <si>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</si>
  <si>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</si>
  <si>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</si>
  <si>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</si>
  <si>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</si>
  <si>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</si>
  <si>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</si>
  <si>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</si>
  <si>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</si>
  <si>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</si>
  <si>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YALE-NEW HAVEN HEALTH SERVICES CORP. (YNHHSC)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</si>
  <si>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</si>
  <si>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</si>
  <si>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</si>
  <si>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</si>
  <si>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</si>
  <si>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</si>
  <si>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</si>
  <si>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</si>
  <si>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</si>
  <si>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</si>
  <si>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</si>
  <si>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</si>
  <si>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</si>
  <si>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</si>
  <si>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</si>
  <si>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</si>
  <si>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</si>
  <si>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</si>
  <si>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</si>
  <si>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</si>
  <si>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</si>
  <si>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</si>
  <si>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</si>
  <si>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</si>
  <si>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</si>
  <si>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</si>
  <si>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</si>
  <si>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</si>
  <si>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</si>
  <si>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</si>
  <si>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</si>
  <si>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</si>
  <si>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</si>
  <si>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</si>
  <si>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</si>
  <si>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</si>
  <si>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</si>
  <si>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</si>
  <si>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</si>
  <si>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</si>
  <si>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</si>
  <si>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</si>
  <si>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</si>
  <si>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</si>
  <si>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</si>
  <si>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</si>
  <si>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</si>
  <si>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</si>
  <si>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</si>
  <si>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</si>
  <si>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</si>
  <si>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</si>
  <si>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</si>
  <si>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</si>
  <si>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</si>
  <si>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</si>
  <si>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</si>
  <si>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</si>
  <si>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</si>
  <si>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</si>
  <si>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</si>
  <si>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</si>
  <si>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</si>
  <si>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</si>
  <si>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</si>
  <si>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</si>
  <si>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</si>
  <si>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</si>
  <si>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</si>
  <si>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</si>
  <si>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</si>
  <si>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</si>
  <si>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</si>
  <si>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</si>
  <si>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</si>
  <si>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</si>
  <si>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</si>
  <si>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</si>
  <si>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</si>
  <si>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</si>
  <si>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</si>
  <si>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</si>
  <si>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</si>
  <si>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</si>
  <si>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</si>
  <si>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</si>
  <si>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</si>
  <si>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</si>
  <si>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</si>
  <si>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</si>
  <si>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</si>
  <si>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</si>
  <si>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</si>
  <si>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</si>
  <si>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</si>
  <si>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</si>
  <si>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</si>
  <si>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</si>
  <si>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</si>
  <si>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</si>
  <si>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</si>
  <si>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</si>
  <si>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</si>
  <si>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</si>
  <si>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</si>
  <si>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</si>
  <si>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</si>
  <si>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</si>
  <si>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</si>
  <si>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</si>
  <si>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</si>
  <si>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</si>
  <si>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</si>
  <si>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</si>
  <si>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</si>
  <si>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</si>
  <si>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</si>
  <si>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</si>
  <si>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</si>
  <si>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</si>
  <si>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Temple Medical Center</t>
  </si>
  <si>
    <t>Yale New Haven Hospital</t>
  </si>
  <si>
    <t>SRC Operating</t>
  </si>
  <si>
    <t>Total Outpatient Surgical Procedures(A)</t>
  </si>
  <si>
    <t>Total Outpatient Endoscopy Procedures(B)</t>
  </si>
  <si>
    <t>Outpatient Hospital Emergency Room Visits</t>
  </si>
  <si>
    <t>N/A</t>
  </si>
  <si>
    <t>Shoreline Medical Center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</si>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</sst>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8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38914000</v>
      </c>
      <c r="D13" s="22">
        <v>20955000</v>
      </c>
      <c r="E13" s="22">
        <f t="shared" ref="E13:E22" si="0">D13-C13</f>
        <v>-17959000</v>
      </c>
      <c r="F13" s="23">
        <f t="shared" ref="F13:F22" si="1">IF(C13=0,0,E13/C13)</f>
        <v>-0.46150485686385362</v>
      </c>
    </row>
    <row r="14" spans="1:8" ht="24" customHeight="1" x14ac:dyDescent="0.2">
      <c r="A14" s="20">
        <v>2</v>
      </c>
      <c r="B14" s="21" t="s">
        <v>17</v>
      </c>
      <c r="C14" s="22">
        <v>671389000</v>
      </c>
      <c r="D14" s="22">
        <v>926009000</v>
      </c>
      <c r="E14" s="22">
        <f t="shared" si="0"/>
        <v>254620000</v>
      </c>
      <c r="F14" s="23">
        <f t="shared" si="1"/>
        <v>0.37924362776274262</v>
      </c>
    </row>
    <row r="15" spans="1:8" ht="24" customHeight="1" x14ac:dyDescent="0.2">
      <c r="A15" s="20">
        <v>3</v>
      </c>
      <c r="B15" s="21" t="s">
        <v>18</v>
      </c>
      <c r="C15" s="22">
        <v>233822000</v>
      </c>
      <c r="D15" s="22">
        <v>259581000</v>
      </c>
      <c r="E15" s="22">
        <f t="shared" si="0"/>
        <v>25759000</v>
      </c>
      <c r="F15" s="23">
        <f t="shared" si="1"/>
        <v>0.11016499730564275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27342000</v>
      </c>
      <c r="D19" s="22">
        <v>32802000</v>
      </c>
      <c r="E19" s="22">
        <f t="shared" si="0"/>
        <v>5460000</v>
      </c>
      <c r="F19" s="23">
        <f t="shared" si="1"/>
        <v>0.19969278033794163</v>
      </c>
    </row>
    <row r="20" spans="1:11" ht="24" customHeight="1" x14ac:dyDescent="0.2">
      <c r="A20" s="20">
        <v>8</v>
      </c>
      <c r="B20" s="21" t="s">
        <v>23</v>
      </c>
      <c r="C20" s="22">
        <v>33410000</v>
      </c>
      <c r="D20" s="22">
        <v>36081000</v>
      </c>
      <c r="E20" s="22">
        <f t="shared" si="0"/>
        <v>2671000</v>
      </c>
      <c r="F20" s="23">
        <f t="shared" si="1"/>
        <v>7.9946123914995504E-2</v>
      </c>
    </row>
    <row r="21" spans="1:11" ht="24" customHeight="1" x14ac:dyDescent="0.2">
      <c r="A21" s="20">
        <v>9</v>
      </c>
      <c r="B21" s="21" t="s">
        <v>24</v>
      </c>
      <c r="C21" s="22">
        <v>76334000</v>
      </c>
      <c r="D21" s="22">
        <v>57151000</v>
      </c>
      <c r="E21" s="22">
        <f t="shared" si="0"/>
        <v>-19183000</v>
      </c>
      <c r="F21" s="23">
        <f t="shared" si="1"/>
        <v>-0.25130348206565883</v>
      </c>
    </row>
    <row r="22" spans="1:11" ht="24" customHeight="1" x14ac:dyDescent="0.25">
      <c r="A22" s="24"/>
      <c r="B22" s="25" t="s">
        <v>25</v>
      </c>
      <c r="C22" s="26">
        <f>SUM(C13:C21)</f>
        <v>1081211000</v>
      </c>
      <c r="D22" s="26">
        <f>SUM(D13:D21)</f>
        <v>1332579000</v>
      </c>
      <c r="E22" s="26">
        <f t="shared" si="0"/>
        <v>251368000</v>
      </c>
      <c r="F22" s="27">
        <f t="shared" si="1"/>
        <v>0.23248746081939603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12538000</v>
      </c>
      <c r="D25" s="22">
        <v>17796000</v>
      </c>
      <c r="E25" s="22">
        <f>D25-C25</f>
        <v>5258000</v>
      </c>
      <c r="F25" s="23">
        <f>IF(C25=0,0,E25/C25)</f>
        <v>0.41936513000478542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71557000</v>
      </c>
      <c r="D26" s="22">
        <v>107073000</v>
      </c>
      <c r="E26" s="22">
        <f>D26-C26</f>
        <v>35516000</v>
      </c>
      <c r="F26" s="23">
        <f>IF(C26=0,0,E26/C26)</f>
        <v>0.49633159579076819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84095000</v>
      </c>
      <c r="D29" s="26">
        <f>SUM(D25:D28)</f>
        <v>124869000</v>
      </c>
      <c r="E29" s="26">
        <f>D29-C29</f>
        <v>40774000</v>
      </c>
      <c r="F29" s="27">
        <f>IF(C29=0,0,E29/C29)</f>
        <v>0.48485641239074856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207616000</v>
      </c>
      <c r="D32" s="22">
        <v>263938000</v>
      </c>
      <c r="E32" s="22">
        <f>D32-C32</f>
        <v>56322000</v>
      </c>
      <c r="F32" s="23">
        <f>IF(C32=0,0,E32/C32)</f>
        <v>0.27127967016029592</v>
      </c>
    </row>
    <row r="33" spans="1:8" ht="24" customHeight="1" x14ac:dyDescent="0.2">
      <c r="A33" s="20">
        <v>7</v>
      </c>
      <c r="B33" s="21" t="s">
        <v>35</v>
      </c>
      <c r="C33" s="22">
        <v>304698000</v>
      </c>
      <c r="D33" s="22">
        <v>304928000</v>
      </c>
      <c r="E33" s="22">
        <f>D33-C33</f>
        <v>230000</v>
      </c>
      <c r="F33" s="23">
        <f>IF(C33=0,0,E33/C33)</f>
        <v>7.5484578172485539E-4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1596042000</v>
      </c>
      <c r="D36" s="22">
        <v>1622326000</v>
      </c>
      <c r="E36" s="22">
        <f>D36-C36</f>
        <v>26284000</v>
      </c>
      <c r="F36" s="23">
        <f>IF(C36=0,0,E36/C36)</f>
        <v>1.6468238304505771E-2</v>
      </c>
    </row>
    <row r="37" spans="1:8" ht="24" customHeight="1" x14ac:dyDescent="0.2">
      <c r="A37" s="20">
        <v>2</v>
      </c>
      <c r="B37" s="21" t="s">
        <v>39</v>
      </c>
      <c r="C37" s="22">
        <v>677907000</v>
      </c>
      <c r="D37" s="22">
        <v>735391000</v>
      </c>
      <c r="E37" s="22">
        <f>D37-C37</f>
        <v>57484000</v>
      </c>
      <c r="F37" s="23">
        <f>IF(C37=0,0,E37/C37)</f>
        <v>8.4796292116765273E-2</v>
      </c>
    </row>
    <row r="38" spans="1:8" ht="24" customHeight="1" x14ac:dyDescent="0.25">
      <c r="A38" s="24"/>
      <c r="B38" s="25" t="s">
        <v>40</v>
      </c>
      <c r="C38" s="26">
        <f>C36-C37</f>
        <v>918135000</v>
      </c>
      <c r="D38" s="26">
        <f>D36-D37</f>
        <v>886935000</v>
      </c>
      <c r="E38" s="26">
        <f>D38-C38</f>
        <v>-31200000</v>
      </c>
      <c r="F38" s="27">
        <f>IF(C38=0,0,E38/C38)</f>
        <v>-3.3981930761816076E-2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22942000</v>
      </c>
      <c r="D40" s="22">
        <v>27576000</v>
      </c>
      <c r="E40" s="22">
        <f>D40-C40</f>
        <v>4634000</v>
      </c>
      <c r="F40" s="23">
        <f>IF(C40=0,0,E40/C40)</f>
        <v>0.20198762095719641</v>
      </c>
    </row>
    <row r="41" spans="1:8" ht="24" customHeight="1" x14ac:dyDescent="0.25">
      <c r="A41" s="24"/>
      <c r="B41" s="25" t="s">
        <v>42</v>
      </c>
      <c r="C41" s="26">
        <f>+C38+C40</f>
        <v>941077000</v>
      </c>
      <c r="D41" s="26">
        <f>+D38+D40</f>
        <v>914511000</v>
      </c>
      <c r="E41" s="26">
        <f>D41-C41</f>
        <v>-26566000</v>
      </c>
      <c r="F41" s="27">
        <f>IF(C41=0,0,E41/C41)</f>
        <v>-2.8229358490325446E-2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2618697000</v>
      </c>
      <c r="D43" s="26">
        <f>D22+D29+D31+D32+D33+D41</f>
        <v>2940825000</v>
      </c>
      <c r="E43" s="26">
        <f>D43-C43</f>
        <v>322128000</v>
      </c>
      <c r="F43" s="27">
        <f>IF(C43=0,0,E43/C43)</f>
        <v>0.12301079506334639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225782000</v>
      </c>
      <c r="D49" s="22">
        <v>231911000</v>
      </c>
      <c r="E49" s="22">
        <f t="shared" ref="E49:E56" si="2">D49-C49</f>
        <v>6129000</v>
      </c>
      <c r="F49" s="23">
        <f t="shared" ref="F49:F56" si="3">IF(C49=0,0,E49/C49)</f>
        <v>2.7145653772222764E-2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93206000</v>
      </c>
      <c r="D50" s="22">
        <v>113561000</v>
      </c>
      <c r="E50" s="22">
        <f t="shared" si="2"/>
        <v>20355000</v>
      </c>
      <c r="F50" s="23">
        <f t="shared" si="3"/>
        <v>0.21838722829002424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0</v>
      </c>
      <c r="E51" s="22">
        <f t="shared" si="2"/>
        <v>0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33767000</v>
      </c>
      <c r="D53" s="22">
        <v>28423000</v>
      </c>
      <c r="E53" s="22">
        <f t="shared" si="2"/>
        <v>-5344000</v>
      </c>
      <c r="F53" s="23">
        <f t="shared" si="3"/>
        <v>-0.15826102407676135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15079000</v>
      </c>
      <c r="D55" s="22">
        <v>17897000</v>
      </c>
      <c r="E55" s="22">
        <f t="shared" si="2"/>
        <v>2818000</v>
      </c>
      <c r="F55" s="23">
        <f t="shared" si="3"/>
        <v>0.18688241925857152</v>
      </c>
    </row>
    <row r="56" spans="1:6" ht="24" customHeight="1" x14ac:dyDescent="0.25">
      <c r="A56" s="24"/>
      <c r="B56" s="25" t="s">
        <v>54</v>
      </c>
      <c r="C56" s="26">
        <f>SUM(C49:C55)</f>
        <v>367834000</v>
      </c>
      <c r="D56" s="26">
        <f>SUM(D49:D55)</f>
        <v>391792000</v>
      </c>
      <c r="E56" s="26">
        <f t="shared" si="2"/>
        <v>23958000</v>
      </c>
      <c r="F56" s="27">
        <f t="shared" si="3"/>
        <v>6.5132641354524054E-2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676827000</v>
      </c>
      <c r="D59" s="22">
        <v>799902000</v>
      </c>
      <c r="E59" s="22">
        <f>D59-C59</f>
        <v>123075000</v>
      </c>
      <c r="F59" s="23">
        <f>IF(C59=0,0,E59/C59)</f>
        <v>0.18184114995412418</v>
      </c>
    </row>
    <row r="60" spans="1:6" ht="24" customHeight="1" x14ac:dyDescent="0.2">
      <c r="A60" s="20">
        <v>2</v>
      </c>
      <c r="B60" s="21" t="s">
        <v>57</v>
      </c>
      <c r="C60" s="22">
        <v>51347000</v>
      </c>
      <c r="D60" s="22">
        <v>51075000</v>
      </c>
      <c r="E60" s="22">
        <f>D60-C60</f>
        <v>-272000</v>
      </c>
      <c r="F60" s="23">
        <f>IF(C60=0,0,E60/C60)</f>
        <v>-5.2972909809725979E-3</v>
      </c>
    </row>
    <row r="61" spans="1:6" ht="24" customHeight="1" x14ac:dyDescent="0.25">
      <c r="A61" s="24"/>
      <c r="B61" s="25" t="s">
        <v>58</v>
      </c>
      <c r="C61" s="26">
        <f>SUM(C59:C60)</f>
        <v>728174000</v>
      </c>
      <c r="D61" s="26">
        <f>SUM(D59:D60)</f>
        <v>850977000</v>
      </c>
      <c r="E61" s="26">
        <f>D61-C61</f>
        <v>122803000</v>
      </c>
      <c r="F61" s="27">
        <f>IF(C61=0,0,E61/C61)</f>
        <v>0.16864513152076288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197950000</v>
      </c>
      <c r="D63" s="22">
        <v>231477000</v>
      </c>
      <c r="E63" s="22">
        <f>D63-C63</f>
        <v>33527000</v>
      </c>
      <c r="F63" s="23">
        <f>IF(C63=0,0,E63/C63)</f>
        <v>0.16937105329628693</v>
      </c>
    </row>
    <row r="64" spans="1:6" ht="24" customHeight="1" x14ac:dyDescent="0.2">
      <c r="A64" s="20">
        <v>4</v>
      </c>
      <c r="B64" s="21" t="s">
        <v>60</v>
      </c>
      <c r="C64" s="22">
        <v>306614000</v>
      </c>
      <c r="D64" s="22">
        <v>345977000</v>
      </c>
      <c r="E64" s="22">
        <f>D64-C64</f>
        <v>39363000</v>
      </c>
      <c r="F64" s="23">
        <f>IF(C64=0,0,E64/C64)</f>
        <v>0.12837965650622607</v>
      </c>
    </row>
    <row r="65" spans="1:6" ht="24" customHeight="1" x14ac:dyDescent="0.25">
      <c r="A65" s="24"/>
      <c r="B65" s="25" t="s">
        <v>61</v>
      </c>
      <c r="C65" s="26">
        <f>SUM(C61:C64)</f>
        <v>1232738000</v>
      </c>
      <c r="D65" s="26">
        <f>SUM(D61:D64)</f>
        <v>1428431000</v>
      </c>
      <c r="E65" s="26">
        <f>D65-C65</f>
        <v>195693000</v>
      </c>
      <c r="F65" s="27">
        <f>IF(C65=0,0,E65/C65)</f>
        <v>0.15874662742610351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930988000</v>
      </c>
      <c r="D70" s="22">
        <v>1020378000</v>
      </c>
      <c r="E70" s="22">
        <f>D70-C70</f>
        <v>89390000</v>
      </c>
      <c r="F70" s="23">
        <f>IF(C70=0,0,E70/C70)</f>
        <v>9.6016275182923952E-2</v>
      </c>
    </row>
    <row r="71" spans="1:6" ht="24" customHeight="1" x14ac:dyDescent="0.2">
      <c r="A71" s="20">
        <v>2</v>
      </c>
      <c r="B71" s="21" t="s">
        <v>65</v>
      </c>
      <c r="C71" s="22">
        <v>59982000</v>
      </c>
      <c r="D71" s="22">
        <v>64318000</v>
      </c>
      <c r="E71" s="22">
        <f>D71-C71</f>
        <v>4336000</v>
      </c>
      <c r="F71" s="23">
        <f>IF(C71=0,0,E71/C71)</f>
        <v>7.2288353172618447E-2</v>
      </c>
    </row>
    <row r="72" spans="1:6" ht="24" customHeight="1" x14ac:dyDescent="0.2">
      <c r="A72" s="20">
        <v>3</v>
      </c>
      <c r="B72" s="21" t="s">
        <v>66</v>
      </c>
      <c r="C72" s="22">
        <v>27155000</v>
      </c>
      <c r="D72" s="22">
        <v>35906000</v>
      </c>
      <c r="E72" s="22">
        <f>D72-C72</f>
        <v>8751000</v>
      </c>
      <c r="F72" s="23">
        <f>IF(C72=0,0,E72/C72)</f>
        <v>0.32226109372122996</v>
      </c>
    </row>
    <row r="73" spans="1:6" ht="24" customHeight="1" x14ac:dyDescent="0.25">
      <c r="A73" s="20"/>
      <c r="B73" s="25" t="s">
        <v>67</v>
      </c>
      <c r="C73" s="26">
        <f>SUM(C70:C72)</f>
        <v>1018125000</v>
      </c>
      <c r="D73" s="26">
        <f>SUM(D70:D72)</f>
        <v>1120602000</v>
      </c>
      <c r="E73" s="26">
        <f>D73-C73</f>
        <v>102477000</v>
      </c>
      <c r="F73" s="27">
        <f>IF(C73=0,0,E73/C73)</f>
        <v>0.10065267034990792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2618697000</v>
      </c>
      <c r="D75" s="26">
        <f>D56+D65+D67+D73</f>
        <v>2940825000</v>
      </c>
      <c r="E75" s="26">
        <f>D75-C75</f>
        <v>322128000</v>
      </c>
      <c r="F75" s="27">
        <f>IF(C75=0,0,E75/C75)</f>
        <v>0.12301079506334639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FILING&amp;RYALE-NEW HAVEN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1733252000</v>
      </c>
      <c r="D11" s="76">
        <v>2317430000</v>
      </c>
      <c r="E11" s="76">
        <v>3287692000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49518000</v>
      </c>
      <c r="D12" s="185">
        <v>60720000</v>
      </c>
      <c r="E12" s="185">
        <v>106994000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1782770000</v>
      </c>
      <c r="D13" s="76">
        <f>+D11+D12</f>
        <v>2378150000</v>
      </c>
      <c r="E13" s="76">
        <f>+E11+E12</f>
        <v>3394686000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1675207000</v>
      </c>
      <c r="D14" s="185">
        <v>2279435000</v>
      </c>
      <c r="E14" s="185">
        <v>3224574000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107563000</v>
      </c>
      <c r="D15" s="76">
        <f>+D13-D14</f>
        <v>98715000</v>
      </c>
      <c r="E15" s="76">
        <f>+E13-E14</f>
        <v>170112000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22853000</v>
      </c>
      <c r="D16" s="185">
        <v>69945000</v>
      </c>
      <c r="E16" s="185">
        <v>34189000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130416000</v>
      </c>
      <c r="D17" s="76">
        <f>D15+D16</f>
        <v>168660000</v>
      </c>
      <c r="E17" s="76">
        <f>E15+E16</f>
        <v>204301000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5.957112863537959E-2</v>
      </c>
      <c r="D20" s="189">
        <f>IF(+D27=0,0,+D24/+D27)</f>
        <v>4.032319007228069E-2</v>
      </c>
      <c r="E20" s="189">
        <f>IF(+E27=0,0,+E24/+E27)</f>
        <v>4.9611607305603149E-2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1.2656573382151202E-2</v>
      </c>
      <c r="D21" s="189">
        <f>IF(+D27=0,0,+D26/+D27)</f>
        <v>2.8571195153782838E-2</v>
      </c>
      <c r="E21" s="189">
        <f>IF(+E27=0,0,+E26/+E27)</f>
        <v>9.97090882578105E-3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7.2227702017530787E-2</v>
      </c>
      <c r="D22" s="189">
        <f>IF(+D27=0,0,+D28/+D27)</f>
        <v>6.8894385226063531E-2</v>
      </c>
      <c r="E22" s="189">
        <f>IF(+E27=0,0,+E28/+E27)</f>
        <v>5.9582516131384197E-2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107563000</v>
      </c>
      <c r="D24" s="76">
        <f>+D15</f>
        <v>98715000</v>
      </c>
      <c r="E24" s="76">
        <f>+E15</f>
        <v>170112000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1782770000</v>
      </c>
      <c r="D25" s="76">
        <f>+D13</f>
        <v>2378150000</v>
      </c>
      <c r="E25" s="76">
        <f>+E13</f>
        <v>3394686000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22853000</v>
      </c>
      <c r="D26" s="76">
        <f>+D16</f>
        <v>69945000</v>
      </c>
      <c r="E26" s="76">
        <f>+E16</f>
        <v>34189000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1805623000</v>
      </c>
      <c r="D27" s="76">
        <f>SUM(D25:D26)</f>
        <v>2448095000</v>
      </c>
      <c r="E27" s="76">
        <f>SUM(E25:E26)</f>
        <v>3428875000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130416000</v>
      </c>
      <c r="D28" s="76">
        <f>+D17</f>
        <v>168660000</v>
      </c>
      <c r="E28" s="76">
        <f>+E17</f>
        <v>204301000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686529000</v>
      </c>
      <c r="D31" s="76">
        <v>938843000</v>
      </c>
      <c r="E31" s="76">
        <v>1644056000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759299000</v>
      </c>
      <c r="D32" s="76">
        <v>1025980000</v>
      </c>
      <c r="E32" s="76">
        <v>1866624000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74097000</v>
      </c>
      <c r="D33" s="76">
        <f>+D32-C32</f>
        <v>266681000</v>
      </c>
      <c r="E33" s="76">
        <f>+E32-D32</f>
        <v>840644000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1.1081000000000001</v>
      </c>
      <c r="D34" s="193">
        <f>IF(C32=0,0,+D33/C32)</f>
        <v>0.35122000687476213</v>
      </c>
      <c r="E34" s="193">
        <f>IF(D32=0,0,+E33/D32)</f>
        <v>0.81935710247763116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2.3584687913207212</v>
      </c>
      <c r="D38" s="338">
        <f>IF(+D40=0,0,+D39/+D40)</f>
        <v>3.0049494986944341</v>
      </c>
      <c r="E38" s="338">
        <f>IF(+E40=0,0,+E39/+E40)</f>
        <v>2.9653532596725967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1009552000</v>
      </c>
      <c r="D39" s="341">
        <v>1134711000</v>
      </c>
      <c r="E39" s="341">
        <v>1683007000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428054000</v>
      </c>
      <c r="D40" s="341">
        <v>377614000</v>
      </c>
      <c r="E40" s="341">
        <v>567557000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155.70988151824585</v>
      </c>
      <c r="D42" s="343">
        <f>IF((D48/365)=0,0,+D45/(D48/365))</f>
        <v>127.13236680110184</v>
      </c>
      <c r="E42" s="343">
        <f>IF((E48/365)=0,0,+E45/(E48/365))</f>
        <v>144.66881307910103</v>
      </c>
    </row>
    <row r="43" spans="1:14" ht="24" customHeight="1" x14ac:dyDescent="0.2">
      <c r="A43" s="339">
        <v>5</v>
      </c>
      <c r="B43" s="344" t="s">
        <v>16</v>
      </c>
      <c r="C43" s="345">
        <v>69453000</v>
      </c>
      <c r="D43" s="345">
        <v>46312000</v>
      </c>
      <c r="E43" s="345">
        <v>161059000</v>
      </c>
    </row>
    <row r="44" spans="1:14" ht="24" customHeight="1" x14ac:dyDescent="0.2">
      <c r="A44" s="339">
        <v>6</v>
      </c>
      <c r="B44" s="346" t="s">
        <v>17</v>
      </c>
      <c r="C44" s="345">
        <v>613360000</v>
      </c>
      <c r="D44" s="345">
        <v>709453000</v>
      </c>
      <c r="E44" s="345">
        <v>1040882000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682813000</v>
      </c>
      <c r="D45" s="341">
        <f>+D43+D44</f>
        <v>755765000</v>
      </c>
      <c r="E45" s="341">
        <f>+E43+E44</f>
        <v>1201941000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1675207000</v>
      </c>
      <c r="D46" s="341">
        <f>+D14</f>
        <v>2279435000</v>
      </c>
      <c r="E46" s="341">
        <f>+E14</f>
        <v>3224574000</v>
      </c>
    </row>
    <row r="47" spans="1:14" ht="24" customHeight="1" x14ac:dyDescent="0.2">
      <c r="A47" s="339">
        <v>9</v>
      </c>
      <c r="B47" s="340" t="s">
        <v>356</v>
      </c>
      <c r="C47" s="341">
        <v>74623000</v>
      </c>
      <c r="D47" s="341">
        <v>109616000</v>
      </c>
      <c r="E47" s="341">
        <v>192072000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1600584000</v>
      </c>
      <c r="D48" s="341">
        <f>+D46-D47</f>
        <v>2169819000</v>
      </c>
      <c r="E48" s="341">
        <f>+E46-E47</f>
        <v>3032502000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43.318548024176522</v>
      </c>
      <c r="D50" s="350">
        <f>IF((D55/365)=0,0,+D54/(D55/365))</f>
        <v>37.62739974885973</v>
      </c>
      <c r="E50" s="350">
        <f>IF((E55/365)=0,0,+E54/(E55/365))</f>
        <v>40.893377481832246</v>
      </c>
    </row>
    <row r="51" spans="1:5" ht="24" customHeight="1" x14ac:dyDescent="0.2">
      <c r="A51" s="339">
        <v>12</v>
      </c>
      <c r="B51" s="344" t="s">
        <v>359</v>
      </c>
      <c r="C51" s="351">
        <v>205704000</v>
      </c>
      <c r="D51" s="351">
        <v>238901000</v>
      </c>
      <c r="E51" s="351">
        <v>368342000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205704000</v>
      </c>
      <c r="D54" s="352">
        <f>+D51+D52-D53</f>
        <v>238901000</v>
      </c>
      <c r="E54" s="352">
        <f>+E51+E52-E53</f>
        <v>368342000</v>
      </c>
    </row>
    <row r="55" spans="1:5" ht="24" customHeight="1" x14ac:dyDescent="0.2">
      <c r="A55" s="339">
        <v>16</v>
      </c>
      <c r="B55" s="340" t="s">
        <v>75</v>
      </c>
      <c r="C55" s="341">
        <f>+C11</f>
        <v>1733252000</v>
      </c>
      <c r="D55" s="341">
        <f>+D11</f>
        <v>2317430000</v>
      </c>
      <c r="E55" s="341">
        <f>+E11</f>
        <v>3287692000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97.614189570806658</v>
      </c>
      <c r="D57" s="355">
        <f>IF((D61/365)=0,0,+D58/(D61/365))</f>
        <v>63.521017190834812</v>
      </c>
      <c r="E57" s="355">
        <f>IF((E61/365)=0,0,+E58/(E61/365))</f>
        <v>68.312668878701487</v>
      </c>
    </row>
    <row r="58" spans="1:5" ht="24" customHeight="1" x14ac:dyDescent="0.2">
      <c r="A58" s="339">
        <v>18</v>
      </c>
      <c r="B58" s="340" t="s">
        <v>54</v>
      </c>
      <c r="C58" s="353">
        <f>+C40</f>
        <v>428054000</v>
      </c>
      <c r="D58" s="353">
        <f>+D40</f>
        <v>377614000</v>
      </c>
      <c r="E58" s="353">
        <f>+E40</f>
        <v>567557000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1675207000</v>
      </c>
      <c r="D59" s="353">
        <f t="shared" si="0"/>
        <v>2279435000</v>
      </c>
      <c r="E59" s="353">
        <f t="shared" si="0"/>
        <v>3224574000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74623000</v>
      </c>
      <c r="D60" s="356">
        <f t="shared" si="0"/>
        <v>109616000</v>
      </c>
      <c r="E60" s="356">
        <f t="shared" si="0"/>
        <v>192072000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1600584000</v>
      </c>
      <c r="D61" s="353">
        <f>+D59-D60</f>
        <v>2169819000</v>
      </c>
      <c r="E61" s="353">
        <f>+E59-E60</f>
        <v>3032502000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29.905659002568353</v>
      </c>
      <c r="D65" s="357">
        <f>IF(D67=0,0,(D66/D67)*100)</f>
        <v>38.266700980556706</v>
      </c>
      <c r="E65" s="357">
        <f>IF(E67=0,0,(E66/E67)*100)</f>
        <v>44.095108709132646</v>
      </c>
    </row>
    <row r="66" spans="1:5" ht="24" customHeight="1" x14ac:dyDescent="0.2">
      <c r="A66" s="339">
        <v>2</v>
      </c>
      <c r="B66" s="340" t="s">
        <v>67</v>
      </c>
      <c r="C66" s="353">
        <f>+C32</f>
        <v>759299000</v>
      </c>
      <c r="D66" s="353">
        <f>+D32</f>
        <v>1025980000</v>
      </c>
      <c r="E66" s="353">
        <f>+E32</f>
        <v>1866624000</v>
      </c>
    </row>
    <row r="67" spans="1:5" ht="24" customHeight="1" x14ac:dyDescent="0.2">
      <c r="A67" s="339">
        <v>3</v>
      </c>
      <c r="B67" s="340" t="s">
        <v>43</v>
      </c>
      <c r="C67" s="353">
        <v>2538981000</v>
      </c>
      <c r="D67" s="353">
        <v>2681130000</v>
      </c>
      <c r="E67" s="353">
        <v>4233177000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17.684648677181137</v>
      </c>
      <c r="D69" s="357">
        <f>IF(D75=0,0,(D72/D75)*100)</f>
        <v>25.094620198086947</v>
      </c>
      <c r="E69" s="357">
        <f>IF(E75=0,0,(E72/E75)*100)</f>
        <v>25.479312397391212</v>
      </c>
    </row>
    <row r="70" spans="1:5" ht="24" customHeight="1" x14ac:dyDescent="0.2">
      <c r="A70" s="339">
        <v>5</v>
      </c>
      <c r="B70" s="340" t="s">
        <v>366</v>
      </c>
      <c r="C70" s="353">
        <f>+C28</f>
        <v>130416000</v>
      </c>
      <c r="D70" s="353">
        <f>+D28</f>
        <v>168660000</v>
      </c>
      <c r="E70" s="353">
        <f>+E28</f>
        <v>204301000</v>
      </c>
    </row>
    <row r="71" spans="1:5" ht="24" customHeight="1" x14ac:dyDescent="0.2">
      <c r="A71" s="339">
        <v>6</v>
      </c>
      <c r="B71" s="340" t="s">
        <v>356</v>
      </c>
      <c r="C71" s="356">
        <f>+C47</f>
        <v>74623000</v>
      </c>
      <c r="D71" s="356">
        <f>+D47</f>
        <v>109616000</v>
      </c>
      <c r="E71" s="356">
        <f>+E47</f>
        <v>192072000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205039000</v>
      </c>
      <c r="D72" s="353">
        <f>+D70+D71</f>
        <v>278276000</v>
      </c>
      <c r="E72" s="353">
        <f>+E70+E71</f>
        <v>396373000</v>
      </c>
    </row>
    <row r="73" spans="1:5" ht="24" customHeight="1" x14ac:dyDescent="0.2">
      <c r="A73" s="339">
        <v>8</v>
      </c>
      <c r="B73" s="340" t="s">
        <v>54</v>
      </c>
      <c r="C73" s="341">
        <f>+C40</f>
        <v>428054000</v>
      </c>
      <c r="D73" s="341">
        <f>+D40</f>
        <v>377614000</v>
      </c>
      <c r="E73" s="341">
        <f>+E40</f>
        <v>567557000</v>
      </c>
    </row>
    <row r="74" spans="1:5" ht="24" customHeight="1" x14ac:dyDescent="0.2">
      <c r="A74" s="339">
        <v>9</v>
      </c>
      <c r="B74" s="340" t="s">
        <v>58</v>
      </c>
      <c r="C74" s="353">
        <v>731364000</v>
      </c>
      <c r="D74" s="353">
        <v>731293000</v>
      </c>
      <c r="E74" s="353">
        <v>988109000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1159418000</v>
      </c>
      <c r="D75" s="341">
        <f>+D73+D74</f>
        <v>1108907000</v>
      </c>
      <c r="E75" s="341">
        <f>+E73+E74</f>
        <v>1555666000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49.063000825807038</v>
      </c>
      <c r="D77" s="359">
        <f>IF(D80=0,0,(D78/D80)*100)</f>
        <v>41.615218580152316</v>
      </c>
      <c r="E77" s="359">
        <f>IF(E80=0,0,(E78/E80)*100)</f>
        <v>34.61300934273013</v>
      </c>
    </row>
    <row r="78" spans="1:5" ht="24" customHeight="1" x14ac:dyDescent="0.2">
      <c r="A78" s="339">
        <v>12</v>
      </c>
      <c r="B78" s="340" t="s">
        <v>58</v>
      </c>
      <c r="C78" s="341">
        <f>+C74</f>
        <v>731364000</v>
      </c>
      <c r="D78" s="341">
        <f>+D74</f>
        <v>731293000</v>
      </c>
      <c r="E78" s="341">
        <f>+E74</f>
        <v>988109000</v>
      </c>
    </row>
    <row r="79" spans="1:5" ht="24" customHeight="1" x14ac:dyDescent="0.2">
      <c r="A79" s="339">
        <v>13</v>
      </c>
      <c r="B79" s="340" t="s">
        <v>67</v>
      </c>
      <c r="C79" s="341">
        <f>+C32</f>
        <v>759299000</v>
      </c>
      <c r="D79" s="341">
        <f>+D32</f>
        <v>1025980000</v>
      </c>
      <c r="E79" s="341">
        <f>+E32</f>
        <v>1866624000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1490663000</v>
      </c>
      <c r="D80" s="341">
        <f>+D78+D79</f>
        <v>1757273000</v>
      </c>
      <c r="E80" s="341">
        <f>+E78+E79</f>
        <v>2854733000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FILING&amp;R&amp;8YALE-NEW HAVEN HEALTH SERVICES CORP. (YNHHSC)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268667</v>
      </c>
      <c r="D11" s="376">
        <v>53552</v>
      </c>
      <c r="E11" s="376">
        <v>52018</v>
      </c>
      <c r="F11" s="377">
        <v>820</v>
      </c>
      <c r="G11" s="377">
        <v>898</v>
      </c>
      <c r="H11" s="378">
        <f>IF(F11=0,0,$C11/(F11*365))</f>
        <v>0.89765118610090211</v>
      </c>
      <c r="I11" s="378">
        <f>IF(G11=0,0,$C11/(G11*365))</f>
        <v>0.81968148396741614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33978</v>
      </c>
      <c r="D13" s="376">
        <v>3904</v>
      </c>
      <c r="E13" s="376">
        <v>0</v>
      </c>
      <c r="F13" s="377">
        <v>160</v>
      </c>
      <c r="G13" s="377">
        <v>160</v>
      </c>
      <c r="H13" s="378">
        <f>IF(F13=0,0,$C13/(F13*365))</f>
        <v>0.58181506849315068</v>
      </c>
      <c r="I13" s="378">
        <f>IF(G13=0,0,$C13/(G13*365))</f>
        <v>0.58181506849315068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11016</v>
      </c>
      <c r="D15" s="376">
        <v>1126</v>
      </c>
      <c r="E15" s="376">
        <v>1129</v>
      </c>
      <c r="F15" s="377">
        <v>36</v>
      </c>
      <c r="G15" s="377">
        <v>36</v>
      </c>
      <c r="H15" s="378">
        <f t="shared" ref="H15:I17" si="0">IF(F15=0,0,$C15/(F15*365))</f>
        <v>0.83835616438356164</v>
      </c>
      <c r="I15" s="378">
        <f t="shared" si="0"/>
        <v>0.83835616438356164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35770</v>
      </c>
      <c r="D16" s="376">
        <v>3266</v>
      </c>
      <c r="E16" s="376">
        <v>3305</v>
      </c>
      <c r="F16" s="377">
        <v>99</v>
      </c>
      <c r="G16" s="377">
        <v>99</v>
      </c>
      <c r="H16" s="378">
        <f t="shared" si="0"/>
        <v>0.98989898989898994</v>
      </c>
      <c r="I16" s="378">
        <f t="shared" si="0"/>
        <v>0.98989898989898994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46786</v>
      </c>
      <c r="D17" s="381">
        <f>SUM(D15:D16)</f>
        <v>4392</v>
      </c>
      <c r="E17" s="381">
        <f>SUM(E15:E16)</f>
        <v>4434</v>
      </c>
      <c r="F17" s="381">
        <f>SUM(F15:F16)</f>
        <v>135</v>
      </c>
      <c r="G17" s="381">
        <f>SUM(G15:G16)</f>
        <v>135</v>
      </c>
      <c r="H17" s="382">
        <f t="shared" si="0"/>
        <v>0.94948756976154236</v>
      </c>
      <c r="I17" s="382">
        <f t="shared" si="0"/>
        <v>0.94948756976154236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2421</v>
      </c>
      <c r="D19" s="376">
        <v>195</v>
      </c>
      <c r="E19" s="376">
        <v>192</v>
      </c>
      <c r="F19" s="377">
        <v>18</v>
      </c>
      <c r="G19" s="377">
        <v>18</v>
      </c>
      <c r="H19" s="378">
        <f>IF(F19=0,0,$C19/(F19*365))</f>
        <v>0.36849315068493149</v>
      </c>
      <c r="I19" s="378">
        <f>IF(G19=0,0,$C19/(G19*365))</f>
        <v>0.36849315068493149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20915</v>
      </c>
      <c r="D21" s="376">
        <v>6171</v>
      </c>
      <c r="E21" s="376">
        <v>5072</v>
      </c>
      <c r="F21" s="377">
        <v>67</v>
      </c>
      <c r="G21" s="377">
        <v>75</v>
      </c>
      <c r="H21" s="378">
        <f>IF(F21=0,0,$C21/(F21*365))</f>
        <v>0.85524432631363734</v>
      </c>
      <c r="I21" s="378">
        <f>IF(G21=0,0,$C21/(G21*365))</f>
        <v>0.76401826484018265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11948</v>
      </c>
      <c r="D23" s="376">
        <v>5854</v>
      </c>
      <c r="E23" s="376">
        <v>5210</v>
      </c>
      <c r="F23" s="377">
        <v>53</v>
      </c>
      <c r="G23" s="377">
        <v>53</v>
      </c>
      <c r="H23" s="378">
        <f>IF(F23=0,0,$C23/(F23*365))</f>
        <v>0.6176272938743862</v>
      </c>
      <c r="I23" s="378">
        <f>IF(G23=0,0,$C23/(G23*365))</f>
        <v>0.6176272938743862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17376</v>
      </c>
      <c r="D25" s="376">
        <v>917</v>
      </c>
      <c r="E25" s="376">
        <v>0</v>
      </c>
      <c r="F25" s="377">
        <v>81</v>
      </c>
      <c r="G25" s="377">
        <v>81</v>
      </c>
      <c r="H25" s="378">
        <f>IF(F25=0,0,$C25/(F25*365))</f>
        <v>0.58772196854388636</v>
      </c>
      <c r="I25" s="378">
        <f>IF(G25=0,0,$C25/(G25*365))</f>
        <v>0.58772196854388636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24424</v>
      </c>
      <c r="D27" s="376">
        <v>7448</v>
      </c>
      <c r="E27" s="376">
        <v>7370</v>
      </c>
      <c r="F27" s="377">
        <v>92</v>
      </c>
      <c r="G27" s="377">
        <v>101</v>
      </c>
      <c r="H27" s="378">
        <f>IF(F27=0,0,$C27/(F27*365))</f>
        <v>0.7273377010125075</v>
      </c>
      <c r="I27" s="378">
        <f>IF(G27=0,0,$C27/(G27*365))</f>
        <v>0.66252543062525426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414567</v>
      </c>
      <c r="D31" s="384">
        <f>SUM(D10:D29)-D13-D17-D23</f>
        <v>72675</v>
      </c>
      <c r="E31" s="384">
        <f>SUM(E10:E29)-E17-E23</f>
        <v>69086</v>
      </c>
      <c r="F31" s="384">
        <f>SUM(F10:F29)-F17-F23</f>
        <v>1373</v>
      </c>
      <c r="G31" s="384">
        <f>SUM(G10:G29)-G17-G23</f>
        <v>1468</v>
      </c>
      <c r="H31" s="385">
        <f>IF(F31=0,0,$C31/(F31*365))</f>
        <v>0.82723962126729789</v>
      </c>
      <c r="I31" s="385">
        <f>IF(G31=0,0,$C31/(G31*365))</f>
        <v>0.77370572207084465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426515</v>
      </c>
      <c r="D33" s="384">
        <f>SUM(D10:D29)-D13-D17</f>
        <v>78529</v>
      </c>
      <c r="E33" s="384">
        <f>SUM(E10:E29)-E17</f>
        <v>74296</v>
      </c>
      <c r="F33" s="384">
        <f>SUM(F10:F29)-F17</f>
        <v>1426</v>
      </c>
      <c r="G33" s="384">
        <f>SUM(G10:G29)-G17</f>
        <v>1521</v>
      </c>
      <c r="H33" s="385">
        <f>IF(F33=0,0,$C33/(F33*365))</f>
        <v>0.81944898076812234</v>
      </c>
      <c r="I33" s="385">
        <f>IF(G33=0,0,$C33/(G33*365))</f>
        <v>0.76826709176551111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426515</v>
      </c>
      <c r="D36" s="384">
        <f t="shared" si="1"/>
        <v>78529</v>
      </c>
      <c r="E36" s="384">
        <f t="shared" si="1"/>
        <v>74296</v>
      </c>
      <c r="F36" s="384">
        <f t="shared" si="1"/>
        <v>1426</v>
      </c>
      <c r="G36" s="384">
        <f t="shared" si="1"/>
        <v>1521</v>
      </c>
      <c r="H36" s="387">
        <f t="shared" si="1"/>
        <v>0.81944898076812234</v>
      </c>
      <c r="I36" s="387">
        <f t="shared" si="1"/>
        <v>0.76826709176551111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462219</v>
      </c>
      <c r="D37" s="384">
        <v>80503</v>
      </c>
      <c r="E37" s="384">
        <v>68812</v>
      </c>
      <c r="F37" s="386">
        <v>1572</v>
      </c>
      <c r="G37" s="386">
        <v>1618</v>
      </c>
      <c r="H37" s="385">
        <f>IF(F37=0,0,$C37/(F37*365))</f>
        <v>0.80556833629614133</v>
      </c>
      <c r="I37" s="385">
        <f>IF(G37=0,0,$C37/(G37*365))</f>
        <v>0.78266589904668371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-35704</v>
      </c>
      <c r="D38" s="384">
        <f t="shared" si="2"/>
        <v>-1974</v>
      </c>
      <c r="E38" s="384">
        <f t="shared" si="2"/>
        <v>5484</v>
      </c>
      <c r="F38" s="384">
        <f t="shared" si="2"/>
        <v>-146</v>
      </c>
      <c r="G38" s="384">
        <f t="shared" si="2"/>
        <v>-97</v>
      </c>
      <c r="H38" s="387">
        <f t="shared" si="2"/>
        <v>1.3880644471981007E-2</v>
      </c>
      <c r="I38" s="387">
        <f t="shared" si="2"/>
        <v>-1.4398807281172599E-2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-7.7244769254401047E-2</v>
      </c>
      <c r="D40" s="389">
        <f t="shared" si="3"/>
        <v>-2.4520825310857981E-2</v>
      </c>
      <c r="E40" s="389">
        <f t="shared" si="3"/>
        <v>7.969540196477358E-2</v>
      </c>
      <c r="F40" s="389">
        <f t="shared" si="3"/>
        <v>-9.2875318066157758E-2</v>
      </c>
      <c r="G40" s="389">
        <f t="shared" si="3"/>
        <v>-5.9950556242274411E-2</v>
      </c>
      <c r="H40" s="389">
        <f t="shared" si="3"/>
        <v>1.7230871481123154E-2</v>
      </c>
      <c r="I40" s="389">
        <f t="shared" si="3"/>
        <v>-1.8397131264708075E-2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1541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FILING&amp;RYALE-NEW HAVEN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42201</v>
      </c>
      <c r="D12" s="409">
        <v>42206</v>
      </c>
      <c r="E12" s="409">
        <f>+D12-C12</f>
        <v>5</v>
      </c>
      <c r="F12" s="410">
        <f>IF(C12=0,0,+E12/C12)</f>
        <v>1.1848060472500651E-4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48448</v>
      </c>
      <c r="D13" s="409">
        <v>53887</v>
      </c>
      <c r="E13" s="409">
        <f>+D13-C13</f>
        <v>5439</v>
      </c>
      <c r="F13" s="410">
        <f>IF(C13=0,0,+E13/C13)</f>
        <v>0.1122646961690885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26127</v>
      </c>
      <c r="D14" s="409">
        <v>21924</v>
      </c>
      <c r="E14" s="409">
        <f>+D14-C14</f>
        <v>-4203</v>
      </c>
      <c r="F14" s="410">
        <f>IF(C14=0,0,+E14/C14)</f>
        <v>-0.16086806751636237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116776</v>
      </c>
      <c r="D16" s="401">
        <f>SUM(D12:D15)</f>
        <v>118017</v>
      </c>
      <c r="E16" s="401">
        <f>+D16-C16</f>
        <v>1241</v>
      </c>
      <c r="F16" s="402">
        <f>IF(C16=0,0,+E16/C16)</f>
        <v>1.062718366787696E-2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10230</v>
      </c>
      <c r="D19" s="409">
        <v>11676</v>
      </c>
      <c r="E19" s="409">
        <f>+D19-C19</f>
        <v>1446</v>
      </c>
      <c r="F19" s="410">
        <f>IF(C19=0,0,+E19/C19)</f>
        <v>0.14134897360703813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35856</v>
      </c>
      <c r="D20" s="409">
        <v>37688</v>
      </c>
      <c r="E20" s="409">
        <f>+D20-C20</f>
        <v>1832</v>
      </c>
      <c r="F20" s="410">
        <f>IF(C20=0,0,+E20/C20)</f>
        <v>5.109326193663543E-2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1460</v>
      </c>
      <c r="D21" s="409">
        <v>1028</v>
      </c>
      <c r="E21" s="409">
        <f>+D21-C21</f>
        <v>-432</v>
      </c>
      <c r="F21" s="410">
        <f>IF(C21=0,0,+E21/C21)</f>
        <v>-0.29589041095890412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47546</v>
      </c>
      <c r="D23" s="401">
        <f>SUM(D19:D22)</f>
        <v>50392</v>
      </c>
      <c r="E23" s="401">
        <f>+D23-C23</f>
        <v>2846</v>
      </c>
      <c r="F23" s="402">
        <f>IF(C23=0,0,+E23/C23)</f>
        <v>5.9857821898792747E-2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104</v>
      </c>
      <c r="D26" s="409">
        <v>119</v>
      </c>
      <c r="E26" s="409">
        <f>+D26-C26</f>
        <v>15</v>
      </c>
      <c r="F26" s="410">
        <f>IF(C26=0,0,+E26/C26)</f>
        <v>0.14423076923076922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190</v>
      </c>
      <c r="D27" s="409">
        <v>625</v>
      </c>
      <c r="E27" s="409">
        <f>+D27-C27</f>
        <v>435</v>
      </c>
      <c r="F27" s="410">
        <f>IF(C27=0,0,+E27/C27)</f>
        <v>2.2894736842105261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66</v>
      </c>
      <c r="D28" s="409">
        <v>0</v>
      </c>
      <c r="E28" s="409">
        <f>+D28-C28</f>
        <v>-66</v>
      </c>
      <c r="F28" s="410">
        <f>IF(C28=0,0,+E28/C28)</f>
        <v>-1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360</v>
      </c>
      <c r="D30" s="401">
        <f>SUM(D26:D29)</f>
        <v>744</v>
      </c>
      <c r="E30" s="401">
        <f>+D30-C30</f>
        <v>384</v>
      </c>
      <c r="F30" s="402">
        <f>IF(C30=0,0,+E30/C30)</f>
        <v>1.0666666666666667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612</v>
      </c>
      <c r="D33" s="409">
        <v>218</v>
      </c>
      <c r="E33" s="409">
        <f>+D33-C33</f>
        <v>-394</v>
      </c>
      <c r="F33" s="410">
        <f>IF(C33=0,0,+E33/C33)</f>
        <v>-0.64379084967320266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3598</v>
      </c>
      <c r="D34" s="409">
        <v>3245</v>
      </c>
      <c r="E34" s="409">
        <f>+D34-C34</f>
        <v>-353</v>
      </c>
      <c r="F34" s="410">
        <f>IF(C34=0,0,+E34/C34)</f>
        <v>-9.8110061145080599E-2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2455</v>
      </c>
      <c r="D35" s="409">
        <v>2</v>
      </c>
      <c r="E35" s="409">
        <f>+D35-C35</f>
        <v>-2453</v>
      </c>
      <c r="F35" s="410">
        <f>IF(C35=0,0,+E35/C35)</f>
        <v>-0.99918533604887982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6665</v>
      </c>
      <c r="D37" s="401">
        <f>SUM(D33:D36)</f>
        <v>3465</v>
      </c>
      <c r="E37" s="401">
        <f>+D37-C37</f>
        <v>-3200</v>
      </c>
      <c r="F37" s="402">
        <f>IF(C37=0,0,+E37/C37)</f>
        <v>-0.48012003000750186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1527</v>
      </c>
      <c r="D43" s="409">
        <v>1335</v>
      </c>
      <c r="E43" s="409">
        <f>+D43-C43</f>
        <v>-192</v>
      </c>
      <c r="F43" s="410">
        <f>IF(C43=0,0,+E43/C43)</f>
        <v>-0.12573673870333987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46200</v>
      </c>
      <c r="D44" s="409">
        <v>47831</v>
      </c>
      <c r="E44" s="409">
        <f>+D44-C44</f>
        <v>1631</v>
      </c>
      <c r="F44" s="410">
        <f>IF(C44=0,0,+E44/C44)</f>
        <v>3.5303030303030301E-2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47727</v>
      </c>
      <c r="D45" s="401">
        <f>SUM(D43:D44)</f>
        <v>49166</v>
      </c>
      <c r="E45" s="401">
        <f>+D45-C45</f>
        <v>1439</v>
      </c>
      <c r="F45" s="402">
        <f>IF(C45=0,0,+E45/C45)</f>
        <v>3.0150648479896076E-2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1469</v>
      </c>
      <c r="D48" s="409">
        <v>2521</v>
      </c>
      <c r="E48" s="409">
        <f>+D48-C48</f>
        <v>1052</v>
      </c>
      <c r="F48" s="410">
        <f>IF(C48=0,0,+E48/C48)</f>
        <v>0.71613342409802583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935</v>
      </c>
      <c r="D49" s="409">
        <v>1748</v>
      </c>
      <c r="E49" s="409">
        <f>+D49-C49</f>
        <v>813</v>
      </c>
      <c r="F49" s="410">
        <f>IF(C49=0,0,+E49/C49)</f>
        <v>0.8695187165775401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2404</v>
      </c>
      <c r="D50" s="401">
        <f>SUM(D48:D49)</f>
        <v>4269</v>
      </c>
      <c r="E50" s="401">
        <f>+D50-C50</f>
        <v>1865</v>
      </c>
      <c r="F50" s="402">
        <f>IF(C50=0,0,+E50/C50)</f>
        <v>0.77579034941763725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359</v>
      </c>
      <c r="D53" s="409">
        <v>627</v>
      </c>
      <c r="E53" s="409">
        <f>+D53-C53</f>
        <v>268</v>
      </c>
      <c r="F53" s="410">
        <f>IF(C53=0,0,+E53/C53)</f>
        <v>0.74651810584958223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1470</v>
      </c>
      <c r="D54" s="409">
        <v>929</v>
      </c>
      <c r="E54" s="409">
        <f>+D54-C54</f>
        <v>-541</v>
      </c>
      <c r="F54" s="410">
        <f>IF(C54=0,0,+E54/C54)</f>
        <v>-0.36802721088435375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1829</v>
      </c>
      <c r="D55" s="401">
        <f>SUM(D53:D54)</f>
        <v>1556</v>
      </c>
      <c r="E55" s="401">
        <f>+D55-C55</f>
        <v>-273</v>
      </c>
      <c r="F55" s="402">
        <f>IF(C55=0,0,+E55/C55)</f>
        <v>-0.14926189174412247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1651</v>
      </c>
      <c r="D58" s="409">
        <v>932</v>
      </c>
      <c r="E58" s="409">
        <f>+D58-C58</f>
        <v>-719</v>
      </c>
      <c r="F58" s="410">
        <f>IF(C58=0,0,+E58/C58)</f>
        <v>-0.43549364021804965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694</v>
      </c>
      <c r="D59" s="409">
        <v>626</v>
      </c>
      <c r="E59" s="409">
        <f>+D59-C59</f>
        <v>-68</v>
      </c>
      <c r="F59" s="410">
        <f>IF(C59=0,0,+E59/C59)</f>
        <v>-9.7982708933717577E-2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2345</v>
      </c>
      <c r="D60" s="401">
        <f>SUM(D58:D59)</f>
        <v>1558</v>
      </c>
      <c r="E60" s="401">
        <f>SUM(E58:E59)</f>
        <v>-787</v>
      </c>
      <c r="F60" s="402">
        <f>IF(C60=0,0,+E60/C60)</f>
        <v>-0.33560767590618334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12296</v>
      </c>
      <c r="D63" s="409">
        <v>20029</v>
      </c>
      <c r="E63" s="409">
        <f>+D63-C63</f>
        <v>7733</v>
      </c>
      <c r="F63" s="410">
        <f>IF(C63=0,0,+E63/C63)</f>
        <v>0.62890370852309696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30314</v>
      </c>
      <c r="D64" s="409">
        <v>30887</v>
      </c>
      <c r="E64" s="409">
        <f>+D64-C64</f>
        <v>573</v>
      </c>
      <c r="F64" s="410">
        <f>IF(C64=0,0,+E64/C64)</f>
        <v>1.8902157419014316E-2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42610</v>
      </c>
      <c r="D65" s="401">
        <f>SUM(D63:D64)</f>
        <v>50916</v>
      </c>
      <c r="E65" s="401">
        <f>+D65-C65</f>
        <v>8306</v>
      </c>
      <c r="F65" s="402">
        <f>IF(C65=0,0,+E65/C65)</f>
        <v>0.19493076742548698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4316</v>
      </c>
      <c r="D68" s="409">
        <v>887</v>
      </c>
      <c r="E68" s="409">
        <f>+D68-C68</f>
        <v>-3429</v>
      </c>
      <c r="F68" s="410">
        <f>IF(C68=0,0,+E68/C68)</f>
        <v>-0.79448563484708068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14720</v>
      </c>
      <c r="D69" s="409">
        <v>7405</v>
      </c>
      <c r="E69" s="409">
        <f>+D69-C69</f>
        <v>-7315</v>
      </c>
      <c r="F69" s="412">
        <f>IF(C69=0,0,+E69/C69)</f>
        <v>-0.4969429347826087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19036</v>
      </c>
      <c r="D70" s="401">
        <f>SUM(D68:D69)</f>
        <v>8292</v>
      </c>
      <c r="E70" s="401">
        <f>+D70-C70</f>
        <v>-10744</v>
      </c>
      <c r="F70" s="402">
        <f>IF(C70=0,0,+E70/C70)</f>
        <v>-0.5644042866148351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40919</v>
      </c>
      <c r="D73" s="376">
        <v>54292</v>
      </c>
      <c r="E73" s="409">
        <f>+D73-C73</f>
        <v>13373</v>
      </c>
      <c r="F73" s="410">
        <f>IF(C73=0,0,+E73/C73)</f>
        <v>0.32681639336249663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163785</v>
      </c>
      <c r="D74" s="376">
        <v>142520</v>
      </c>
      <c r="E74" s="409">
        <f>+D74-C74</f>
        <v>-21265</v>
      </c>
      <c r="F74" s="410">
        <f>IF(C74=0,0,+E74/C74)</f>
        <v>-0.12983484446072596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204704</v>
      </c>
      <c r="D75" s="401">
        <f>SUM(D73:D74)</f>
        <v>196812</v>
      </c>
      <c r="E75" s="401">
        <f>SUM(E73:E74)</f>
        <v>-7892</v>
      </c>
      <c r="F75" s="402">
        <f>IF(C75=0,0,+E75/C75)</f>
        <v>-3.8553228075660466E-2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182</v>
      </c>
      <c r="D80" s="376">
        <v>32785</v>
      </c>
      <c r="E80" s="409">
        <f t="shared" si="0"/>
        <v>32603</v>
      </c>
      <c r="F80" s="410">
        <f t="shared" si="1"/>
        <v>179.13736263736263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1028</v>
      </c>
      <c r="E81" s="409">
        <f t="shared" si="0"/>
        <v>1028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37631</v>
      </c>
      <c r="E83" s="409">
        <f t="shared" si="0"/>
        <v>37631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12478</v>
      </c>
      <c r="E84" s="409">
        <f t="shared" si="0"/>
        <v>12478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42079</v>
      </c>
      <c r="E86" s="409">
        <f t="shared" si="0"/>
        <v>42079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55765</v>
      </c>
      <c r="E88" s="409">
        <f t="shared" si="0"/>
        <v>55765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2436</v>
      </c>
      <c r="E89" s="409">
        <f t="shared" si="0"/>
        <v>2436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4107</v>
      </c>
      <c r="E90" s="409">
        <f t="shared" si="0"/>
        <v>4107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284071</v>
      </c>
      <c r="D91" s="376">
        <v>270971</v>
      </c>
      <c r="E91" s="409">
        <f t="shared" si="0"/>
        <v>-13100</v>
      </c>
      <c r="F91" s="410">
        <f t="shared" si="1"/>
        <v>-4.6115231755441424E-2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284253</v>
      </c>
      <c r="D92" s="381">
        <f>SUM(D79:D91)</f>
        <v>459280</v>
      </c>
      <c r="E92" s="401">
        <f t="shared" si="0"/>
        <v>175027</v>
      </c>
      <c r="F92" s="402">
        <f t="shared" si="1"/>
        <v>0.61574372126239652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0</v>
      </c>
      <c r="D95" s="414">
        <v>19282</v>
      </c>
      <c r="E95" s="415">
        <f t="shared" ref="E95:E100" si="2">+D95-C95</f>
        <v>19282</v>
      </c>
      <c r="F95" s="412">
        <f t="shared" ref="F95:F100" si="3">IF(C95=0,0,+E95/C95)</f>
        <v>0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9765</v>
      </c>
      <c r="D96" s="414">
        <v>10398</v>
      </c>
      <c r="E96" s="409">
        <f t="shared" si="2"/>
        <v>633</v>
      </c>
      <c r="F96" s="410">
        <f t="shared" si="3"/>
        <v>6.4823348694316441E-2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81490</v>
      </c>
      <c r="D97" s="414">
        <v>91585</v>
      </c>
      <c r="E97" s="409">
        <f t="shared" si="2"/>
        <v>10095</v>
      </c>
      <c r="F97" s="410">
        <f t="shared" si="3"/>
        <v>0.12388023070315377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13392</v>
      </c>
      <c r="D98" s="414">
        <v>17156</v>
      </c>
      <c r="E98" s="409">
        <f t="shared" si="2"/>
        <v>3764</v>
      </c>
      <c r="F98" s="410">
        <f t="shared" si="3"/>
        <v>0.28106332138590201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995887</v>
      </c>
      <c r="D99" s="414">
        <v>1048984</v>
      </c>
      <c r="E99" s="409">
        <f t="shared" si="2"/>
        <v>53097</v>
      </c>
      <c r="F99" s="410">
        <f t="shared" si="3"/>
        <v>5.3316289900360178E-2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1100534</v>
      </c>
      <c r="D100" s="381">
        <f>SUM(D95:D99)</f>
        <v>1187405</v>
      </c>
      <c r="E100" s="401">
        <f t="shared" si="2"/>
        <v>86871</v>
      </c>
      <c r="F100" s="402">
        <f t="shared" si="3"/>
        <v>7.8935316855272081E-2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4083</v>
      </c>
      <c r="D104" s="416">
        <v>4684.2</v>
      </c>
      <c r="E104" s="417">
        <f>+D104-C104</f>
        <v>601.19999999999982</v>
      </c>
      <c r="F104" s="410">
        <f>IF(C104=0,0,+E104/C104)</f>
        <v>0.1472446730345334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0</v>
      </c>
      <c r="D105" s="416">
        <v>0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6988.7</v>
      </c>
      <c r="D106" s="416">
        <v>6194.4</v>
      </c>
      <c r="E106" s="417">
        <f>+D106-C106</f>
        <v>-794.30000000000018</v>
      </c>
      <c r="F106" s="410">
        <f>IF(C106=0,0,+E106/C106)</f>
        <v>-0.11365490005294264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11071.7</v>
      </c>
      <c r="D107" s="418">
        <f>SUM(D104:D106)</f>
        <v>10878.599999999999</v>
      </c>
      <c r="E107" s="418">
        <f>+D107-C107</f>
        <v>-193.10000000000218</v>
      </c>
      <c r="F107" s="402">
        <f>IF(C107=0,0,+E107/C107)</f>
        <v>-1.7440862740139468E-2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FILING&amp;RYALE-NEW HAVEN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12308</v>
      </c>
      <c r="D12" s="409">
        <v>5697</v>
      </c>
      <c r="E12" s="409">
        <f>+D12-C12</f>
        <v>-6611</v>
      </c>
      <c r="F12" s="410">
        <f>IF(C12=0,0,+E12/C12)</f>
        <v>-0.53713032174195641</v>
      </c>
    </row>
    <row r="13" spans="1:6" ht="15.75" customHeight="1" x14ac:dyDescent="0.2">
      <c r="A13" s="374">
        <v>2</v>
      </c>
      <c r="B13" s="408" t="s">
        <v>622</v>
      </c>
      <c r="C13" s="409">
        <v>18006</v>
      </c>
      <c r="D13" s="409">
        <v>17376</v>
      </c>
      <c r="E13" s="409">
        <f>+D13-C13</f>
        <v>-630</v>
      </c>
      <c r="F13" s="410">
        <f>IF(C13=0,0,+E13/C13)</f>
        <v>-3.4988337220926355E-2</v>
      </c>
    </row>
    <row r="14" spans="1:6" ht="15.75" customHeight="1" x14ac:dyDescent="0.2">
      <c r="A14" s="374">
        <v>3</v>
      </c>
      <c r="B14" s="408" t="s">
        <v>623</v>
      </c>
      <c r="C14" s="409">
        <v>0</v>
      </c>
      <c r="D14" s="409">
        <v>7814</v>
      </c>
      <c r="E14" s="409">
        <f>+D14-C14</f>
        <v>7814</v>
      </c>
      <c r="F14" s="410">
        <f>IF(C14=0,0,+E14/C14)</f>
        <v>0</v>
      </c>
    </row>
    <row r="15" spans="1:6" ht="15.75" customHeight="1" x14ac:dyDescent="0.25">
      <c r="A15" s="374"/>
      <c r="B15" s="399" t="s">
        <v>624</v>
      </c>
      <c r="C15" s="401">
        <f>SUM(C11:C14)</f>
        <v>30314</v>
      </c>
      <c r="D15" s="401">
        <f>SUM(D11:D14)</f>
        <v>30887</v>
      </c>
      <c r="E15" s="401">
        <f>+D15-C15</f>
        <v>573</v>
      </c>
      <c r="F15" s="402">
        <f>IF(C15=0,0,+E15/C15)</f>
        <v>1.8902157419014316E-2</v>
      </c>
    </row>
    <row r="16" spans="1:6" ht="15.75" customHeight="1" x14ac:dyDescent="0.25">
      <c r="A16" s="136"/>
      <c r="B16" s="399"/>
      <c r="C16" s="401"/>
      <c r="D16" s="401"/>
      <c r="E16" s="401"/>
      <c r="F16" s="402"/>
    </row>
    <row r="17" spans="1:6" ht="15.75" customHeight="1" x14ac:dyDescent="0.25">
      <c r="A17" s="136" t="s">
        <v>26</v>
      </c>
      <c r="B17" s="406" t="s">
        <v>588</v>
      </c>
      <c r="C17" s="409"/>
      <c r="D17" s="409"/>
      <c r="E17" s="409"/>
      <c r="F17" s="410"/>
    </row>
    <row r="18" spans="1:6" ht="15.75" customHeight="1" x14ac:dyDescent="0.2">
      <c r="A18" s="374">
        <v>1</v>
      </c>
      <c r="B18" s="408" t="s">
        <v>621</v>
      </c>
      <c r="C18" s="409">
        <v>5740</v>
      </c>
      <c r="D18" s="409">
        <v>3788</v>
      </c>
      <c r="E18" s="409">
        <f>+D18-C18</f>
        <v>-1952</v>
      </c>
      <c r="F18" s="410">
        <f>IF(C18=0,0,+E18/C18)</f>
        <v>-0.34006968641114982</v>
      </c>
    </row>
    <row r="19" spans="1:6" ht="15.75" customHeight="1" x14ac:dyDescent="0.2">
      <c r="A19" s="374">
        <v>2</v>
      </c>
      <c r="B19" s="408" t="s">
        <v>622</v>
      </c>
      <c r="C19" s="409">
        <v>8980</v>
      </c>
      <c r="D19" s="409">
        <v>1445</v>
      </c>
      <c r="E19" s="409">
        <f>+D19-C19</f>
        <v>-7535</v>
      </c>
      <c r="F19" s="410">
        <f>IF(C19=0,0,+E19/C19)</f>
        <v>-0.83908685968819596</v>
      </c>
    </row>
    <row r="20" spans="1:6" ht="15.75" customHeight="1" x14ac:dyDescent="0.2">
      <c r="A20" s="374">
        <v>3</v>
      </c>
      <c r="B20" s="408" t="s">
        <v>623</v>
      </c>
      <c r="C20" s="409">
        <v>0</v>
      </c>
      <c r="D20" s="409">
        <v>2172</v>
      </c>
      <c r="E20" s="409">
        <f>+D20-C20</f>
        <v>2172</v>
      </c>
      <c r="F20" s="410">
        <f>IF(C20=0,0,+E20/C20)</f>
        <v>0</v>
      </c>
    </row>
    <row r="21" spans="1:6" ht="15.75" customHeight="1" x14ac:dyDescent="0.25">
      <c r="A21" s="374"/>
      <c r="B21" s="399" t="s">
        <v>625</v>
      </c>
      <c r="C21" s="401">
        <f>SUM(C17:C20)</f>
        <v>14720</v>
      </c>
      <c r="D21" s="401">
        <f>SUM(D17:D20)</f>
        <v>7405</v>
      </c>
      <c r="E21" s="401">
        <f>+D21-C21</f>
        <v>-7315</v>
      </c>
      <c r="F21" s="402">
        <f>IF(C21=0,0,+E21/C21)</f>
        <v>-0.4969429347826087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A23" s="136" t="s">
        <v>36</v>
      </c>
      <c r="B23" s="406" t="s">
        <v>626</v>
      </c>
      <c r="C23" s="409"/>
      <c r="D23" s="409"/>
      <c r="E23" s="409"/>
      <c r="F23" s="410"/>
    </row>
    <row r="24" spans="1:6" ht="15.75" customHeight="1" x14ac:dyDescent="0.2">
      <c r="A24" s="374">
        <v>1</v>
      </c>
      <c r="B24" s="408" t="s">
        <v>627</v>
      </c>
      <c r="C24" s="409">
        <v>0</v>
      </c>
      <c r="D24" s="409">
        <v>0</v>
      </c>
      <c r="E24" s="409">
        <f>+D24-C24</f>
        <v>0</v>
      </c>
      <c r="F24" s="410">
        <f>IF(C24=0,0,+E24/C24)</f>
        <v>0</v>
      </c>
    </row>
    <row r="25" spans="1:6" ht="15.75" customHeight="1" x14ac:dyDescent="0.2">
      <c r="A25" s="374">
        <v>2</v>
      </c>
      <c r="B25" s="408" t="s">
        <v>628</v>
      </c>
      <c r="C25" s="409">
        <v>24765</v>
      </c>
      <c r="D25" s="409">
        <v>19526</v>
      </c>
      <c r="E25" s="409">
        <f>+D25-C25</f>
        <v>-5239</v>
      </c>
      <c r="F25" s="410">
        <f>IF(C25=0,0,+E25/C25)</f>
        <v>-0.21154855643044621</v>
      </c>
    </row>
    <row r="26" spans="1:6" ht="15.75" customHeight="1" x14ac:dyDescent="0.2">
      <c r="A26" s="374">
        <v>3</v>
      </c>
      <c r="B26" s="408" t="s">
        <v>622</v>
      </c>
      <c r="C26" s="409">
        <v>139020</v>
      </c>
      <c r="D26" s="409">
        <v>84884</v>
      </c>
      <c r="E26" s="409">
        <f>+D26-C26</f>
        <v>-54136</v>
      </c>
      <c r="F26" s="410">
        <f>IF(C26=0,0,+E26/C26)</f>
        <v>-0.38941159545389153</v>
      </c>
    </row>
    <row r="27" spans="1:6" ht="15.75" customHeight="1" x14ac:dyDescent="0.2">
      <c r="A27" s="374">
        <v>4</v>
      </c>
      <c r="B27" s="408" t="s">
        <v>623</v>
      </c>
      <c r="C27" s="409">
        <v>0</v>
      </c>
      <c r="D27" s="409">
        <v>38110</v>
      </c>
      <c r="E27" s="409">
        <f>+D27-C27</f>
        <v>38110</v>
      </c>
      <c r="F27" s="410">
        <f>IF(C27=0,0,+E27/C27)</f>
        <v>0</v>
      </c>
    </row>
    <row r="28" spans="1:6" ht="15.75" customHeight="1" x14ac:dyDescent="0.25">
      <c r="A28" s="374"/>
      <c r="B28" s="399" t="s">
        <v>629</v>
      </c>
      <c r="C28" s="401">
        <f>SUM(C23:C27)</f>
        <v>163785</v>
      </c>
      <c r="D28" s="401">
        <f>SUM(D23:D27)</f>
        <v>142520</v>
      </c>
      <c r="E28" s="401">
        <f>+D28-C28</f>
        <v>-21265</v>
      </c>
      <c r="F28" s="402">
        <f>IF(C28=0,0,+E28/C28)</f>
        <v>-0.12983484446072596</v>
      </c>
    </row>
    <row r="29" spans="1:6" ht="15.75" customHeight="1" x14ac:dyDescent="0.25">
      <c r="A29" s="136"/>
      <c r="B29" s="399"/>
      <c r="C29" s="401"/>
      <c r="D29" s="401"/>
      <c r="E29" s="401"/>
      <c r="F29" s="402"/>
    </row>
    <row r="30" spans="1:6" ht="15.75" customHeight="1" x14ac:dyDescent="0.25">
      <c r="B30" s="813" t="s">
        <v>630</v>
      </c>
      <c r="C30" s="814"/>
      <c r="D30" s="814"/>
      <c r="E30" s="814"/>
      <c r="F30" s="815"/>
    </row>
    <row r="31" spans="1:6" ht="15.75" customHeight="1" x14ac:dyDescent="0.25">
      <c r="A31" s="392"/>
    </row>
    <row r="32" spans="1:6" ht="15.75" customHeight="1" x14ac:dyDescent="0.25">
      <c r="B32" s="813" t="s">
        <v>631</v>
      </c>
      <c r="C32" s="814"/>
      <c r="D32" s="814"/>
      <c r="E32" s="814"/>
      <c r="F32" s="815"/>
    </row>
    <row r="33" spans="1:6" ht="15.75" customHeight="1" x14ac:dyDescent="0.25">
      <c r="A33" s="392"/>
    </row>
    <row r="34" spans="1:6" ht="15.75" customHeight="1" x14ac:dyDescent="0.25">
      <c r="B34" s="813" t="s">
        <v>632</v>
      </c>
      <c r="C34" s="814"/>
      <c r="D34" s="814"/>
      <c r="E34" s="814"/>
      <c r="F34" s="815"/>
    </row>
    <row r="35" spans="1:6" ht="15.75" customHeight="1" x14ac:dyDescent="0.25">
      <c r="A35" s="392"/>
    </row>
  </sheetData>
  <mergeCells count="7">
    <mergeCell ref="B34:F34"/>
    <mergeCell ref="A1:F1"/>
    <mergeCell ref="A2:F2"/>
    <mergeCell ref="A3:F3"/>
    <mergeCell ref="A4:F4"/>
    <mergeCell ref="B30:F30"/>
    <mergeCell ref="B32:F32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FILING&amp;RYALE-NEW HAVEN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633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634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635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636</v>
      </c>
      <c r="D7" s="426" t="s">
        <v>636</v>
      </c>
      <c r="E7" s="426" t="s">
        <v>637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638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639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640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641</v>
      </c>
      <c r="C15" s="448">
        <v>1929011508</v>
      </c>
      <c r="D15" s="448">
        <v>1970435186</v>
      </c>
      <c r="E15" s="448">
        <f t="shared" ref="E15:E24" si="0">D15-C15</f>
        <v>41423678</v>
      </c>
      <c r="F15" s="449">
        <f t="shared" ref="F15:F24" si="1">IF(C15=0,0,E15/C15)</f>
        <v>2.1474044000363735E-2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642</v>
      </c>
      <c r="C16" s="448">
        <v>538717515</v>
      </c>
      <c r="D16" s="448">
        <v>563117456</v>
      </c>
      <c r="E16" s="448">
        <f t="shared" si="0"/>
        <v>24399941</v>
      </c>
      <c r="F16" s="449">
        <f t="shared" si="1"/>
        <v>4.5292644698956927E-2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643</v>
      </c>
      <c r="C17" s="453">
        <f>IF(C15=0,0,C16/C15)</f>
        <v>0.27927128105033577</v>
      </c>
      <c r="D17" s="453">
        <f>IF(LN_IA1=0,0,LN_IA2/LN_IA1)</f>
        <v>0.28578329295018995</v>
      </c>
      <c r="E17" s="454">
        <f t="shared" si="0"/>
        <v>6.5120118998541754E-3</v>
      </c>
      <c r="F17" s="449">
        <f t="shared" si="1"/>
        <v>2.3317871695802662E-2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28633</v>
      </c>
      <c r="D18" s="456">
        <v>28246</v>
      </c>
      <c r="E18" s="456">
        <f t="shared" si="0"/>
        <v>-387</v>
      </c>
      <c r="F18" s="449">
        <f t="shared" si="1"/>
        <v>-1.351587329305347E-2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644</v>
      </c>
      <c r="C19" s="459">
        <v>1.7250099999999999</v>
      </c>
      <c r="D19" s="459">
        <v>1.7915000000000001</v>
      </c>
      <c r="E19" s="460">
        <f t="shared" si="0"/>
        <v>6.649000000000016E-2</v>
      </c>
      <c r="F19" s="449">
        <f t="shared" si="1"/>
        <v>3.8544704088672041E-2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645</v>
      </c>
      <c r="C20" s="463">
        <f>C18*C19</f>
        <v>49392.211329999998</v>
      </c>
      <c r="D20" s="463">
        <f>LN_IA4*LN_IA5</f>
        <v>50602.709000000003</v>
      </c>
      <c r="E20" s="463">
        <f t="shared" si="0"/>
        <v>1210.4976700000043</v>
      </c>
      <c r="F20" s="449">
        <f t="shared" si="1"/>
        <v>2.4507865459037839E-2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646</v>
      </c>
      <c r="C21" s="465">
        <f>IF(C20=0,0,C16/C20)</f>
        <v>10906.932499958593</v>
      </c>
      <c r="D21" s="465">
        <f>IF(LN_IA6=0,0,LN_IA2/LN_IA6)</f>
        <v>11128.207701291249</v>
      </c>
      <c r="E21" s="465">
        <f t="shared" si="0"/>
        <v>221.27520133265534</v>
      </c>
      <c r="F21" s="449">
        <f t="shared" si="1"/>
        <v>2.0287574103304975E-2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192150</v>
      </c>
      <c r="D22" s="456">
        <v>181722</v>
      </c>
      <c r="E22" s="456">
        <f t="shared" si="0"/>
        <v>-10428</v>
      </c>
      <c r="F22" s="449">
        <f t="shared" si="1"/>
        <v>-5.4270101483216239E-2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647</v>
      </c>
      <c r="C23" s="465">
        <f>IF(C22=0,0,C16/C22)</f>
        <v>2803.6300546448088</v>
      </c>
      <c r="D23" s="465">
        <f>IF(LN_IA8=0,0,LN_IA2/LN_IA8)</f>
        <v>3098.7852654053995</v>
      </c>
      <c r="E23" s="465">
        <f t="shared" si="0"/>
        <v>295.15521076059076</v>
      </c>
      <c r="F23" s="449">
        <f t="shared" si="1"/>
        <v>0.10527609028573633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648</v>
      </c>
      <c r="C24" s="466">
        <f>IF(C18=0,0,C22/C18)</f>
        <v>6.7107882513184087</v>
      </c>
      <c r="D24" s="466">
        <f>IF(LN_IA4=0,0,LN_IA8/LN_IA4)</f>
        <v>6.4335481130071512</v>
      </c>
      <c r="E24" s="466">
        <f t="shared" si="0"/>
        <v>-0.27724013831125749</v>
      </c>
      <c r="F24" s="449">
        <f t="shared" si="1"/>
        <v>-4.131260411275689E-2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649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650</v>
      </c>
      <c r="C27" s="448">
        <v>1270169412</v>
      </c>
      <c r="D27" s="448">
        <v>1435862697</v>
      </c>
      <c r="E27" s="448">
        <f t="shared" ref="E27:E32" si="2">D27-C27</f>
        <v>165693285</v>
      </c>
      <c r="F27" s="449">
        <f t="shared" ref="F27:F32" si="3">IF(C27=0,0,E27/C27)</f>
        <v>0.13044975216266663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651</v>
      </c>
      <c r="C28" s="448">
        <v>177236120</v>
      </c>
      <c r="D28" s="448">
        <v>214103595</v>
      </c>
      <c r="E28" s="448">
        <f t="shared" si="2"/>
        <v>36867475</v>
      </c>
      <c r="F28" s="449">
        <f t="shared" si="3"/>
        <v>0.20801332708028139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652</v>
      </c>
      <c r="C29" s="453">
        <f>IF(C27=0,0,C28/C27)</f>
        <v>0.13953738637188973</v>
      </c>
      <c r="D29" s="453">
        <f>IF(LN_IA11=0,0,LN_IA12/LN_IA11)</f>
        <v>0.14911146828128791</v>
      </c>
      <c r="E29" s="454">
        <f t="shared" si="2"/>
        <v>9.5740819093981799E-3</v>
      </c>
      <c r="F29" s="449">
        <f t="shared" si="3"/>
        <v>6.8613023063809592E-2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653</v>
      </c>
      <c r="C30" s="453">
        <f>IF(C15=0,0,C27/C15)</f>
        <v>0.65845610911720909</v>
      </c>
      <c r="D30" s="453">
        <f>IF(LN_IA1=0,0,LN_IA11/LN_IA1)</f>
        <v>0.72870333782194241</v>
      </c>
      <c r="E30" s="454">
        <f t="shared" si="2"/>
        <v>7.0247228704733322E-2</v>
      </c>
      <c r="F30" s="449">
        <f t="shared" si="3"/>
        <v>0.10668475503843931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654</v>
      </c>
      <c r="C31" s="463">
        <f>C30*C18</f>
        <v>18853.573772353047</v>
      </c>
      <c r="D31" s="463">
        <f>LN_IA14*LN_IA4</f>
        <v>20582.954480118584</v>
      </c>
      <c r="E31" s="463">
        <f t="shared" si="2"/>
        <v>1729.3807077655365</v>
      </c>
      <c r="F31" s="449">
        <f t="shared" si="3"/>
        <v>9.1726944113985798E-2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655</v>
      </c>
      <c r="C32" s="465">
        <f>IF(C31=0,0,C28/C31)</f>
        <v>9400.6644119588473</v>
      </c>
      <c r="D32" s="465">
        <f>IF(LN_IA15=0,0,LN_IA12/LN_IA15)</f>
        <v>10401.985546186103</v>
      </c>
      <c r="E32" s="465">
        <f t="shared" si="2"/>
        <v>1001.3211342272552</v>
      </c>
      <c r="F32" s="449">
        <f t="shared" si="3"/>
        <v>0.1065159961410224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656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657</v>
      </c>
      <c r="C35" s="448">
        <f>C15+C27</f>
        <v>3199180920</v>
      </c>
      <c r="D35" s="448">
        <f>LN_IA1+LN_IA11</f>
        <v>3406297883</v>
      </c>
      <c r="E35" s="448">
        <f>D35-C35</f>
        <v>207116963</v>
      </c>
      <c r="F35" s="449">
        <f>IF(C35=0,0,E35/C35)</f>
        <v>6.4740622108986567E-2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658</v>
      </c>
      <c r="C36" s="448">
        <f>C16+C28</f>
        <v>715953635</v>
      </c>
      <c r="D36" s="448">
        <f>LN_IA2+LN_IA12</f>
        <v>777221051</v>
      </c>
      <c r="E36" s="448">
        <f>D36-C36</f>
        <v>61267416</v>
      </c>
      <c r="F36" s="449">
        <f>IF(C36=0,0,E36/C36)</f>
        <v>8.5574558190489522E-2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659</v>
      </c>
      <c r="C37" s="448">
        <f>C35-C36</f>
        <v>2483227285</v>
      </c>
      <c r="D37" s="448">
        <f>LN_IA17-LN_IA18</f>
        <v>2629076832</v>
      </c>
      <c r="E37" s="448">
        <f>D37-C37</f>
        <v>145849547</v>
      </c>
      <c r="F37" s="449">
        <f>IF(C37=0,0,E37/C37)</f>
        <v>5.8733869380788478E-2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660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661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641</v>
      </c>
      <c r="C42" s="448">
        <v>1530896286</v>
      </c>
      <c r="D42" s="448">
        <v>1461981994</v>
      </c>
      <c r="E42" s="448">
        <f t="shared" ref="E42:E53" si="4">D42-C42</f>
        <v>-68914292</v>
      </c>
      <c r="F42" s="449">
        <f t="shared" ref="F42:F53" si="5">IF(C42=0,0,E42/C42)</f>
        <v>-4.5015650393967967E-2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642</v>
      </c>
      <c r="C43" s="448">
        <v>560461644</v>
      </c>
      <c r="D43" s="448">
        <v>625866634</v>
      </c>
      <c r="E43" s="448">
        <f t="shared" si="4"/>
        <v>65404990</v>
      </c>
      <c r="F43" s="449">
        <f t="shared" si="5"/>
        <v>0.1166984229878896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643</v>
      </c>
      <c r="C44" s="453">
        <f>IF(C42=0,0,C43/C42)</f>
        <v>0.3661003355520584</v>
      </c>
      <c r="D44" s="453">
        <f>IF(LN_IB1=0,0,LN_IB2/LN_IB1)</f>
        <v>0.42809462535692488</v>
      </c>
      <c r="E44" s="454">
        <f t="shared" si="4"/>
        <v>6.1994289804866487E-2</v>
      </c>
      <c r="F44" s="449">
        <f t="shared" si="5"/>
        <v>0.16933688332020411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28416</v>
      </c>
      <c r="D45" s="456">
        <v>27468</v>
      </c>
      <c r="E45" s="456">
        <f t="shared" si="4"/>
        <v>-948</v>
      </c>
      <c r="F45" s="449">
        <f t="shared" si="5"/>
        <v>-3.3361486486486486E-2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644</v>
      </c>
      <c r="C46" s="459">
        <v>1.3871500000000001</v>
      </c>
      <c r="D46" s="459">
        <v>1.4374499999999999</v>
      </c>
      <c r="E46" s="460">
        <f t="shared" si="4"/>
        <v>5.0299999999999789E-2</v>
      </c>
      <c r="F46" s="449">
        <f t="shared" si="5"/>
        <v>3.6261399271888248E-2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645</v>
      </c>
      <c r="C47" s="463">
        <f>C45*C46</f>
        <v>39417.254400000005</v>
      </c>
      <c r="D47" s="463">
        <f>LN_IB4*LN_IB5</f>
        <v>39483.876599999996</v>
      </c>
      <c r="E47" s="463">
        <f t="shared" si="4"/>
        <v>66.622199999990698</v>
      </c>
      <c r="F47" s="449">
        <f t="shared" si="5"/>
        <v>1.6901786036114857E-3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646</v>
      </c>
      <c r="C48" s="465">
        <f>IF(C47=0,0,C43/C47)</f>
        <v>14218.688047435387</v>
      </c>
      <c r="D48" s="465">
        <f>IF(LN_IB6=0,0,LN_IB2/LN_IB6)</f>
        <v>15851.195168612194</v>
      </c>
      <c r="E48" s="465">
        <f t="shared" si="4"/>
        <v>1632.5071211768063</v>
      </c>
      <c r="F48" s="449">
        <f t="shared" si="5"/>
        <v>0.11481418790049763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662</v>
      </c>
      <c r="C49" s="465">
        <f>C21-C48</f>
        <v>-3311.7555474767942</v>
      </c>
      <c r="D49" s="465">
        <f>LN_IA7-LN_IB7</f>
        <v>-4722.9874673209451</v>
      </c>
      <c r="E49" s="465">
        <f t="shared" si="4"/>
        <v>-1411.231919844151</v>
      </c>
      <c r="F49" s="449">
        <f t="shared" si="5"/>
        <v>0.42612804586961733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663</v>
      </c>
      <c r="C50" s="479">
        <f>C49*C47</f>
        <v>-130540310.92550409</v>
      </c>
      <c r="D50" s="479">
        <f>LN_IB8*LN_IB6</f>
        <v>-186481854.34304672</v>
      </c>
      <c r="E50" s="479">
        <f t="shared" si="4"/>
        <v>-55941543.417542636</v>
      </c>
      <c r="F50" s="449">
        <f t="shared" si="5"/>
        <v>0.42853845697875653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135240</v>
      </c>
      <c r="D51" s="456">
        <v>122786</v>
      </c>
      <c r="E51" s="456">
        <f t="shared" si="4"/>
        <v>-12454</v>
      </c>
      <c r="F51" s="449">
        <f t="shared" si="5"/>
        <v>-9.208813960366756E-2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647</v>
      </c>
      <c r="C52" s="465">
        <f>IF(C51=0,0,C43/C51)</f>
        <v>4144.2002661934339</v>
      </c>
      <c r="D52" s="465">
        <f>IF(LN_IB10=0,0,LN_IB2/LN_IB10)</f>
        <v>5097.2149430716854</v>
      </c>
      <c r="E52" s="465">
        <f t="shared" si="4"/>
        <v>953.01467687825152</v>
      </c>
      <c r="F52" s="449">
        <f t="shared" si="5"/>
        <v>0.22996347079375648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648</v>
      </c>
      <c r="C53" s="466">
        <f>IF(C45=0,0,C51/C45)</f>
        <v>4.7592905405405403</v>
      </c>
      <c r="D53" s="466">
        <f>IF(LN_IB4=0,0,LN_IB10/LN_IB4)</f>
        <v>4.4701470802388235</v>
      </c>
      <c r="E53" s="466">
        <f t="shared" si="4"/>
        <v>-0.28914346030171689</v>
      </c>
      <c r="F53" s="449">
        <f t="shared" si="5"/>
        <v>-6.0753479502614519E-2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664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650</v>
      </c>
      <c r="C56" s="448">
        <v>1662915246</v>
      </c>
      <c r="D56" s="448">
        <v>1675000547</v>
      </c>
      <c r="E56" s="448">
        <f t="shared" ref="E56:E63" si="6">D56-C56</f>
        <v>12085301</v>
      </c>
      <c r="F56" s="449">
        <f t="shared" ref="F56:F63" si="7">IF(C56=0,0,E56/C56)</f>
        <v>7.2675387570534065E-3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651</v>
      </c>
      <c r="C57" s="448">
        <v>660511946</v>
      </c>
      <c r="D57" s="448">
        <v>686016067</v>
      </c>
      <c r="E57" s="448">
        <f t="shared" si="6"/>
        <v>25504121</v>
      </c>
      <c r="F57" s="449">
        <f t="shared" si="7"/>
        <v>3.861265667403993E-2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652</v>
      </c>
      <c r="C58" s="453">
        <f>IF(C56=0,0,C57/C56)</f>
        <v>0.3972012088943227</v>
      </c>
      <c r="D58" s="453">
        <f>IF(LN_IB13=0,0,LN_IB14/LN_IB13)</f>
        <v>0.40956169729537406</v>
      </c>
      <c r="E58" s="454">
        <f t="shared" si="6"/>
        <v>1.2360488401051362E-2</v>
      </c>
      <c r="F58" s="449">
        <f t="shared" si="7"/>
        <v>3.1118959671494677E-2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653</v>
      </c>
      <c r="C59" s="453">
        <f>IF(C42=0,0,C56/C42)</f>
        <v>1.086236384010667</v>
      </c>
      <c r="D59" s="453">
        <f>IF(LN_IB1=0,0,LN_IB13/LN_IB1)</f>
        <v>1.1457053191313107</v>
      </c>
      <c r="E59" s="454">
        <f t="shared" si="6"/>
        <v>5.9468935120643662E-2</v>
      </c>
      <c r="F59" s="449">
        <f t="shared" si="7"/>
        <v>5.4747692119342294E-2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654</v>
      </c>
      <c r="C60" s="463">
        <f>C59*C45</f>
        <v>30866.493088047115</v>
      </c>
      <c r="D60" s="463">
        <f>LN_IB16*LN_IB4</f>
        <v>31470.233705898841</v>
      </c>
      <c r="E60" s="463">
        <f t="shared" si="6"/>
        <v>603.74061785172671</v>
      </c>
      <c r="F60" s="449">
        <f t="shared" si="7"/>
        <v>1.9559741242050011E-2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655</v>
      </c>
      <c r="C61" s="465">
        <f>IF(C60=0,0,C57/C60)</f>
        <v>21398.995477584063</v>
      </c>
      <c r="D61" s="465">
        <f>IF(LN_IB17=0,0,LN_IB14/LN_IB17)</f>
        <v>21798.886954926293</v>
      </c>
      <c r="E61" s="465">
        <f t="shared" si="6"/>
        <v>399.89147734222934</v>
      </c>
      <c r="F61" s="449">
        <f t="shared" si="7"/>
        <v>1.8687394824730197E-2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665</v>
      </c>
      <c r="C62" s="465">
        <f>C32-C61</f>
        <v>-11998.331065625216</v>
      </c>
      <c r="D62" s="465">
        <f>LN_IA16-LN_IB18</f>
        <v>-11396.90140874019</v>
      </c>
      <c r="E62" s="465">
        <f t="shared" si="6"/>
        <v>601.42965688502591</v>
      </c>
      <c r="F62" s="449">
        <f t="shared" si="7"/>
        <v>-5.0126109506021227E-2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666</v>
      </c>
      <c r="C63" s="448">
        <f>C62*C60</f>
        <v>-370346402.9052217</v>
      </c>
      <c r="D63" s="448">
        <f>LN_IB19*LN_IB17</f>
        <v>-358663150.85614151</v>
      </c>
      <c r="E63" s="448">
        <f t="shared" si="6"/>
        <v>11683252.049080193</v>
      </c>
      <c r="F63" s="449">
        <f t="shared" si="7"/>
        <v>-3.1546821995379677E-2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667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657</v>
      </c>
      <c r="C66" s="448">
        <f>C42+C56</f>
        <v>3193811532</v>
      </c>
      <c r="D66" s="448">
        <f>LN_IB1+LN_IB13</f>
        <v>3136982541</v>
      </c>
      <c r="E66" s="448">
        <f>D66-C66</f>
        <v>-56828991</v>
      </c>
      <c r="F66" s="449">
        <f>IF(C66=0,0,E66/C66)</f>
        <v>-1.7793470413206586E-2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658</v>
      </c>
      <c r="C67" s="448">
        <f>C43+C57</f>
        <v>1220973590</v>
      </c>
      <c r="D67" s="448">
        <f>LN_IB2+LN_IB14</f>
        <v>1311882701</v>
      </c>
      <c r="E67" s="448">
        <f>D67-C67</f>
        <v>90909111</v>
      </c>
      <c r="F67" s="449">
        <f>IF(C67=0,0,E67/C67)</f>
        <v>7.4456246838230142E-2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659</v>
      </c>
      <c r="C68" s="448">
        <f>C66-C67</f>
        <v>1972837942</v>
      </c>
      <c r="D68" s="448">
        <f>LN_IB21-LN_IB22</f>
        <v>1825099840</v>
      </c>
      <c r="E68" s="448">
        <f>D68-C68</f>
        <v>-147738102</v>
      </c>
      <c r="F68" s="449">
        <f>IF(C68=0,0,E68/C68)</f>
        <v>-7.4886081038277194E-2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668</v>
      </c>
      <c r="C70" s="441">
        <f>C50+C63</f>
        <v>-500886713.83072579</v>
      </c>
      <c r="D70" s="441">
        <f>LN_IB9+LN_IB20</f>
        <v>-545145005.19918823</v>
      </c>
      <c r="E70" s="448">
        <f>D70-C70</f>
        <v>-44258291.368462443</v>
      </c>
      <c r="F70" s="449">
        <f>IF(C70=0,0,E70/C70)</f>
        <v>8.8359882876469134E-2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669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670</v>
      </c>
      <c r="C73" s="488">
        <v>3004952573</v>
      </c>
      <c r="D73" s="488">
        <v>2976359272</v>
      </c>
      <c r="E73" s="488">
        <f>D73-C73</f>
        <v>-28593301</v>
      </c>
      <c r="F73" s="489">
        <f>IF(C73=0,0,E73/C73)</f>
        <v>-9.515391775868803E-3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671</v>
      </c>
      <c r="C74" s="488">
        <v>1210596860</v>
      </c>
      <c r="D74" s="488">
        <v>1289201506</v>
      </c>
      <c r="E74" s="488">
        <f>D74-C74</f>
        <v>78604646</v>
      </c>
      <c r="F74" s="489">
        <f>IF(C74=0,0,E74/C74)</f>
        <v>6.4930488916021142E-2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672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673</v>
      </c>
      <c r="C76" s="441">
        <f>C73-C74</f>
        <v>1794355713</v>
      </c>
      <c r="D76" s="441">
        <f>LN_IB32-LN_IB33</f>
        <v>1687157766</v>
      </c>
      <c r="E76" s="488">
        <f>D76-C76</f>
        <v>-107197947</v>
      </c>
      <c r="F76" s="489">
        <f>IF(E76=0,0,E76/C76)</f>
        <v>-5.9741748095629689E-2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674</v>
      </c>
      <c r="C77" s="453">
        <f>IF(C73=0,0,C76/C73)</f>
        <v>0.59713278975601325</v>
      </c>
      <c r="D77" s="453">
        <f>IF(LN_IB32=0,0,LN_IB34/LN_IB32)</f>
        <v>0.56685286009383351</v>
      </c>
      <c r="E77" s="493">
        <f>D77-C77</f>
        <v>-3.0279929662179739E-2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675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676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641</v>
      </c>
      <c r="C83" s="448">
        <v>47404499</v>
      </c>
      <c r="D83" s="448">
        <v>65761465</v>
      </c>
      <c r="E83" s="448">
        <f t="shared" ref="E83:E95" si="8">D83-C83</f>
        <v>18356966</v>
      </c>
      <c r="F83" s="449">
        <f t="shared" ref="F83:F95" si="9">IF(C83=0,0,E83/C83)</f>
        <v>0.3872410084958392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642</v>
      </c>
      <c r="C84" s="448">
        <v>6033320</v>
      </c>
      <c r="D84" s="448">
        <v>12191274</v>
      </c>
      <c r="E84" s="448">
        <f t="shared" si="8"/>
        <v>6157954</v>
      </c>
      <c r="F84" s="449">
        <f t="shared" si="9"/>
        <v>1.0206576147129607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643</v>
      </c>
      <c r="C85" s="453">
        <f>IF(C83=0,0,C84/C83)</f>
        <v>0.12727315185843435</v>
      </c>
      <c r="D85" s="453">
        <f>IF(LN_IC1=0,0,LN_IC2/LN_IC1)</f>
        <v>0.18538628967587628</v>
      </c>
      <c r="E85" s="454">
        <f t="shared" si="8"/>
        <v>5.8113137817441929E-2</v>
      </c>
      <c r="F85" s="449">
        <f t="shared" si="9"/>
        <v>0.4566017024712411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885</v>
      </c>
      <c r="D86" s="456">
        <v>952</v>
      </c>
      <c r="E86" s="456">
        <f t="shared" si="8"/>
        <v>67</v>
      </c>
      <c r="F86" s="449">
        <f t="shared" si="9"/>
        <v>7.5706214689265541E-2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644</v>
      </c>
      <c r="C87" s="459">
        <v>1.42665</v>
      </c>
      <c r="D87" s="459">
        <v>1.55003</v>
      </c>
      <c r="E87" s="460">
        <f t="shared" si="8"/>
        <v>0.12338000000000005</v>
      </c>
      <c r="F87" s="449">
        <f t="shared" si="9"/>
        <v>8.6482318718676648E-2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645</v>
      </c>
      <c r="C88" s="463">
        <f>C86*C87</f>
        <v>1262.5852500000001</v>
      </c>
      <c r="D88" s="463">
        <f>LN_IC4*LN_IC5</f>
        <v>1475.6285600000001</v>
      </c>
      <c r="E88" s="463">
        <f t="shared" si="8"/>
        <v>213.04331000000002</v>
      </c>
      <c r="F88" s="449">
        <f t="shared" si="9"/>
        <v>0.16873578239568379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646</v>
      </c>
      <c r="C89" s="465">
        <f>IF(C88=0,0,C84/C88)</f>
        <v>4778.544656687538</v>
      </c>
      <c r="D89" s="465">
        <f>IF(LN_IC6=0,0,LN_IC2/LN_IC6)</f>
        <v>8261.7498267992305</v>
      </c>
      <c r="E89" s="465">
        <f t="shared" si="8"/>
        <v>3483.2051701116925</v>
      </c>
      <c r="F89" s="449">
        <f t="shared" si="9"/>
        <v>0.72892594301425484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677</v>
      </c>
      <c r="C90" s="465">
        <f>C48-C89</f>
        <v>9440.1433907478495</v>
      </c>
      <c r="D90" s="465">
        <f>LN_IB7-LN_IC7</f>
        <v>7589.4453418129633</v>
      </c>
      <c r="E90" s="465">
        <f t="shared" si="8"/>
        <v>-1850.6980489348862</v>
      </c>
      <c r="F90" s="449">
        <f t="shared" si="9"/>
        <v>-0.19604554426034768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678</v>
      </c>
      <c r="C91" s="465">
        <f>C21-C89</f>
        <v>6128.3878432710553</v>
      </c>
      <c r="D91" s="465">
        <f>LN_IA7-LN_IC7</f>
        <v>2866.4578744920182</v>
      </c>
      <c r="E91" s="465">
        <f t="shared" si="8"/>
        <v>-3261.9299687790372</v>
      </c>
      <c r="F91" s="449">
        <f t="shared" si="9"/>
        <v>-0.53226558961352666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663</v>
      </c>
      <c r="C92" s="441">
        <f>C91*C88</f>
        <v>7737612.0971933464</v>
      </c>
      <c r="D92" s="441">
        <f>LN_IC9*LN_IC6</f>
        <v>4229827.1056373175</v>
      </c>
      <c r="E92" s="441">
        <f t="shared" si="8"/>
        <v>-3507784.9915560288</v>
      </c>
      <c r="F92" s="449">
        <f t="shared" si="9"/>
        <v>-0.45334205792358123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3950</v>
      </c>
      <c r="D93" s="456">
        <v>4336</v>
      </c>
      <c r="E93" s="456">
        <f t="shared" si="8"/>
        <v>386</v>
      </c>
      <c r="F93" s="449">
        <f t="shared" si="9"/>
        <v>9.7721518987341771E-2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647</v>
      </c>
      <c r="C94" s="499">
        <f>IF(C93=0,0,C84/C93)</f>
        <v>1527.4227848101266</v>
      </c>
      <c r="D94" s="499">
        <f>IF(LN_IC11=0,0,LN_IC2/LN_IC11)</f>
        <v>2811.6406826568264</v>
      </c>
      <c r="E94" s="499">
        <f t="shared" si="8"/>
        <v>1284.2178978466998</v>
      </c>
      <c r="F94" s="449">
        <f t="shared" si="9"/>
        <v>0.84077434919653926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648</v>
      </c>
      <c r="C95" s="466">
        <f>IF(C86=0,0,C93/C86)</f>
        <v>4.463276836158192</v>
      </c>
      <c r="D95" s="466">
        <f>IF(LN_IC4=0,0,LN_IC11/LN_IC4)</f>
        <v>4.5546218487394956</v>
      </c>
      <c r="E95" s="466">
        <f t="shared" si="8"/>
        <v>9.1345012581303564E-2</v>
      </c>
      <c r="F95" s="449">
        <f t="shared" si="9"/>
        <v>2.0465907882140165E-2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679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650</v>
      </c>
      <c r="C98" s="448">
        <v>113777717</v>
      </c>
      <c r="D98" s="448">
        <v>94861804</v>
      </c>
      <c r="E98" s="448">
        <f t="shared" ref="E98:E106" si="10">D98-C98</f>
        <v>-18915913</v>
      </c>
      <c r="F98" s="449">
        <f t="shared" ref="F98:F106" si="11">IF(C98=0,0,E98/C98)</f>
        <v>-0.16625323041066117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651</v>
      </c>
      <c r="C99" s="448">
        <v>6485741</v>
      </c>
      <c r="D99" s="448">
        <v>10489921</v>
      </c>
      <c r="E99" s="448">
        <f t="shared" si="10"/>
        <v>4004180</v>
      </c>
      <c r="F99" s="449">
        <f t="shared" si="11"/>
        <v>0.61738203853653728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652</v>
      </c>
      <c r="C100" s="453">
        <f>IF(C98=0,0,C99/C98)</f>
        <v>5.7003613457984922E-2</v>
      </c>
      <c r="D100" s="453">
        <f>IF(LN_IC14=0,0,LN_IC15/LN_IC14)</f>
        <v>0.11058108277173392</v>
      </c>
      <c r="E100" s="454">
        <f t="shared" si="10"/>
        <v>5.3577469313749002E-2</v>
      </c>
      <c r="F100" s="449">
        <f t="shared" si="11"/>
        <v>0.93989601822766566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653</v>
      </c>
      <c r="C101" s="453">
        <f>IF(C83=0,0,C98/C83)</f>
        <v>2.4001459650485919</v>
      </c>
      <c r="D101" s="453">
        <f>IF(LN_IC1=0,0,LN_IC14/LN_IC1)</f>
        <v>1.4425135449765298</v>
      </c>
      <c r="E101" s="454">
        <f t="shared" si="10"/>
        <v>-0.95763242007206206</v>
      </c>
      <c r="F101" s="449">
        <f t="shared" si="11"/>
        <v>-0.39898924232829913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654</v>
      </c>
      <c r="C102" s="463">
        <f>C101*C86</f>
        <v>2124.1291790680039</v>
      </c>
      <c r="D102" s="463">
        <f>LN_IC17*LN_IC4</f>
        <v>1373.2728948176564</v>
      </c>
      <c r="E102" s="463">
        <f t="shared" si="10"/>
        <v>-750.85628425034747</v>
      </c>
      <c r="F102" s="449">
        <f t="shared" si="11"/>
        <v>-0.35348899287744723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655</v>
      </c>
      <c r="C103" s="465">
        <f>IF(C102=0,0,C99/C102)</f>
        <v>3053.3646747632006</v>
      </c>
      <c r="D103" s="465">
        <f>IF(LN_IC18=0,0,LN_IC15/LN_IC18)</f>
        <v>7638.6281558355922</v>
      </c>
      <c r="E103" s="465">
        <f t="shared" si="10"/>
        <v>4585.2634810723921</v>
      </c>
      <c r="F103" s="449">
        <f t="shared" si="11"/>
        <v>1.5017084329856525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680</v>
      </c>
      <c r="C104" s="465">
        <f>C61-C103</f>
        <v>18345.630802820862</v>
      </c>
      <c r="D104" s="465">
        <f>LN_IB18-LN_IC19</f>
        <v>14160.258799090701</v>
      </c>
      <c r="E104" s="465">
        <f t="shared" si="10"/>
        <v>-4185.3720037301609</v>
      </c>
      <c r="F104" s="449">
        <f t="shared" si="11"/>
        <v>-0.2281399886825701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681</v>
      </c>
      <c r="C105" s="465">
        <f>C32-C103</f>
        <v>6347.2997371956462</v>
      </c>
      <c r="D105" s="465">
        <f>LN_IA16-LN_IC19</f>
        <v>2763.3573903505103</v>
      </c>
      <c r="E105" s="465">
        <f t="shared" si="10"/>
        <v>-3583.9423468451359</v>
      </c>
      <c r="F105" s="449">
        <f t="shared" si="11"/>
        <v>-0.56464047630253988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666</v>
      </c>
      <c r="C106" s="448">
        <f>C105*C102</f>
        <v>13482484.580067944</v>
      </c>
      <c r="D106" s="448">
        <f>LN_IC21*LN_IC18</f>
        <v>3794843.8028624095</v>
      </c>
      <c r="E106" s="448">
        <f t="shared" si="10"/>
        <v>-9687640.7772055343</v>
      </c>
      <c r="F106" s="449">
        <f t="shared" si="11"/>
        <v>-0.71853527587396016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682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657</v>
      </c>
      <c r="C109" s="448">
        <f>C83+C98</f>
        <v>161182216</v>
      </c>
      <c r="D109" s="448">
        <f>LN_IC1+LN_IC14</f>
        <v>160623269</v>
      </c>
      <c r="E109" s="448">
        <f>D109-C109</f>
        <v>-558947</v>
      </c>
      <c r="F109" s="449">
        <f>IF(C109=0,0,E109/C109)</f>
        <v>-3.4677957275385768E-3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658</v>
      </c>
      <c r="C110" s="448">
        <f>C84+C99</f>
        <v>12519061</v>
      </c>
      <c r="D110" s="448">
        <f>LN_IC2+LN_IC15</f>
        <v>22681195</v>
      </c>
      <c r="E110" s="448">
        <f>D110-C110</f>
        <v>10162134</v>
      </c>
      <c r="F110" s="449">
        <f>IF(C110=0,0,E110/C110)</f>
        <v>0.8117329246977868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659</v>
      </c>
      <c r="C111" s="448">
        <f>C109-C110</f>
        <v>148663155</v>
      </c>
      <c r="D111" s="448">
        <f>LN_IC23-LN_IC24</f>
        <v>137942074</v>
      </c>
      <c r="E111" s="448">
        <f>D111-C111</f>
        <v>-10721081</v>
      </c>
      <c r="F111" s="449">
        <f>IF(C111=0,0,E111/C111)</f>
        <v>-7.2116598090495254E-2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668</v>
      </c>
      <c r="C113" s="448">
        <f>C92+C106</f>
        <v>21220096.677261289</v>
      </c>
      <c r="D113" s="448">
        <f>LN_IC10+LN_IC22</f>
        <v>8024670.908499727</v>
      </c>
      <c r="E113" s="448">
        <f>D113-C113</f>
        <v>-13195425.768761562</v>
      </c>
      <c r="F113" s="449">
        <f>IF(C113=0,0,E113/C113)</f>
        <v>-0.6218362700911404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683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684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641</v>
      </c>
      <c r="C118" s="448">
        <v>1155720092</v>
      </c>
      <c r="D118" s="448">
        <v>1096846915</v>
      </c>
      <c r="E118" s="448">
        <f t="shared" ref="E118:E130" si="12">D118-C118</f>
        <v>-58873177</v>
      </c>
      <c r="F118" s="449">
        <f t="shared" ref="F118:F130" si="13">IF(C118=0,0,E118/C118)</f>
        <v>-5.094068832715249E-2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642</v>
      </c>
      <c r="C119" s="448">
        <v>187684822</v>
      </c>
      <c r="D119" s="448">
        <v>115925541</v>
      </c>
      <c r="E119" s="448">
        <f t="shared" si="12"/>
        <v>-71759281</v>
      </c>
      <c r="F119" s="449">
        <f t="shared" si="13"/>
        <v>-0.38233928687105023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643</v>
      </c>
      <c r="C120" s="453">
        <f>IF(C118=0,0,C119/C118)</f>
        <v>0.16239643430893991</v>
      </c>
      <c r="D120" s="453">
        <f>IF(LN_ID1=0,0,LN_1D2/LN_ID1)</f>
        <v>0.10568980904687142</v>
      </c>
      <c r="E120" s="454">
        <f t="shared" si="12"/>
        <v>-5.6706625262068489E-2</v>
      </c>
      <c r="F120" s="449">
        <f t="shared" si="13"/>
        <v>-0.34918639379846772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23006</v>
      </c>
      <c r="D121" s="456">
        <v>22415</v>
      </c>
      <c r="E121" s="456">
        <f t="shared" si="12"/>
        <v>-591</v>
      </c>
      <c r="F121" s="449">
        <f t="shared" si="13"/>
        <v>-2.5688950708510825E-2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644</v>
      </c>
      <c r="C122" s="459">
        <v>1.1861299999999999</v>
      </c>
      <c r="D122" s="459">
        <v>1.2309300000000001</v>
      </c>
      <c r="E122" s="460">
        <f t="shared" si="12"/>
        <v>4.4800000000000173E-2</v>
      </c>
      <c r="F122" s="449">
        <f t="shared" si="13"/>
        <v>3.7769890315564207E-2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645</v>
      </c>
      <c r="C123" s="463">
        <f>C121*C122</f>
        <v>27288.106779999998</v>
      </c>
      <c r="D123" s="463">
        <f>LN_ID4*LN_ID5</f>
        <v>27591.295950000003</v>
      </c>
      <c r="E123" s="463">
        <f t="shared" si="12"/>
        <v>303.18917000000511</v>
      </c>
      <c r="F123" s="449">
        <f t="shared" si="13"/>
        <v>1.111067075647104E-2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646</v>
      </c>
      <c r="C124" s="465">
        <f>IF(C123=0,0,C119/C123)</f>
        <v>6877.8982548381837</v>
      </c>
      <c r="D124" s="465">
        <f>IF(LN_ID6=0,0,LN_1D2/LN_ID6)</f>
        <v>4201.5257713909587</v>
      </c>
      <c r="E124" s="465">
        <f t="shared" si="12"/>
        <v>-2676.372483447225</v>
      </c>
      <c r="F124" s="449">
        <f t="shared" si="13"/>
        <v>-0.38912650119017966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685</v>
      </c>
      <c r="C125" s="465">
        <f>C48-C124</f>
        <v>7340.7897925972038</v>
      </c>
      <c r="D125" s="465">
        <f>LN_IB7-LN_ID7</f>
        <v>11649.669397221234</v>
      </c>
      <c r="E125" s="465">
        <f t="shared" si="12"/>
        <v>4308.8796046240304</v>
      </c>
      <c r="F125" s="449">
        <f t="shared" si="13"/>
        <v>0.58697765858508932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686</v>
      </c>
      <c r="C126" s="465">
        <f>C21-C124</f>
        <v>4029.0342451204097</v>
      </c>
      <c r="D126" s="465">
        <f>LN_IA7-LN_ID7</f>
        <v>6926.68192990029</v>
      </c>
      <c r="E126" s="465">
        <f t="shared" si="12"/>
        <v>2897.6476847798804</v>
      </c>
      <c r="F126" s="449">
        <f t="shared" si="13"/>
        <v>0.71919162471484099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663</v>
      </c>
      <c r="C127" s="479">
        <f>C126*C123</f>
        <v>109944716.70112242</v>
      </c>
      <c r="D127" s="479">
        <f>LN_ID9*LN_ID6</f>
        <v>191116131.07939607</v>
      </c>
      <c r="E127" s="479">
        <f t="shared" si="12"/>
        <v>81171414.378273651</v>
      </c>
      <c r="F127" s="449">
        <f t="shared" si="13"/>
        <v>0.73829299682433014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132732</v>
      </c>
      <c r="D128" s="456">
        <v>120382</v>
      </c>
      <c r="E128" s="456">
        <f t="shared" si="12"/>
        <v>-12350</v>
      </c>
      <c r="F128" s="449">
        <f t="shared" si="13"/>
        <v>-9.3044631287104843E-2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647</v>
      </c>
      <c r="C129" s="465">
        <f>IF(C128=0,0,C119/C128)</f>
        <v>1414.0133652774011</v>
      </c>
      <c r="D129" s="465">
        <f>IF(LN_ID11=0,0,LN_1D2/LN_ID11)</f>
        <v>962.98068648136768</v>
      </c>
      <c r="E129" s="465">
        <f t="shared" si="12"/>
        <v>-451.03267879603345</v>
      </c>
      <c r="F129" s="449">
        <f t="shared" si="13"/>
        <v>-0.31897341982163646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648</v>
      </c>
      <c r="C130" s="466">
        <f>IF(C121=0,0,C128/C121)</f>
        <v>5.7694514474484917</v>
      </c>
      <c r="D130" s="466">
        <f>IF(LN_ID4=0,0,LN_ID11/LN_ID4)</f>
        <v>5.3706000446129822</v>
      </c>
      <c r="E130" s="466">
        <f t="shared" si="12"/>
        <v>-0.39885140283550946</v>
      </c>
      <c r="F130" s="449">
        <f t="shared" si="13"/>
        <v>-6.9131598812899153E-2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687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650</v>
      </c>
      <c r="C133" s="448">
        <v>653663080</v>
      </c>
      <c r="D133" s="448">
        <v>697483038</v>
      </c>
      <c r="E133" s="448">
        <f t="shared" ref="E133:E141" si="14">D133-C133</f>
        <v>43819958</v>
      </c>
      <c r="F133" s="449">
        <f t="shared" ref="F133:F141" si="15">IF(C133=0,0,E133/C133)</f>
        <v>6.7037529486903252E-2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651</v>
      </c>
      <c r="C134" s="448">
        <v>149393789</v>
      </c>
      <c r="D134" s="448">
        <v>97347700</v>
      </c>
      <c r="E134" s="448">
        <f t="shared" si="14"/>
        <v>-52046089</v>
      </c>
      <c r="F134" s="449">
        <f t="shared" si="15"/>
        <v>-0.34838187951709293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652</v>
      </c>
      <c r="C135" s="453">
        <f>IF(C133=0,0,C134/C133)</f>
        <v>0.22854861100614707</v>
      </c>
      <c r="D135" s="453">
        <f>IF(LN_ID14=0,0,LN_ID15/LN_ID14)</f>
        <v>0.13956998908409296</v>
      </c>
      <c r="E135" s="454">
        <f t="shared" si="14"/>
        <v>-8.8978621922054107E-2</v>
      </c>
      <c r="F135" s="449">
        <f t="shared" si="15"/>
        <v>-0.38932033553098655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653</v>
      </c>
      <c r="C136" s="453">
        <f>IF(C118=0,0,C133/C118)</f>
        <v>0.56558944031925684</v>
      </c>
      <c r="D136" s="453">
        <f>IF(LN_ID1=0,0,LN_ID14/LN_ID1)</f>
        <v>0.63589825385979226</v>
      </c>
      <c r="E136" s="454">
        <f t="shared" si="14"/>
        <v>7.030881354053542E-2</v>
      </c>
      <c r="F136" s="449">
        <f t="shared" si="15"/>
        <v>0.12431068992527226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654</v>
      </c>
      <c r="C137" s="463">
        <f>C136*C121</f>
        <v>13011.950663984822</v>
      </c>
      <c r="D137" s="463">
        <f>LN_ID17*LN_ID4</f>
        <v>14253.659360267244</v>
      </c>
      <c r="E137" s="463">
        <f t="shared" si="14"/>
        <v>1241.7086962824214</v>
      </c>
      <c r="F137" s="449">
        <f t="shared" si="15"/>
        <v>9.5428328030730217E-2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655</v>
      </c>
      <c r="C138" s="465">
        <f>IF(C137=0,0,C134/C137)</f>
        <v>11481.275395048966</v>
      </c>
      <c r="D138" s="465">
        <f>IF(LN_ID18=0,0,LN_ID15/LN_ID18)</f>
        <v>6829.6637052630404</v>
      </c>
      <c r="E138" s="465">
        <f t="shared" si="14"/>
        <v>-4651.6116897859256</v>
      </c>
      <c r="F138" s="449">
        <f t="shared" si="15"/>
        <v>-0.40514764516421453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688</v>
      </c>
      <c r="C139" s="465">
        <f>C61-C138</f>
        <v>9917.7200825350974</v>
      </c>
      <c r="D139" s="465">
        <f>LN_IB18-LN_ID19</f>
        <v>14969.223249663253</v>
      </c>
      <c r="E139" s="465">
        <f t="shared" si="14"/>
        <v>5051.5031671281558</v>
      </c>
      <c r="F139" s="449">
        <f t="shared" si="15"/>
        <v>0.50934117166945958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689</v>
      </c>
      <c r="C140" s="465">
        <f>C32-C138</f>
        <v>-2080.6109830901187</v>
      </c>
      <c r="D140" s="465">
        <f>LN_IA16-LN_ID19</f>
        <v>3572.3218409230622</v>
      </c>
      <c r="E140" s="465">
        <f t="shared" si="14"/>
        <v>5652.9328240131808</v>
      </c>
      <c r="F140" s="449">
        <f t="shared" si="15"/>
        <v>-2.7169580810428378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666</v>
      </c>
      <c r="C141" s="441">
        <f>C140*C137</f>
        <v>-27072807.462913584</v>
      </c>
      <c r="D141" s="441">
        <f>LN_ID21*LN_ID18</f>
        <v>50918658.645760119</v>
      </c>
      <c r="E141" s="441">
        <f t="shared" si="14"/>
        <v>77991466.108673707</v>
      </c>
      <c r="F141" s="449">
        <f t="shared" si="15"/>
        <v>-2.8808045200156069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690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657</v>
      </c>
      <c r="C144" s="448">
        <f>C118+C133</f>
        <v>1809383172</v>
      </c>
      <c r="D144" s="448">
        <f>LN_ID1+LN_ID14</f>
        <v>1794329953</v>
      </c>
      <c r="E144" s="448">
        <f>D144-C144</f>
        <v>-15053219</v>
      </c>
      <c r="F144" s="449">
        <f>IF(C144=0,0,E144/C144)</f>
        <v>-8.3195307842732612E-3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658</v>
      </c>
      <c r="C145" s="448">
        <f>C119+C134</f>
        <v>337078611</v>
      </c>
      <c r="D145" s="448">
        <f>LN_1D2+LN_ID15</f>
        <v>213273241</v>
      </c>
      <c r="E145" s="448">
        <f>D145-C145</f>
        <v>-123805370</v>
      </c>
      <c r="F145" s="449">
        <f>IF(C145=0,0,E145/C145)</f>
        <v>-0.36728930866515291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659</v>
      </c>
      <c r="C146" s="448">
        <f>C144-C145</f>
        <v>1472304561</v>
      </c>
      <c r="D146" s="448">
        <f>LN_ID23-LN_ID24</f>
        <v>1581056712</v>
      </c>
      <c r="E146" s="448">
        <f>D146-C146</f>
        <v>108752151</v>
      </c>
      <c r="F146" s="449">
        <f>IF(C146=0,0,E146/C146)</f>
        <v>7.3865254432231561E-2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668</v>
      </c>
      <c r="C148" s="448">
        <f>C127+C141</f>
        <v>82871909.23820883</v>
      </c>
      <c r="D148" s="448">
        <f>LN_ID10+LN_ID22</f>
        <v>242034789.72515619</v>
      </c>
      <c r="E148" s="448">
        <f>D148-C148</f>
        <v>159162880.48694736</v>
      </c>
      <c r="F148" s="503">
        <f>IF(C148=0,0,E148/C148)</f>
        <v>1.9205890385540183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691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692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641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642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643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644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645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646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693</v>
      </c>
      <c r="C160" s="465">
        <f>C48-C159</f>
        <v>14218.688047435387</v>
      </c>
      <c r="D160" s="465">
        <f>LN_IB7-LN_IE7</f>
        <v>15851.195168612194</v>
      </c>
      <c r="E160" s="465">
        <f t="shared" si="16"/>
        <v>1632.5071211768063</v>
      </c>
      <c r="F160" s="449">
        <f t="shared" si="17"/>
        <v>0.11481418790049763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694</v>
      </c>
      <c r="C161" s="465">
        <f>C21-C159</f>
        <v>10906.932499958593</v>
      </c>
      <c r="D161" s="465">
        <f>LN_IA7-LN_IE7</f>
        <v>11128.207701291249</v>
      </c>
      <c r="E161" s="465">
        <f t="shared" si="16"/>
        <v>221.27520133265534</v>
      </c>
      <c r="F161" s="449">
        <f t="shared" si="17"/>
        <v>2.0287574103304975E-2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663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647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648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695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650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651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652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653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654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655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696</v>
      </c>
      <c r="C174" s="465">
        <f>C61-C173</f>
        <v>21398.995477584063</v>
      </c>
      <c r="D174" s="465">
        <f>LN_IB18-LN_IE19</f>
        <v>21798.886954926293</v>
      </c>
      <c r="E174" s="465">
        <f t="shared" si="18"/>
        <v>399.89147734222934</v>
      </c>
      <c r="F174" s="449">
        <f t="shared" si="19"/>
        <v>1.8687394824730197E-2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697</v>
      </c>
      <c r="C175" s="465">
        <f>C32-C173</f>
        <v>9400.6644119588473</v>
      </c>
      <c r="D175" s="465">
        <f>LN_IA16-LN_IE19</f>
        <v>10401.985546186103</v>
      </c>
      <c r="E175" s="465">
        <f t="shared" si="18"/>
        <v>1001.3211342272552</v>
      </c>
      <c r="F175" s="449">
        <f t="shared" si="19"/>
        <v>0.1065159961410224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666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698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657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658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659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699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700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701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641</v>
      </c>
      <c r="C188" s="448">
        <f>C118+C153</f>
        <v>1155720092</v>
      </c>
      <c r="D188" s="448">
        <f>LN_ID1+LN_IE1</f>
        <v>1096846915</v>
      </c>
      <c r="E188" s="448">
        <f t="shared" ref="E188:E200" si="20">D188-C188</f>
        <v>-58873177</v>
      </c>
      <c r="F188" s="449">
        <f t="shared" ref="F188:F200" si="21">IF(C188=0,0,E188/C188)</f>
        <v>-5.094068832715249E-2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642</v>
      </c>
      <c r="C189" s="448">
        <f>C119+C154</f>
        <v>187684822</v>
      </c>
      <c r="D189" s="448">
        <f>LN_1D2+LN_IE2</f>
        <v>115925541</v>
      </c>
      <c r="E189" s="448">
        <f t="shared" si="20"/>
        <v>-71759281</v>
      </c>
      <c r="F189" s="449">
        <f t="shared" si="21"/>
        <v>-0.38233928687105023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643</v>
      </c>
      <c r="C190" s="453">
        <f>IF(C188=0,0,C189/C188)</f>
        <v>0.16239643430893991</v>
      </c>
      <c r="D190" s="453">
        <f>IF(LN_IF1=0,0,LN_IF2/LN_IF1)</f>
        <v>0.10568980904687142</v>
      </c>
      <c r="E190" s="454">
        <f t="shared" si="20"/>
        <v>-5.6706625262068489E-2</v>
      </c>
      <c r="F190" s="449">
        <f t="shared" si="21"/>
        <v>-0.34918639379846772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23006</v>
      </c>
      <c r="D191" s="456">
        <f>LN_ID4+LN_IE4</f>
        <v>22415</v>
      </c>
      <c r="E191" s="456">
        <f t="shared" si="20"/>
        <v>-591</v>
      </c>
      <c r="F191" s="449">
        <f t="shared" si="21"/>
        <v>-2.5688950708510825E-2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644</v>
      </c>
      <c r="C192" s="459">
        <f>IF((C121+C156)=0,0,(C123+C158)/(C121+C156))</f>
        <v>1.1861299999999999</v>
      </c>
      <c r="D192" s="459">
        <f>IF((LN_ID4+LN_IE4)=0,0,(LN_ID6+LN_IE6)/(LN_ID4+LN_IE4))</f>
        <v>1.2309300000000001</v>
      </c>
      <c r="E192" s="460">
        <f t="shared" si="20"/>
        <v>4.4800000000000173E-2</v>
      </c>
      <c r="F192" s="449">
        <f t="shared" si="21"/>
        <v>3.7769890315564207E-2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645</v>
      </c>
      <c r="C193" s="463">
        <f>C123+C158</f>
        <v>27288.106779999998</v>
      </c>
      <c r="D193" s="463">
        <f>LN_IF4*LN_IF5</f>
        <v>27591.295950000003</v>
      </c>
      <c r="E193" s="463">
        <f t="shared" si="20"/>
        <v>303.18917000000511</v>
      </c>
      <c r="F193" s="449">
        <f t="shared" si="21"/>
        <v>1.111067075647104E-2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646</v>
      </c>
      <c r="C194" s="465">
        <f>IF(C193=0,0,C189/C193)</f>
        <v>6877.8982548381837</v>
      </c>
      <c r="D194" s="465">
        <f>IF(LN_IF6=0,0,LN_IF2/LN_IF6)</f>
        <v>4201.5257713909587</v>
      </c>
      <c r="E194" s="465">
        <f t="shared" si="20"/>
        <v>-2676.372483447225</v>
      </c>
      <c r="F194" s="449">
        <f t="shared" si="21"/>
        <v>-0.38912650119017966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702</v>
      </c>
      <c r="C195" s="465">
        <f>C48-C194</f>
        <v>7340.7897925972038</v>
      </c>
      <c r="D195" s="465">
        <f>LN_IB7-LN_IF7</f>
        <v>11649.669397221234</v>
      </c>
      <c r="E195" s="465">
        <f t="shared" si="20"/>
        <v>4308.8796046240304</v>
      </c>
      <c r="F195" s="449">
        <f t="shared" si="21"/>
        <v>0.58697765858508932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703</v>
      </c>
      <c r="C196" s="465">
        <f>C21-C194</f>
        <v>4029.0342451204097</v>
      </c>
      <c r="D196" s="465">
        <f>LN_IA7-LN_IF7</f>
        <v>6926.68192990029</v>
      </c>
      <c r="E196" s="465">
        <f t="shared" si="20"/>
        <v>2897.6476847798804</v>
      </c>
      <c r="F196" s="449">
        <f t="shared" si="21"/>
        <v>0.71919162471484099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663</v>
      </c>
      <c r="C197" s="479">
        <f>C127+C162</f>
        <v>109944716.70112242</v>
      </c>
      <c r="D197" s="479">
        <f>LN_IF9*LN_IF6</f>
        <v>191116131.07939607</v>
      </c>
      <c r="E197" s="479">
        <f t="shared" si="20"/>
        <v>81171414.378273651</v>
      </c>
      <c r="F197" s="449">
        <f t="shared" si="21"/>
        <v>0.73829299682433014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132732</v>
      </c>
      <c r="D198" s="456">
        <f>LN_ID11+LN_IE11</f>
        <v>120382</v>
      </c>
      <c r="E198" s="456">
        <f t="shared" si="20"/>
        <v>-12350</v>
      </c>
      <c r="F198" s="449">
        <f t="shared" si="21"/>
        <v>-9.3044631287104843E-2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647</v>
      </c>
      <c r="C199" s="519">
        <f>IF(C198=0,0,C189/C198)</f>
        <v>1414.0133652774011</v>
      </c>
      <c r="D199" s="519">
        <f>IF(LN_IF11=0,0,LN_IF2/LN_IF11)</f>
        <v>962.98068648136768</v>
      </c>
      <c r="E199" s="519">
        <f t="shared" si="20"/>
        <v>-451.03267879603345</v>
      </c>
      <c r="F199" s="449">
        <f t="shared" si="21"/>
        <v>-0.31897341982163646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648</v>
      </c>
      <c r="C200" s="466">
        <f>IF(C191=0,0,C198/C191)</f>
        <v>5.7694514474484917</v>
      </c>
      <c r="D200" s="466">
        <f>IF(LN_IF4=0,0,LN_IF11/LN_IF4)</f>
        <v>5.3706000446129822</v>
      </c>
      <c r="E200" s="466">
        <f t="shared" si="20"/>
        <v>-0.39885140283550946</v>
      </c>
      <c r="F200" s="449">
        <f t="shared" si="21"/>
        <v>-6.9131598812899153E-2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704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650</v>
      </c>
      <c r="C203" s="448">
        <f>C133+C168</f>
        <v>653663080</v>
      </c>
      <c r="D203" s="448">
        <f>LN_ID14+LN_IE14</f>
        <v>697483038</v>
      </c>
      <c r="E203" s="448">
        <f t="shared" ref="E203:E211" si="22">D203-C203</f>
        <v>43819958</v>
      </c>
      <c r="F203" s="449">
        <f t="shared" ref="F203:F211" si="23">IF(C203=0,0,E203/C203)</f>
        <v>6.7037529486903252E-2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651</v>
      </c>
      <c r="C204" s="448">
        <f>C134+C169</f>
        <v>149393789</v>
      </c>
      <c r="D204" s="448">
        <f>LN_ID15+LN_IE15</f>
        <v>97347700</v>
      </c>
      <c r="E204" s="448">
        <f t="shared" si="22"/>
        <v>-52046089</v>
      </c>
      <c r="F204" s="449">
        <f t="shared" si="23"/>
        <v>-0.34838187951709293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652</v>
      </c>
      <c r="C205" s="453">
        <f>IF(C203=0,0,C204/C203)</f>
        <v>0.22854861100614707</v>
      </c>
      <c r="D205" s="453">
        <f>IF(LN_IF14=0,0,LN_IF15/LN_IF14)</f>
        <v>0.13956998908409296</v>
      </c>
      <c r="E205" s="454">
        <f t="shared" si="22"/>
        <v>-8.8978621922054107E-2</v>
      </c>
      <c r="F205" s="449">
        <f t="shared" si="23"/>
        <v>-0.38932033553098655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653</v>
      </c>
      <c r="C206" s="453">
        <f>IF(C188=0,0,C203/C188)</f>
        <v>0.56558944031925684</v>
      </c>
      <c r="D206" s="453">
        <f>IF(LN_IF1=0,0,LN_IF14/LN_IF1)</f>
        <v>0.63589825385979226</v>
      </c>
      <c r="E206" s="454">
        <f t="shared" si="22"/>
        <v>7.030881354053542E-2</v>
      </c>
      <c r="F206" s="449">
        <f t="shared" si="23"/>
        <v>0.12431068992527226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654</v>
      </c>
      <c r="C207" s="463">
        <f>C137+C172</f>
        <v>13011.950663984822</v>
      </c>
      <c r="D207" s="463">
        <f>LN_ID18+LN_IE18</f>
        <v>14253.659360267244</v>
      </c>
      <c r="E207" s="463">
        <f t="shared" si="22"/>
        <v>1241.7086962824214</v>
      </c>
      <c r="F207" s="449">
        <f t="shared" si="23"/>
        <v>9.5428328030730217E-2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655</v>
      </c>
      <c r="C208" s="465">
        <f>IF(C207=0,0,C204/C207)</f>
        <v>11481.275395048966</v>
      </c>
      <c r="D208" s="465">
        <f>IF(LN_IF18=0,0,LN_IF15/LN_IF18)</f>
        <v>6829.6637052630404</v>
      </c>
      <c r="E208" s="465">
        <f t="shared" si="22"/>
        <v>-4651.6116897859256</v>
      </c>
      <c r="F208" s="449">
        <f t="shared" si="23"/>
        <v>-0.40514764516421453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705</v>
      </c>
      <c r="C209" s="465">
        <f>C61-C208</f>
        <v>9917.7200825350974</v>
      </c>
      <c r="D209" s="465">
        <f>LN_IB18-LN_IF19</f>
        <v>14969.223249663253</v>
      </c>
      <c r="E209" s="465">
        <f t="shared" si="22"/>
        <v>5051.5031671281558</v>
      </c>
      <c r="F209" s="449">
        <f t="shared" si="23"/>
        <v>0.50934117166945958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706</v>
      </c>
      <c r="C210" s="465">
        <f>C32-C208</f>
        <v>-2080.6109830901187</v>
      </c>
      <c r="D210" s="465">
        <f>LN_IA16-LN_IF19</f>
        <v>3572.3218409230622</v>
      </c>
      <c r="E210" s="465">
        <f t="shared" si="22"/>
        <v>5652.9328240131808</v>
      </c>
      <c r="F210" s="449">
        <f t="shared" si="23"/>
        <v>-2.7169580810428378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666</v>
      </c>
      <c r="C211" s="479">
        <f>C141+C176</f>
        <v>-27072807.462913584</v>
      </c>
      <c r="D211" s="441">
        <f>LN_IF21*LN_IF18</f>
        <v>50918658.645760119</v>
      </c>
      <c r="E211" s="441">
        <f t="shared" si="22"/>
        <v>77991466.108673707</v>
      </c>
      <c r="F211" s="449">
        <f t="shared" si="23"/>
        <v>-2.8808045200156069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707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657</v>
      </c>
      <c r="C214" s="448">
        <f>C188+C203</f>
        <v>1809383172</v>
      </c>
      <c r="D214" s="448">
        <f>LN_IF1+LN_IF14</f>
        <v>1794329953</v>
      </c>
      <c r="E214" s="448">
        <f>D214-C214</f>
        <v>-15053219</v>
      </c>
      <c r="F214" s="449">
        <f>IF(C214=0,0,E214/C214)</f>
        <v>-8.3195307842732612E-3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658</v>
      </c>
      <c r="C215" s="448">
        <f>C189+C204</f>
        <v>337078611</v>
      </c>
      <c r="D215" s="448">
        <f>LN_IF2+LN_IF15</f>
        <v>213273241</v>
      </c>
      <c r="E215" s="448">
        <f>D215-C215</f>
        <v>-123805370</v>
      </c>
      <c r="F215" s="449">
        <f>IF(C215=0,0,E215/C215)</f>
        <v>-0.36728930866515291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659</v>
      </c>
      <c r="C216" s="448">
        <f>C214-C215</f>
        <v>1472304561</v>
      </c>
      <c r="D216" s="448">
        <f>LN_IF23-LN_IF24</f>
        <v>1581056712</v>
      </c>
      <c r="E216" s="448">
        <f>D216-C216</f>
        <v>108752151</v>
      </c>
      <c r="F216" s="449">
        <f>IF(C216=0,0,E216/C216)</f>
        <v>7.3865254432231561E-2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708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709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641</v>
      </c>
      <c r="C221" s="448">
        <v>25246609</v>
      </c>
      <c r="D221" s="448">
        <v>25295301</v>
      </c>
      <c r="E221" s="448">
        <f t="shared" ref="E221:E230" si="24">D221-C221</f>
        <v>48692</v>
      </c>
      <c r="F221" s="449">
        <f t="shared" ref="F221:F230" si="25">IF(C221=0,0,E221/C221)</f>
        <v>1.9286550522487991E-3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642</v>
      </c>
      <c r="C222" s="448">
        <v>4797029</v>
      </c>
      <c r="D222" s="448">
        <v>2112365</v>
      </c>
      <c r="E222" s="448">
        <f t="shared" si="24"/>
        <v>-2684664</v>
      </c>
      <c r="F222" s="449">
        <f t="shared" si="25"/>
        <v>-0.55965140089834775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643</v>
      </c>
      <c r="C223" s="453">
        <f>IF(C221=0,0,C222/C221)</f>
        <v>0.19000686389209734</v>
      </c>
      <c r="D223" s="453">
        <f>IF(LN_IG1=0,0,LN_IG2/LN_IG1)</f>
        <v>8.3508197826940272E-2</v>
      </c>
      <c r="E223" s="454">
        <f t="shared" si="24"/>
        <v>-0.10649866606515707</v>
      </c>
      <c r="F223" s="449">
        <f t="shared" si="25"/>
        <v>-0.56049904663252803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448</v>
      </c>
      <c r="D224" s="456">
        <v>400</v>
      </c>
      <c r="E224" s="456">
        <f t="shared" si="24"/>
        <v>-48</v>
      </c>
      <c r="F224" s="449">
        <f t="shared" si="25"/>
        <v>-0.10714285714285714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644</v>
      </c>
      <c r="C225" s="459">
        <v>1.3638300000000001</v>
      </c>
      <c r="D225" s="459">
        <v>1.4174100000000001</v>
      </c>
      <c r="E225" s="460">
        <f t="shared" si="24"/>
        <v>5.3579999999999961E-2</v>
      </c>
      <c r="F225" s="449">
        <f t="shared" si="25"/>
        <v>3.9286421328171367E-2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645</v>
      </c>
      <c r="C226" s="463">
        <f>C224*C225</f>
        <v>610.99584000000004</v>
      </c>
      <c r="D226" s="463">
        <f>LN_IG3*LN_IG4</f>
        <v>566.96400000000006</v>
      </c>
      <c r="E226" s="463">
        <f t="shared" si="24"/>
        <v>-44.031839999999988</v>
      </c>
      <c r="F226" s="449">
        <f t="shared" si="25"/>
        <v>-7.2065695242704078E-2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646</v>
      </c>
      <c r="C227" s="465">
        <f>IF(C226=0,0,C222/C226)</f>
        <v>7851.1647477010638</v>
      </c>
      <c r="D227" s="465">
        <f>IF(LN_IG5=0,0,LN_IG2/LN_IG5)</f>
        <v>3725.748019274592</v>
      </c>
      <c r="E227" s="465">
        <f t="shared" si="24"/>
        <v>-4125.4167284264713</v>
      </c>
      <c r="F227" s="449">
        <f t="shared" si="25"/>
        <v>-0.52545282910213464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2097</v>
      </c>
      <c r="D228" s="456">
        <v>1625</v>
      </c>
      <c r="E228" s="456">
        <f t="shared" si="24"/>
        <v>-472</v>
      </c>
      <c r="F228" s="449">
        <f t="shared" si="25"/>
        <v>-0.22508345255126372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647</v>
      </c>
      <c r="C229" s="465">
        <f>IF(C228=0,0,C222/C228)</f>
        <v>2287.567477348593</v>
      </c>
      <c r="D229" s="465">
        <f>IF(LN_IG6=0,0,LN_IG2/LN_IG6)</f>
        <v>1299.916923076923</v>
      </c>
      <c r="E229" s="465">
        <f t="shared" si="24"/>
        <v>-987.65055427166999</v>
      </c>
      <c r="F229" s="449">
        <f t="shared" si="25"/>
        <v>-0.4317470693438985</v>
      </c>
      <c r="Q229" s="421"/>
      <c r="U229" s="462"/>
    </row>
    <row r="230" spans="1:21" ht="15.75" customHeight="1" x14ac:dyDescent="0.2">
      <c r="A230" s="451">
        <v>10</v>
      </c>
      <c r="B230" s="447" t="s">
        <v>648</v>
      </c>
      <c r="C230" s="466">
        <f>IF(C224=0,0,C228/C224)</f>
        <v>4.6808035714285712</v>
      </c>
      <c r="D230" s="466">
        <f>IF(LN_IG3=0,0,LN_IG6/LN_IG3)</f>
        <v>4.0625</v>
      </c>
      <c r="E230" s="466">
        <f t="shared" si="24"/>
        <v>-0.61830357142857117</v>
      </c>
      <c r="F230" s="449">
        <f t="shared" si="25"/>
        <v>-0.1320934668574153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710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650</v>
      </c>
      <c r="C233" s="448">
        <v>15430638</v>
      </c>
      <c r="D233" s="448">
        <v>22072889</v>
      </c>
      <c r="E233" s="448">
        <f>D233-C233</f>
        <v>6642251</v>
      </c>
      <c r="F233" s="449">
        <f>IF(C233=0,0,E233/C233)</f>
        <v>0.43045861097901461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651</v>
      </c>
      <c r="C234" s="448">
        <v>1970886</v>
      </c>
      <c r="D234" s="448">
        <v>2274341</v>
      </c>
      <c r="E234" s="448">
        <f>D234-C234</f>
        <v>303455</v>
      </c>
      <c r="F234" s="449">
        <f>IF(C234=0,0,E234/C234)</f>
        <v>0.15396882417349356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711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657</v>
      </c>
      <c r="C237" s="448">
        <f>C221+C233</f>
        <v>40677247</v>
      </c>
      <c r="D237" s="448">
        <f>LN_IG1+LN_IG9</f>
        <v>47368190</v>
      </c>
      <c r="E237" s="448">
        <f>D237-C237</f>
        <v>6690943</v>
      </c>
      <c r="F237" s="449">
        <f>IF(C237=0,0,E237/C237)</f>
        <v>0.16448858989891818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658</v>
      </c>
      <c r="C238" s="448">
        <f>C222+C234</f>
        <v>6767915</v>
      </c>
      <c r="D238" s="448">
        <f>LN_IG2+LN_IG10</f>
        <v>4386706</v>
      </c>
      <c r="E238" s="448">
        <f>D238-C238</f>
        <v>-2381209</v>
      </c>
      <c r="F238" s="449">
        <f>IF(C238=0,0,E238/C238)</f>
        <v>-0.35183789985542074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659</v>
      </c>
      <c r="C239" s="448">
        <f>C237-C238</f>
        <v>33909332</v>
      </c>
      <c r="D239" s="448">
        <f>LN_IG13-LN_IG14</f>
        <v>42981484</v>
      </c>
      <c r="E239" s="448">
        <f>D239-C239</f>
        <v>9072152</v>
      </c>
      <c r="F239" s="449">
        <f>IF(C239=0,0,E239/C239)</f>
        <v>0.2675414543701421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712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713</v>
      </c>
      <c r="C243" s="448">
        <v>3256036</v>
      </c>
      <c r="D243" s="448">
        <v>3296108</v>
      </c>
      <c r="E243" s="441">
        <f>D243-C243</f>
        <v>40072</v>
      </c>
      <c r="F243" s="503">
        <f>IF(C243=0,0,E243/C243)</f>
        <v>1.230698923476276E-2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714</v>
      </c>
      <c r="C244" s="448">
        <v>2236673000</v>
      </c>
      <c r="D244" s="448">
        <v>2267358000</v>
      </c>
      <c r="E244" s="441">
        <f>D244-C244</f>
        <v>30685000</v>
      </c>
      <c r="F244" s="503">
        <f>IF(C244=0,0,E244/C244)</f>
        <v>1.3719037159209236E-2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715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716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717</v>
      </c>
      <c r="C248" s="441">
        <v>32480929</v>
      </c>
      <c r="D248" s="441">
        <v>43211397</v>
      </c>
      <c r="E248" s="441">
        <f>D248-C248</f>
        <v>10730468</v>
      </c>
      <c r="F248" s="449">
        <f>IF(C248=0,0,E248/C248)</f>
        <v>0.33036210263567278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718</v>
      </c>
      <c r="C249" s="441">
        <v>118694071</v>
      </c>
      <c r="D249" s="441">
        <v>157929603</v>
      </c>
      <c r="E249" s="441">
        <f>D249-C249</f>
        <v>39235532</v>
      </c>
      <c r="F249" s="449">
        <f>IF(C249=0,0,E249/C249)</f>
        <v>0.33056016757568285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719</v>
      </c>
      <c r="C250" s="441">
        <f>C248+C249</f>
        <v>151175000</v>
      </c>
      <c r="D250" s="441">
        <f>LN_IH4+LN_IH5</f>
        <v>201141000</v>
      </c>
      <c r="E250" s="441">
        <f>D250-C250</f>
        <v>49966000</v>
      </c>
      <c r="F250" s="449">
        <f>IF(C250=0,0,E250/C250)</f>
        <v>0.33051761203902763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720</v>
      </c>
      <c r="C251" s="441">
        <f>C250*C313</f>
        <v>42329480.061817259</v>
      </c>
      <c r="D251" s="441">
        <f>LN_IH6*LN_III10</f>
        <v>53819202.804170154</v>
      </c>
      <c r="E251" s="441">
        <f>D251-C251</f>
        <v>11489722.742352895</v>
      </c>
      <c r="F251" s="449">
        <f>IF(C251=0,0,E251/C251)</f>
        <v>0.27143548008559276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721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657</v>
      </c>
      <c r="C254" s="441">
        <f>C188+C203</f>
        <v>1809383172</v>
      </c>
      <c r="D254" s="441">
        <f>LN_IF23</f>
        <v>1794329953</v>
      </c>
      <c r="E254" s="441">
        <f>D254-C254</f>
        <v>-15053219</v>
      </c>
      <c r="F254" s="449">
        <f>IF(C254=0,0,E254/C254)</f>
        <v>-8.3195307842732612E-3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658</v>
      </c>
      <c r="C255" s="441">
        <f>C189+C204</f>
        <v>337078611</v>
      </c>
      <c r="D255" s="441">
        <f>LN_IF24</f>
        <v>213273241</v>
      </c>
      <c r="E255" s="441">
        <f>D255-C255</f>
        <v>-123805370</v>
      </c>
      <c r="F255" s="449">
        <f>IF(C255=0,0,E255/C255)</f>
        <v>-0.36728930866515291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722</v>
      </c>
      <c r="C256" s="441">
        <f>C254*C313</f>
        <v>506633033.92334497</v>
      </c>
      <c r="D256" s="441">
        <f>LN_IH8*LN_III10</f>
        <v>480108021.92543584</v>
      </c>
      <c r="E256" s="441">
        <f>D256-C256</f>
        <v>-26525011.997909129</v>
      </c>
      <c r="F256" s="449">
        <f>IF(C256=0,0,E256/C256)</f>
        <v>-5.2355472742273729E-2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723</v>
      </c>
      <c r="C257" s="441">
        <f>C256-C255</f>
        <v>169554422.92334497</v>
      </c>
      <c r="D257" s="441">
        <f>LN_IH10-LN_IH9</f>
        <v>266834780.92543584</v>
      </c>
      <c r="E257" s="441">
        <f>D257-C257</f>
        <v>97280358.002090871</v>
      </c>
      <c r="F257" s="449">
        <f>IF(C257=0,0,E257/C257)</f>
        <v>0.57374119957974212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724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725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4640874495</v>
      </c>
      <c r="D261" s="448">
        <f>LN_IA1+LN_IB1+LN_IF1+LN_IG1</f>
        <v>4554559396</v>
      </c>
      <c r="E261" s="448">
        <f t="shared" ref="E261:E274" si="26">D261-C261</f>
        <v>-86315099</v>
      </c>
      <c r="F261" s="503">
        <f t="shared" ref="F261:F274" si="27">IF(C261=0,0,E261/C261)</f>
        <v>-1.8598886716931138E-2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1291661010</v>
      </c>
      <c r="D262" s="448">
        <f>+LN_IA2+LN_IB2+LN_IF2+LN_IG2</f>
        <v>1307021996</v>
      </c>
      <c r="E262" s="448">
        <f t="shared" si="26"/>
        <v>15360986</v>
      </c>
      <c r="F262" s="503">
        <f t="shared" si="27"/>
        <v>1.1892428339228107E-2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726</v>
      </c>
      <c r="C263" s="453">
        <f>IF(C261=0,0,C262/C261)</f>
        <v>0.27832276252926336</v>
      </c>
      <c r="D263" s="453">
        <f>IF(LN_IIA1=0,0,LN_IIA2/LN_IIA1)</f>
        <v>0.28697001891069424</v>
      </c>
      <c r="E263" s="454">
        <f t="shared" si="26"/>
        <v>8.6472563814308789E-3</v>
      </c>
      <c r="F263" s="458">
        <f t="shared" si="27"/>
        <v>3.1069166973081087E-2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80503</v>
      </c>
      <c r="D264" s="456">
        <f>LN_IA4+LN_IB4+LN_IF4+LN_IG3</f>
        <v>78529</v>
      </c>
      <c r="E264" s="456">
        <f t="shared" si="26"/>
        <v>-1974</v>
      </c>
      <c r="F264" s="503">
        <f t="shared" si="27"/>
        <v>-2.4520825310857981E-2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727</v>
      </c>
      <c r="C265" s="525">
        <f>IF(C264=0,0,C266/C264)</f>
        <v>1.4497418524775474</v>
      </c>
      <c r="D265" s="525">
        <f>IF(LN_IIA4=0,0,LN_IIA6/LN_IIA4)</f>
        <v>1.5057475015599333</v>
      </c>
      <c r="E265" s="525">
        <f t="shared" si="26"/>
        <v>5.6005649082385922E-2</v>
      </c>
      <c r="F265" s="503">
        <f t="shared" si="27"/>
        <v>3.8631463240627731E-2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728</v>
      </c>
      <c r="C266" s="463">
        <f>C20+C47+C193+C226</f>
        <v>116708.56835</v>
      </c>
      <c r="D266" s="463">
        <f>LN_IA6+LN_IB6+LN_IF6+LN_IG5</f>
        <v>118244.84555</v>
      </c>
      <c r="E266" s="463">
        <f t="shared" si="26"/>
        <v>1536.2771999999968</v>
      </c>
      <c r="F266" s="503">
        <f t="shared" si="27"/>
        <v>1.316336256814341E-2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3602178376</v>
      </c>
      <c r="D267" s="448">
        <f>LN_IA11+LN_IB13+LN_IF14+LN_IG9</f>
        <v>3830419171</v>
      </c>
      <c r="E267" s="448">
        <f t="shared" si="26"/>
        <v>228240795</v>
      </c>
      <c r="F267" s="503">
        <f t="shared" si="27"/>
        <v>6.3361880277968782E-2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653</v>
      </c>
      <c r="C268" s="453">
        <f>IF(C261=0,0,C267/C261)</f>
        <v>0.77618525988602505</v>
      </c>
      <c r="D268" s="453">
        <f>IF(LN_IIA1=0,0,LN_IIA7/LN_IIA1)</f>
        <v>0.84100762290289388</v>
      </c>
      <c r="E268" s="454">
        <f t="shared" si="26"/>
        <v>6.4822363016868834E-2</v>
      </c>
      <c r="F268" s="458">
        <f t="shared" si="27"/>
        <v>8.3514035072486878E-2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989112741</v>
      </c>
      <c r="D269" s="448">
        <f>LN_IA12+LN_IB14+LN_IF15+LN_IG10</f>
        <v>999741703</v>
      </c>
      <c r="E269" s="448">
        <f t="shared" si="26"/>
        <v>10628962</v>
      </c>
      <c r="F269" s="503">
        <f t="shared" si="27"/>
        <v>1.0745956006242568E-2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652</v>
      </c>
      <c r="C270" s="453">
        <f>IF(C267=0,0,C269/C267)</f>
        <v>0.27458738511954245</v>
      </c>
      <c r="D270" s="453">
        <f>IF(LN_IIA7=0,0,LN_IIA9/LN_IIA7)</f>
        <v>0.26100060029174282</v>
      </c>
      <c r="E270" s="454">
        <f t="shared" si="26"/>
        <v>-1.3586784827799625E-2</v>
      </c>
      <c r="F270" s="458">
        <f t="shared" si="27"/>
        <v>-4.9480732051418085E-2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729</v>
      </c>
      <c r="C271" s="441">
        <f>C261+C267</f>
        <v>8243052871</v>
      </c>
      <c r="D271" s="441">
        <f>LN_IIA1+LN_IIA7</f>
        <v>8384978567</v>
      </c>
      <c r="E271" s="441">
        <f t="shared" si="26"/>
        <v>141925696</v>
      </c>
      <c r="F271" s="503">
        <f t="shared" si="27"/>
        <v>1.7217613209701808E-2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730</v>
      </c>
      <c r="C272" s="441">
        <f>C262+C269</f>
        <v>2280773751</v>
      </c>
      <c r="D272" s="441">
        <f>LN_IIA2+LN_IIA9</f>
        <v>2306763699</v>
      </c>
      <c r="E272" s="441">
        <f t="shared" si="26"/>
        <v>25989948</v>
      </c>
      <c r="F272" s="503">
        <f t="shared" si="27"/>
        <v>1.1395232862797007E-2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731</v>
      </c>
      <c r="C273" s="453">
        <f>IF(C271=0,0,C272/C271)</f>
        <v>0.27669041879180734</v>
      </c>
      <c r="D273" s="453">
        <f>IF(LN_IIA11=0,0,LN_IIA12/LN_IIA11)</f>
        <v>0.27510668996561549</v>
      </c>
      <c r="E273" s="454">
        <f t="shared" si="26"/>
        <v>-1.5837288261918436E-3</v>
      </c>
      <c r="F273" s="458">
        <f t="shared" si="27"/>
        <v>-5.7238296617112099E-3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462219</v>
      </c>
      <c r="D274" s="508">
        <f>LN_IA8+LN_IB10+LN_IF11+LN_IG6</f>
        <v>426515</v>
      </c>
      <c r="E274" s="528">
        <f t="shared" si="26"/>
        <v>-35704</v>
      </c>
      <c r="F274" s="458">
        <f t="shared" si="27"/>
        <v>-7.7244769254401047E-2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732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733</v>
      </c>
      <c r="C277" s="448">
        <f>C15+C188+C221</f>
        <v>3109978209</v>
      </c>
      <c r="D277" s="448">
        <f>LN_IA1+LN_IF1+LN_IG1</f>
        <v>3092577402</v>
      </c>
      <c r="E277" s="448">
        <f t="shared" ref="E277:E291" si="28">D277-C277</f>
        <v>-17400807</v>
      </c>
      <c r="F277" s="503">
        <f t="shared" ref="F277:F291" si="29">IF(C277=0,0,E277/C277)</f>
        <v>-5.5951539948555316E-3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734</v>
      </c>
      <c r="C278" s="448">
        <f>C16+C189+C222</f>
        <v>731199366</v>
      </c>
      <c r="D278" s="448">
        <f>LN_IA2+LN_IF2+LN_IG2</f>
        <v>681155362</v>
      </c>
      <c r="E278" s="448">
        <f t="shared" si="28"/>
        <v>-50044004</v>
      </c>
      <c r="F278" s="503">
        <f t="shared" si="29"/>
        <v>-6.8440983850634241E-2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735</v>
      </c>
      <c r="C279" s="453">
        <f>IF(C277=0,0,C278/C277)</f>
        <v>0.23511398371987757</v>
      </c>
      <c r="D279" s="453">
        <f>IF(D277=0,0,LN_IIB2/D277)</f>
        <v>0.22025491150504112</v>
      </c>
      <c r="E279" s="454">
        <f t="shared" si="28"/>
        <v>-1.4859072214836455E-2</v>
      </c>
      <c r="F279" s="458">
        <f t="shared" si="29"/>
        <v>-6.3199440457527345E-2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736</v>
      </c>
      <c r="C280" s="456">
        <f>C18+C191+C224</f>
        <v>52087</v>
      </c>
      <c r="D280" s="456">
        <f>LN_IA4+LN_IF4+LN_IG3</f>
        <v>51061</v>
      </c>
      <c r="E280" s="456">
        <f t="shared" si="28"/>
        <v>-1026</v>
      </c>
      <c r="F280" s="503">
        <f t="shared" si="29"/>
        <v>-1.9697813273945514E-2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737</v>
      </c>
      <c r="C281" s="525">
        <f>IF(C280=0,0,C282/C280)</f>
        <v>1.4838887620711501</v>
      </c>
      <c r="D281" s="525">
        <f>IF(LN_IIB4=0,0,LN_IIB6/LN_IIB4)</f>
        <v>1.5424877881357595</v>
      </c>
      <c r="E281" s="525">
        <f t="shared" si="28"/>
        <v>5.8599026064609427E-2</v>
      </c>
      <c r="F281" s="503">
        <f t="shared" si="29"/>
        <v>3.9490174440582289E-2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738</v>
      </c>
      <c r="C282" s="463">
        <f>C20+C193+C226</f>
        <v>77291.313949999996</v>
      </c>
      <c r="D282" s="463">
        <f>LN_IA6+LN_IF6+LN_IG5</f>
        <v>78760.968950000009</v>
      </c>
      <c r="E282" s="463">
        <f t="shared" si="28"/>
        <v>1469.6550000000134</v>
      </c>
      <c r="F282" s="503">
        <f t="shared" si="29"/>
        <v>1.9014491084350538E-2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739</v>
      </c>
      <c r="C283" s="448">
        <f>C27+C203+C233</f>
        <v>1939263130</v>
      </c>
      <c r="D283" s="448">
        <f>LN_IA11+LN_IF14+LN_IG9</f>
        <v>2155418624</v>
      </c>
      <c r="E283" s="448">
        <f t="shared" si="28"/>
        <v>216155494</v>
      </c>
      <c r="F283" s="503">
        <f t="shared" si="29"/>
        <v>0.11146269459575607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740</v>
      </c>
      <c r="C284" s="453">
        <f>IF(C277=0,0,C283/C277)</f>
        <v>0.62356164566939576</v>
      </c>
      <c r="D284" s="453">
        <f>IF(D277=0,0,LN_IIB7/D277)</f>
        <v>0.69696513419714889</v>
      </c>
      <c r="E284" s="454">
        <f t="shared" si="28"/>
        <v>7.3403488527753136E-2</v>
      </c>
      <c r="F284" s="458">
        <f t="shared" si="29"/>
        <v>0.11771649048259569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741</v>
      </c>
      <c r="C285" s="448">
        <f>C28+C204+C234</f>
        <v>328600795</v>
      </c>
      <c r="D285" s="448">
        <f>LN_IA12+LN_IF15+LN_IG10</f>
        <v>313725636</v>
      </c>
      <c r="E285" s="448">
        <f t="shared" si="28"/>
        <v>-14875159</v>
      </c>
      <c r="F285" s="503">
        <f t="shared" si="29"/>
        <v>-4.5268177150940857E-2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742</v>
      </c>
      <c r="C286" s="453">
        <f>IF(C283=0,0,C285/C283)</f>
        <v>0.16944621383071415</v>
      </c>
      <c r="D286" s="453">
        <f>IF(LN_IIB7=0,0,LN_IIB9/LN_IIB7)</f>
        <v>0.14555206701229653</v>
      </c>
      <c r="E286" s="454">
        <f t="shared" si="28"/>
        <v>-2.3894146818417616E-2</v>
      </c>
      <c r="F286" s="458">
        <f t="shared" si="29"/>
        <v>-0.14101316446225909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743</v>
      </c>
      <c r="C287" s="441">
        <f>C277+C283</f>
        <v>5049241339</v>
      </c>
      <c r="D287" s="441">
        <f>D277+LN_IIB7</f>
        <v>5247996026</v>
      </c>
      <c r="E287" s="441">
        <f t="shared" si="28"/>
        <v>198754687</v>
      </c>
      <c r="F287" s="503">
        <f t="shared" si="29"/>
        <v>3.9363277303628208E-2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744</v>
      </c>
      <c r="C288" s="441">
        <f>C278+C285</f>
        <v>1059800161</v>
      </c>
      <c r="D288" s="441">
        <f>LN_IIB2+LN_IIB9</f>
        <v>994880998</v>
      </c>
      <c r="E288" s="441">
        <f t="shared" si="28"/>
        <v>-64919163</v>
      </c>
      <c r="F288" s="503">
        <f t="shared" si="29"/>
        <v>-6.1256041835985341E-2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745</v>
      </c>
      <c r="C289" s="453">
        <f>IF(C287=0,0,C288/C287)</f>
        <v>0.20989295021693158</v>
      </c>
      <c r="D289" s="453">
        <f>IF(LN_IIB11=0,0,LN_IIB12/LN_IIB11)</f>
        <v>0.18957350445219259</v>
      </c>
      <c r="E289" s="454">
        <f t="shared" si="28"/>
        <v>-2.0319445764738986E-2</v>
      </c>
      <c r="F289" s="458">
        <f t="shared" si="29"/>
        <v>-9.680861479024494E-2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326979</v>
      </c>
      <c r="D290" s="508">
        <f>LN_IA8+LN_IF11+LN_IG6</f>
        <v>303729</v>
      </c>
      <c r="E290" s="528">
        <f t="shared" si="28"/>
        <v>-23250</v>
      </c>
      <c r="F290" s="458">
        <f t="shared" si="29"/>
        <v>-7.1105483838411643E-2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746</v>
      </c>
      <c r="C291" s="448">
        <f>C287-C288</f>
        <v>3989441178</v>
      </c>
      <c r="D291" s="516">
        <f>LN_IIB11-LN_IIB12</f>
        <v>4253115028</v>
      </c>
      <c r="E291" s="441">
        <f t="shared" si="28"/>
        <v>263673850</v>
      </c>
      <c r="F291" s="503">
        <f t="shared" si="29"/>
        <v>6.6092928366520212E-2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648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639</v>
      </c>
      <c r="C294" s="466">
        <f>IF(C18=0,0,C22/C18)</f>
        <v>6.7107882513184087</v>
      </c>
      <c r="D294" s="466">
        <f>IF(LN_IA4=0,0,LN_IA8/LN_IA4)</f>
        <v>6.4335481130071512</v>
      </c>
      <c r="E294" s="466">
        <f t="shared" ref="E294:E300" si="30">D294-C294</f>
        <v>-0.27724013831125749</v>
      </c>
      <c r="F294" s="503">
        <f t="shared" ref="F294:F300" si="31">IF(C294=0,0,E294/C294)</f>
        <v>-4.131260411275689E-2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660</v>
      </c>
      <c r="C295" s="466">
        <f>IF(C45=0,0,C51/C45)</f>
        <v>4.7592905405405403</v>
      </c>
      <c r="D295" s="466">
        <f>IF(LN_IB4=0,0,(LN_IB10)/(LN_IB4))</f>
        <v>4.4701470802388235</v>
      </c>
      <c r="E295" s="466">
        <f t="shared" si="30"/>
        <v>-0.28914346030171689</v>
      </c>
      <c r="F295" s="503">
        <f t="shared" si="31"/>
        <v>-6.0753479502614519E-2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675</v>
      </c>
      <c r="C296" s="466">
        <f>IF(C86=0,0,C93/C86)</f>
        <v>4.463276836158192</v>
      </c>
      <c r="D296" s="466">
        <f>IF(LN_IC4=0,0,LN_IC11/LN_IC4)</f>
        <v>4.5546218487394956</v>
      </c>
      <c r="E296" s="466">
        <f t="shared" si="30"/>
        <v>9.1345012581303564E-2</v>
      </c>
      <c r="F296" s="503">
        <f t="shared" si="31"/>
        <v>2.0465907882140165E-2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5.7694514474484917</v>
      </c>
      <c r="D297" s="466">
        <f>IF(LN_ID4=0,0,LN_ID11/LN_ID4)</f>
        <v>5.3706000446129822</v>
      </c>
      <c r="E297" s="466">
        <f t="shared" si="30"/>
        <v>-0.39885140283550946</v>
      </c>
      <c r="F297" s="503">
        <f t="shared" si="31"/>
        <v>-6.9131598812899153E-2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747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4.6808035714285712</v>
      </c>
      <c r="D299" s="466">
        <f>IF(LN_IG3=0,0,LN_IG6/LN_IG3)</f>
        <v>4.0625</v>
      </c>
      <c r="E299" s="466">
        <f t="shared" si="30"/>
        <v>-0.61830357142857117</v>
      </c>
      <c r="F299" s="503">
        <f t="shared" si="31"/>
        <v>-0.1320934668574153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748</v>
      </c>
      <c r="C300" s="466">
        <f>IF(C264=0,0,C274/C264)</f>
        <v>5.7416369576289084</v>
      </c>
      <c r="D300" s="466">
        <f>IF(LN_IIA4=0,0,LN_IIA14/LN_IIA4)</f>
        <v>5.4313056323141771</v>
      </c>
      <c r="E300" s="466">
        <f t="shared" si="30"/>
        <v>-0.31033132531473129</v>
      </c>
      <c r="F300" s="503">
        <f t="shared" si="31"/>
        <v>-5.4049276818589918E-2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749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743</v>
      </c>
      <c r="C304" s="441">
        <f>C35+C66+C214+C221+C233</f>
        <v>8243052871</v>
      </c>
      <c r="D304" s="441">
        <f>LN_IIA11</f>
        <v>8384978567</v>
      </c>
      <c r="E304" s="441">
        <f t="shared" ref="E304:E316" si="32">D304-C304</f>
        <v>141925696</v>
      </c>
      <c r="F304" s="449">
        <f>IF(C304=0,0,E304/C304)</f>
        <v>1.7217613209701808E-2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746</v>
      </c>
      <c r="C305" s="441">
        <f>C291</f>
        <v>3989441178</v>
      </c>
      <c r="D305" s="441">
        <f>LN_IIB14</f>
        <v>4253115028</v>
      </c>
      <c r="E305" s="441">
        <f t="shared" si="32"/>
        <v>263673850</v>
      </c>
      <c r="F305" s="449">
        <f>IF(C305=0,0,E305/C305)</f>
        <v>6.6092928366520212E-2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750</v>
      </c>
      <c r="C306" s="441">
        <f>C250</f>
        <v>151175000</v>
      </c>
      <c r="D306" s="441">
        <f>LN_IH6</f>
        <v>201141000</v>
      </c>
      <c r="E306" s="441">
        <f t="shared" si="32"/>
        <v>49966000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751</v>
      </c>
      <c r="C307" s="441">
        <f>C73-C74</f>
        <v>1794355713</v>
      </c>
      <c r="D307" s="441">
        <f>LN_IB32-LN_IB33</f>
        <v>1687157766</v>
      </c>
      <c r="E307" s="441">
        <f t="shared" si="32"/>
        <v>-107197947</v>
      </c>
      <c r="F307" s="449">
        <f t="shared" ref="F307:F316" si="33">IF(C307=0,0,E307/C307)</f>
        <v>-5.9741748095629689E-2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752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753</v>
      </c>
      <c r="C309" s="441">
        <f>C305+C307+C308+C306</f>
        <v>5934971891</v>
      </c>
      <c r="D309" s="441">
        <f>LN_III2+LN_III3+LN_III4+LN_III5</f>
        <v>6141413794</v>
      </c>
      <c r="E309" s="441">
        <f t="shared" si="32"/>
        <v>206441903</v>
      </c>
      <c r="F309" s="449">
        <f t="shared" si="33"/>
        <v>3.4783973166419839E-2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754</v>
      </c>
      <c r="C310" s="441">
        <f>C304-C309</f>
        <v>2308080980</v>
      </c>
      <c r="D310" s="441">
        <f>LN_III1-LN_III6</f>
        <v>2243564773</v>
      </c>
      <c r="E310" s="441">
        <f t="shared" si="32"/>
        <v>-64516207</v>
      </c>
      <c r="F310" s="449">
        <f t="shared" si="33"/>
        <v>-2.7952315173967596E-2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755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756</v>
      </c>
      <c r="C312" s="441">
        <f>C310+C311</f>
        <v>2308080980</v>
      </c>
      <c r="D312" s="441">
        <f>LN_III7+LN_III8</f>
        <v>2243564773</v>
      </c>
      <c r="E312" s="441">
        <f t="shared" si="32"/>
        <v>-64516207</v>
      </c>
      <c r="F312" s="449">
        <f t="shared" si="33"/>
        <v>-2.7952315173967596E-2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757</v>
      </c>
      <c r="C313" s="532">
        <f>IF(C304=0,0,C312/C304)</f>
        <v>0.28000317553707466</v>
      </c>
      <c r="D313" s="532">
        <f>IF(LN_III1=0,0,LN_III9/LN_III1)</f>
        <v>0.26756952985303917</v>
      </c>
      <c r="E313" s="532">
        <f t="shared" si="32"/>
        <v>-1.2433645684035488E-2</v>
      </c>
      <c r="F313" s="449">
        <f t="shared" si="33"/>
        <v>-4.4405373832587747E-2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720</v>
      </c>
      <c r="C314" s="441">
        <f>C306*C313</f>
        <v>42329480.061817259</v>
      </c>
      <c r="D314" s="441">
        <f>D313*LN_III5</f>
        <v>53819202.804170154</v>
      </c>
      <c r="E314" s="441">
        <f t="shared" si="32"/>
        <v>11489722.742352895</v>
      </c>
      <c r="F314" s="449">
        <f t="shared" si="33"/>
        <v>0.27143548008559276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723</v>
      </c>
      <c r="C315" s="441">
        <f>(C214*C313)-C215</f>
        <v>169554422.92334497</v>
      </c>
      <c r="D315" s="441">
        <f>D313*LN_IH8-LN_IH9</f>
        <v>266834780.92543584</v>
      </c>
      <c r="E315" s="441">
        <f t="shared" si="32"/>
        <v>97280358.002090871</v>
      </c>
      <c r="F315" s="449">
        <f t="shared" si="33"/>
        <v>0.57374119957974212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758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759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760</v>
      </c>
      <c r="C318" s="441">
        <f>C314+C315+C316</f>
        <v>211883902.98516223</v>
      </c>
      <c r="D318" s="441">
        <f>D314+D315+D316</f>
        <v>320653983.72960597</v>
      </c>
      <c r="E318" s="441">
        <f>D318-C318</f>
        <v>108770080.74444374</v>
      </c>
      <c r="F318" s="449">
        <f>IF(C318=0,0,E318/C318)</f>
        <v>0.51334754180009923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761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-27072807.462913584</v>
      </c>
      <c r="D322" s="441">
        <f>LN_ID22</f>
        <v>50918658.645760119</v>
      </c>
      <c r="E322" s="441">
        <f>LN_IV2-C322</f>
        <v>77991466.108673707</v>
      </c>
      <c r="F322" s="449">
        <f>IF(C322=0,0,E322/C322)</f>
        <v>-2.8808045200156069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747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762</v>
      </c>
      <c r="C324" s="441">
        <f>C92+C106</f>
        <v>21220096.677261289</v>
      </c>
      <c r="D324" s="441">
        <f>LN_IC10+LN_IC22</f>
        <v>8024670.908499727</v>
      </c>
      <c r="E324" s="441">
        <f>LN_IV1-C324</f>
        <v>-13195425.768761562</v>
      </c>
      <c r="F324" s="449">
        <f>IF(C324=0,0,E324/C324)</f>
        <v>-0.6218362700911404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763</v>
      </c>
      <c r="C325" s="516">
        <f>C324+C322+C323</f>
        <v>-5852710.7856522948</v>
      </c>
      <c r="D325" s="516">
        <f>LN_IV1+LN_IV2+LN_IV3</f>
        <v>58943329.554259844</v>
      </c>
      <c r="E325" s="441">
        <f>LN_IV4-C325</f>
        <v>64796040.339912139</v>
      </c>
      <c r="F325" s="449">
        <f>IF(C325=0,0,E325/C325)</f>
        <v>-11.071116054249126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764</v>
      </c>
      <c r="B327" s="530" t="s">
        <v>765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766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767</v>
      </c>
      <c r="C330" s="516">
        <v>2142331</v>
      </c>
      <c r="D330" s="516">
        <v>31589301</v>
      </c>
      <c r="E330" s="518">
        <f t="shared" si="34"/>
        <v>29446970</v>
      </c>
      <c r="F330" s="543">
        <f t="shared" si="35"/>
        <v>13.745294261250946</v>
      </c>
    </row>
    <row r="331" spans="1:22" s="420" customFormat="1" ht="15.75" customHeight="1" x14ac:dyDescent="0.2">
      <c r="A331" s="427">
        <v>3</v>
      </c>
      <c r="B331" s="447" t="s">
        <v>768</v>
      </c>
      <c r="C331" s="516">
        <v>2282916000</v>
      </c>
      <c r="D331" s="516">
        <v>2338353000</v>
      </c>
      <c r="E331" s="518">
        <f t="shared" si="34"/>
        <v>55437000</v>
      </c>
      <c r="F331" s="542">
        <f t="shared" si="35"/>
        <v>2.4283416472616601E-2</v>
      </c>
    </row>
    <row r="332" spans="1:22" s="420" customFormat="1" ht="27" customHeight="1" x14ac:dyDescent="0.2">
      <c r="A332" s="451">
        <v>4</v>
      </c>
      <c r="B332" s="447" t="s">
        <v>769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770</v>
      </c>
      <c r="C333" s="516">
        <v>8243052871</v>
      </c>
      <c r="D333" s="516">
        <v>8384978567</v>
      </c>
      <c r="E333" s="518">
        <f t="shared" si="34"/>
        <v>141925696</v>
      </c>
      <c r="F333" s="542">
        <f t="shared" si="35"/>
        <v>1.7217613209701808E-2</v>
      </c>
    </row>
    <row r="334" spans="1:22" s="420" customFormat="1" ht="15.75" customHeight="1" x14ac:dyDescent="0.2">
      <c r="A334" s="427">
        <v>6</v>
      </c>
      <c r="B334" s="447" t="s">
        <v>771</v>
      </c>
      <c r="C334" s="516">
        <v>641000</v>
      </c>
      <c r="D334" s="516">
        <v>612000</v>
      </c>
      <c r="E334" s="516">
        <f t="shared" si="34"/>
        <v>-29000</v>
      </c>
      <c r="F334" s="543">
        <f t="shared" si="35"/>
        <v>-4.5241809672386897E-2</v>
      </c>
    </row>
    <row r="335" spans="1:22" s="420" customFormat="1" ht="15.75" customHeight="1" x14ac:dyDescent="0.2">
      <c r="A335" s="451">
        <v>7</v>
      </c>
      <c r="B335" s="447" t="s">
        <v>772</v>
      </c>
      <c r="C335" s="516">
        <v>151816000</v>
      </c>
      <c r="D335" s="516">
        <v>201753000</v>
      </c>
      <c r="E335" s="516">
        <f t="shared" si="34"/>
        <v>49937000</v>
      </c>
      <c r="F335" s="542">
        <f t="shared" si="35"/>
        <v>0.32893107445855507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FILING&amp;RYALE-NEW HAVEN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633</v>
      </c>
      <c r="B3" s="820"/>
      <c r="C3" s="820"/>
      <c r="D3" s="820"/>
      <c r="E3" s="820"/>
    </row>
    <row r="4" spans="1:5" s="428" customFormat="1" ht="15.75" customHeight="1" x14ac:dyDescent="0.25">
      <c r="A4" s="820" t="s">
        <v>773</v>
      </c>
      <c r="B4" s="820"/>
      <c r="C4" s="820"/>
      <c r="D4" s="820"/>
      <c r="E4" s="820"/>
    </row>
    <row r="5" spans="1:5" s="428" customFormat="1" ht="15.75" customHeight="1" x14ac:dyDescent="0.25">
      <c r="A5" s="820" t="s">
        <v>774</v>
      </c>
      <c r="B5" s="820"/>
      <c r="C5" s="820"/>
      <c r="D5" s="820"/>
      <c r="E5" s="820"/>
    </row>
    <row r="6" spans="1:5" s="428" customFormat="1" ht="15.75" customHeight="1" x14ac:dyDescent="0.25">
      <c r="A6" s="820" t="s">
        <v>775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776</v>
      </c>
      <c r="D9" s="573" t="s">
        <v>777</v>
      </c>
      <c r="E9" s="573" t="s">
        <v>778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779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780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660</v>
      </c>
      <c r="C14" s="589">
        <v>1530896286</v>
      </c>
      <c r="D14" s="589">
        <v>1461981994</v>
      </c>
      <c r="E14" s="590">
        <f t="shared" ref="E14:E22" si="0">D14-C14</f>
        <v>-68914292</v>
      </c>
    </row>
    <row r="15" spans="1:5" s="421" customFormat="1" x14ac:dyDescent="0.2">
      <c r="A15" s="588">
        <v>2</v>
      </c>
      <c r="B15" s="587" t="s">
        <v>639</v>
      </c>
      <c r="C15" s="589">
        <v>1929011508</v>
      </c>
      <c r="D15" s="591">
        <v>1970435186</v>
      </c>
      <c r="E15" s="590">
        <f t="shared" si="0"/>
        <v>41423678</v>
      </c>
    </row>
    <row r="16" spans="1:5" s="421" customFormat="1" x14ac:dyDescent="0.2">
      <c r="A16" s="588">
        <v>3</v>
      </c>
      <c r="B16" s="587" t="s">
        <v>781</v>
      </c>
      <c r="C16" s="589">
        <v>1155720092</v>
      </c>
      <c r="D16" s="591">
        <v>1096846915</v>
      </c>
      <c r="E16" s="590">
        <f t="shared" si="0"/>
        <v>-58873177</v>
      </c>
    </row>
    <row r="17" spans="1:5" s="421" customFormat="1" x14ac:dyDescent="0.2">
      <c r="A17" s="588">
        <v>4</v>
      </c>
      <c r="B17" s="587" t="s">
        <v>115</v>
      </c>
      <c r="C17" s="589">
        <v>1155720092</v>
      </c>
      <c r="D17" s="591">
        <v>1096846915</v>
      </c>
      <c r="E17" s="590">
        <f t="shared" si="0"/>
        <v>-58873177</v>
      </c>
    </row>
    <row r="18" spans="1:5" s="421" customFormat="1" x14ac:dyDescent="0.2">
      <c r="A18" s="588">
        <v>5</v>
      </c>
      <c r="B18" s="587" t="s">
        <v>747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25246609</v>
      </c>
      <c r="D19" s="591">
        <v>25295301</v>
      </c>
      <c r="E19" s="590">
        <f t="shared" si="0"/>
        <v>48692</v>
      </c>
    </row>
    <row r="20" spans="1:5" s="421" customFormat="1" x14ac:dyDescent="0.2">
      <c r="A20" s="588">
        <v>7</v>
      </c>
      <c r="B20" s="587" t="s">
        <v>762</v>
      </c>
      <c r="C20" s="589">
        <v>47404499</v>
      </c>
      <c r="D20" s="591">
        <v>65761465</v>
      </c>
      <c r="E20" s="590">
        <f t="shared" si="0"/>
        <v>18356966</v>
      </c>
    </row>
    <row r="21" spans="1:5" s="421" customFormat="1" x14ac:dyDescent="0.2">
      <c r="A21" s="588"/>
      <c r="B21" s="592" t="s">
        <v>782</v>
      </c>
      <c r="C21" s="593">
        <f>SUM(C15+C16+C19)</f>
        <v>3109978209</v>
      </c>
      <c r="D21" s="593">
        <f>SUM(D15+D16+D19)</f>
        <v>3092577402</v>
      </c>
      <c r="E21" s="593">
        <f t="shared" si="0"/>
        <v>-17400807</v>
      </c>
    </row>
    <row r="22" spans="1:5" s="421" customFormat="1" x14ac:dyDescent="0.2">
      <c r="A22" s="588"/>
      <c r="B22" s="592" t="s">
        <v>465</v>
      </c>
      <c r="C22" s="593">
        <f>SUM(C14+C21)</f>
        <v>4640874495</v>
      </c>
      <c r="D22" s="593">
        <f>SUM(D14+D21)</f>
        <v>4554559396</v>
      </c>
      <c r="E22" s="593">
        <f t="shared" si="0"/>
        <v>-86315099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783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660</v>
      </c>
      <c r="C25" s="589">
        <v>1662915246</v>
      </c>
      <c r="D25" s="589">
        <v>1675000547</v>
      </c>
      <c r="E25" s="590">
        <f t="shared" ref="E25:E33" si="1">D25-C25</f>
        <v>12085301</v>
      </c>
    </row>
    <row r="26" spans="1:5" s="421" customFormat="1" x14ac:dyDescent="0.2">
      <c r="A26" s="588">
        <v>2</v>
      </c>
      <c r="B26" s="587" t="s">
        <v>639</v>
      </c>
      <c r="C26" s="589">
        <v>1270169412</v>
      </c>
      <c r="D26" s="591">
        <v>1435862697</v>
      </c>
      <c r="E26" s="590">
        <f t="shared" si="1"/>
        <v>165693285</v>
      </c>
    </row>
    <row r="27" spans="1:5" s="421" customFormat="1" x14ac:dyDescent="0.2">
      <c r="A27" s="588">
        <v>3</v>
      </c>
      <c r="B27" s="587" t="s">
        <v>781</v>
      </c>
      <c r="C27" s="589">
        <v>653663080</v>
      </c>
      <c r="D27" s="591">
        <v>697483038</v>
      </c>
      <c r="E27" s="590">
        <f t="shared" si="1"/>
        <v>43819958</v>
      </c>
    </row>
    <row r="28" spans="1:5" s="421" customFormat="1" x14ac:dyDescent="0.2">
      <c r="A28" s="588">
        <v>4</v>
      </c>
      <c r="B28" s="587" t="s">
        <v>115</v>
      </c>
      <c r="C28" s="589">
        <v>653663080</v>
      </c>
      <c r="D28" s="591">
        <v>697483038</v>
      </c>
      <c r="E28" s="590">
        <f t="shared" si="1"/>
        <v>43819958</v>
      </c>
    </row>
    <row r="29" spans="1:5" s="421" customFormat="1" x14ac:dyDescent="0.2">
      <c r="A29" s="588">
        <v>5</v>
      </c>
      <c r="B29" s="587" t="s">
        <v>747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15430638</v>
      </c>
      <c r="D30" s="591">
        <v>22072889</v>
      </c>
      <c r="E30" s="590">
        <f t="shared" si="1"/>
        <v>6642251</v>
      </c>
    </row>
    <row r="31" spans="1:5" s="421" customFormat="1" x14ac:dyDescent="0.2">
      <c r="A31" s="588">
        <v>7</v>
      </c>
      <c r="B31" s="587" t="s">
        <v>762</v>
      </c>
      <c r="C31" s="590">
        <v>113777717</v>
      </c>
      <c r="D31" s="594">
        <v>94861804</v>
      </c>
      <c r="E31" s="590">
        <f t="shared" si="1"/>
        <v>-18915913</v>
      </c>
    </row>
    <row r="32" spans="1:5" s="421" customFormat="1" x14ac:dyDescent="0.2">
      <c r="A32" s="588"/>
      <c r="B32" s="592" t="s">
        <v>784</v>
      </c>
      <c r="C32" s="593">
        <f>SUM(C26+C27+C30)</f>
        <v>1939263130</v>
      </c>
      <c r="D32" s="593">
        <f>SUM(D26+D27+D30)</f>
        <v>2155418624</v>
      </c>
      <c r="E32" s="593">
        <f t="shared" si="1"/>
        <v>216155494</v>
      </c>
    </row>
    <row r="33" spans="1:5" s="421" customFormat="1" x14ac:dyDescent="0.2">
      <c r="A33" s="588"/>
      <c r="B33" s="592" t="s">
        <v>467</v>
      </c>
      <c r="C33" s="593">
        <f>SUM(C25+C32)</f>
        <v>3602178376</v>
      </c>
      <c r="D33" s="593">
        <f>SUM(D25+D32)</f>
        <v>3830419171</v>
      </c>
      <c r="E33" s="593">
        <f t="shared" si="1"/>
        <v>228240795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657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785</v>
      </c>
      <c r="C36" s="590">
        <f t="shared" ref="C36:D42" si="2">C14+C25</f>
        <v>3193811532</v>
      </c>
      <c r="D36" s="590">
        <f t="shared" si="2"/>
        <v>3136982541</v>
      </c>
      <c r="E36" s="590">
        <f t="shared" ref="E36:E44" si="3">D36-C36</f>
        <v>-56828991</v>
      </c>
    </row>
    <row r="37" spans="1:5" s="421" customFormat="1" x14ac:dyDescent="0.2">
      <c r="A37" s="588">
        <v>2</v>
      </c>
      <c r="B37" s="587" t="s">
        <v>786</v>
      </c>
      <c r="C37" s="590">
        <f t="shared" si="2"/>
        <v>3199180920</v>
      </c>
      <c r="D37" s="590">
        <f t="shared" si="2"/>
        <v>3406297883</v>
      </c>
      <c r="E37" s="590">
        <f t="shared" si="3"/>
        <v>207116963</v>
      </c>
    </row>
    <row r="38" spans="1:5" s="421" customFormat="1" x14ac:dyDescent="0.2">
      <c r="A38" s="588">
        <v>3</v>
      </c>
      <c r="B38" s="587" t="s">
        <v>787</v>
      </c>
      <c r="C38" s="590">
        <f t="shared" si="2"/>
        <v>1809383172</v>
      </c>
      <c r="D38" s="590">
        <f t="shared" si="2"/>
        <v>1794329953</v>
      </c>
      <c r="E38" s="590">
        <f t="shared" si="3"/>
        <v>-15053219</v>
      </c>
    </row>
    <row r="39" spans="1:5" s="421" customFormat="1" x14ac:dyDescent="0.2">
      <c r="A39" s="588">
        <v>4</v>
      </c>
      <c r="B39" s="587" t="s">
        <v>788</v>
      </c>
      <c r="C39" s="590">
        <f t="shared" si="2"/>
        <v>1809383172</v>
      </c>
      <c r="D39" s="590">
        <f t="shared" si="2"/>
        <v>1794329953</v>
      </c>
      <c r="E39" s="590">
        <f t="shared" si="3"/>
        <v>-15053219</v>
      </c>
    </row>
    <row r="40" spans="1:5" s="421" customFormat="1" x14ac:dyDescent="0.2">
      <c r="A40" s="588">
        <v>5</v>
      </c>
      <c r="B40" s="587" t="s">
        <v>789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790</v>
      </c>
      <c r="C41" s="590">
        <f t="shared" si="2"/>
        <v>40677247</v>
      </c>
      <c r="D41" s="590">
        <f t="shared" si="2"/>
        <v>47368190</v>
      </c>
      <c r="E41" s="590">
        <f t="shared" si="3"/>
        <v>6690943</v>
      </c>
    </row>
    <row r="42" spans="1:5" s="421" customFormat="1" x14ac:dyDescent="0.2">
      <c r="A42" s="588">
        <v>7</v>
      </c>
      <c r="B42" s="587" t="s">
        <v>791</v>
      </c>
      <c r="C42" s="590">
        <f t="shared" si="2"/>
        <v>161182216</v>
      </c>
      <c r="D42" s="590">
        <f t="shared" si="2"/>
        <v>160623269</v>
      </c>
      <c r="E42" s="590">
        <f t="shared" si="3"/>
        <v>-558947</v>
      </c>
    </row>
    <row r="43" spans="1:5" s="421" customFormat="1" x14ac:dyDescent="0.2">
      <c r="A43" s="588"/>
      <c r="B43" s="592" t="s">
        <v>792</v>
      </c>
      <c r="C43" s="593">
        <f>SUM(C37+C38+C41)</f>
        <v>5049241339</v>
      </c>
      <c r="D43" s="593">
        <f>SUM(D37+D38+D41)</f>
        <v>5247996026</v>
      </c>
      <c r="E43" s="593">
        <f t="shared" si="3"/>
        <v>198754687</v>
      </c>
    </row>
    <row r="44" spans="1:5" s="421" customFormat="1" x14ac:dyDescent="0.2">
      <c r="A44" s="588"/>
      <c r="B44" s="592" t="s">
        <v>729</v>
      </c>
      <c r="C44" s="593">
        <f>SUM(C36+C43)</f>
        <v>8243052871</v>
      </c>
      <c r="D44" s="593">
        <f>SUM(D36+D43)</f>
        <v>8384978567</v>
      </c>
      <c r="E44" s="593">
        <f t="shared" si="3"/>
        <v>141925696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793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660</v>
      </c>
      <c r="C47" s="589">
        <v>560461644</v>
      </c>
      <c r="D47" s="589">
        <v>625866634</v>
      </c>
      <c r="E47" s="590">
        <f t="shared" ref="E47:E55" si="4">D47-C47</f>
        <v>65404990</v>
      </c>
    </row>
    <row r="48" spans="1:5" s="421" customFormat="1" x14ac:dyDescent="0.2">
      <c r="A48" s="588">
        <v>2</v>
      </c>
      <c r="B48" s="587" t="s">
        <v>639</v>
      </c>
      <c r="C48" s="589">
        <v>538717515</v>
      </c>
      <c r="D48" s="591">
        <v>563117456</v>
      </c>
      <c r="E48" s="590">
        <f t="shared" si="4"/>
        <v>24399941</v>
      </c>
    </row>
    <row r="49" spans="1:5" s="421" customFormat="1" x14ac:dyDescent="0.2">
      <c r="A49" s="588">
        <v>3</v>
      </c>
      <c r="B49" s="587" t="s">
        <v>781</v>
      </c>
      <c r="C49" s="589">
        <v>187684822</v>
      </c>
      <c r="D49" s="591">
        <v>115925541</v>
      </c>
      <c r="E49" s="590">
        <f t="shared" si="4"/>
        <v>-71759281</v>
      </c>
    </row>
    <row r="50" spans="1:5" s="421" customFormat="1" x14ac:dyDescent="0.2">
      <c r="A50" s="588">
        <v>4</v>
      </c>
      <c r="B50" s="587" t="s">
        <v>115</v>
      </c>
      <c r="C50" s="589">
        <v>187684822</v>
      </c>
      <c r="D50" s="591">
        <v>115925541</v>
      </c>
      <c r="E50" s="590">
        <f t="shared" si="4"/>
        <v>-71759281</v>
      </c>
    </row>
    <row r="51" spans="1:5" s="421" customFormat="1" x14ac:dyDescent="0.2">
      <c r="A51" s="588">
        <v>5</v>
      </c>
      <c r="B51" s="587" t="s">
        <v>747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4797029</v>
      </c>
      <c r="D52" s="591">
        <v>2112365</v>
      </c>
      <c r="E52" s="590">
        <f t="shared" si="4"/>
        <v>-2684664</v>
      </c>
    </row>
    <row r="53" spans="1:5" s="421" customFormat="1" x14ac:dyDescent="0.2">
      <c r="A53" s="588">
        <v>7</v>
      </c>
      <c r="B53" s="587" t="s">
        <v>762</v>
      </c>
      <c r="C53" s="589">
        <v>6033320</v>
      </c>
      <c r="D53" s="591">
        <v>12191274</v>
      </c>
      <c r="E53" s="590">
        <f t="shared" si="4"/>
        <v>6157954</v>
      </c>
    </row>
    <row r="54" spans="1:5" s="421" customFormat="1" x14ac:dyDescent="0.2">
      <c r="A54" s="588"/>
      <c r="B54" s="592" t="s">
        <v>794</v>
      </c>
      <c r="C54" s="593">
        <f>SUM(C48+C49+C52)</f>
        <v>731199366</v>
      </c>
      <c r="D54" s="593">
        <f>SUM(D48+D49+D52)</f>
        <v>681155362</v>
      </c>
      <c r="E54" s="593">
        <f t="shared" si="4"/>
        <v>-50044004</v>
      </c>
    </row>
    <row r="55" spans="1:5" s="421" customFormat="1" x14ac:dyDescent="0.2">
      <c r="A55" s="588"/>
      <c r="B55" s="592" t="s">
        <v>466</v>
      </c>
      <c r="C55" s="593">
        <f>SUM(C47+C54)</f>
        <v>1291661010</v>
      </c>
      <c r="D55" s="593">
        <f>SUM(D47+D54)</f>
        <v>1307021996</v>
      </c>
      <c r="E55" s="593">
        <f t="shared" si="4"/>
        <v>15360986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795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660</v>
      </c>
      <c r="C58" s="589">
        <v>660511946</v>
      </c>
      <c r="D58" s="589">
        <v>686016067</v>
      </c>
      <c r="E58" s="590">
        <f t="shared" ref="E58:E66" si="5">D58-C58</f>
        <v>25504121</v>
      </c>
    </row>
    <row r="59" spans="1:5" s="421" customFormat="1" x14ac:dyDescent="0.2">
      <c r="A59" s="588">
        <v>2</v>
      </c>
      <c r="B59" s="587" t="s">
        <v>639</v>
      </c>
      <c r="C59" s="589">
        <v>177236120</v>
      </c>
      <c r="D59" s="591">
        <v>214103595</v>
      </c>
      <c r="E59" s="590">
        <f t="shared" si="5"/>
        <v>36867475</v>
      </c>
    </row>
    <row r="60" spans="1:5" s="421" customFormat="1" x14ac:dyDescent="0.2">
      <c r="A60" s="588">
        <v>3</v>
      </c>
      <c r="B60" s="587" t="s">
        <v>781</v>
      </c>
      <c r="C60" s="589">
        <f>C61+C62</f>
        <v>149393789</v>
      </c>
      <c r="D60" s="591">
        <f>D61+D62</f>
        <v>97347700</v>
      </c>
      <c r="E60" s="590">
        <f t="shared" si="5"/>
        <v>-52046089</v>
      </c>
    </row>
    <row r="61" spans="1:5" s="421" customFormat="1" x14ac:dyDescent="0.2">
      <c r="A61" s="588">
        <v>4</v>
      </c>
      <c r="B61" s="587" t="s">
        <v>115</v>
      </c>
      <c r="C61" s="589">
        <v>149393789</v>
      </c>
      <c r="D61" s="591">
        <v>97347700</v>
      </c>
      <c r="E61" s="590">
        <f t="shared" si="5"/>
        <v>-52046089</v>
      </c>
    </row>
    <row r="62" spans="1:5" s="421" customFormat="1" x14ac:dyDescent="0.2">
      <c r="A62" s="588">
        <v>5</v>
      </c>
      <c r="B62" s="587" t="s">
        <v>747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1970886</v>
      </c>
      <c r="D63" s="591">
        <v>2274341</v>
      </c>
      <c r="E63" s="590">
        <f t="shared" si="5"/>
        <v>303455</v>
      </c>
    </row>
    <row r="64" spans="1:5" s="421" customFormat="1" x14ac:dyDescent="0.2">
      <c r="A64" s="588">
        <v>7</v>
      </c>
      <c r="B64" s="587" t="s">
        <v>762</v>
      </c>
      <c r="C64" s="589">
        <v>6485741</v>
      </c>
      <c r="D64" s="591">
        <v>10489921</v>
      </c>
      <c r="E64" s="590">
        <f t="shared" si="5"/>
        <v>4004180</v>
      </c>
    </row>
    <row r="65" spans="1:5" s="421" customFormat="1" x14ac:dyDescent="0.2">
      <c r="A65" s="588"/>
      <c r="B65" s="592" t="s">
        <v>796</v>
      </c>
      <c r="C65" s="593">
        <f>SUM(C59+C60+C63)</f>
        <v>328600795</v>
      </c>
      <c r="D65" s="593">
        <f>SUM(D59+D60+D63)</f>
        <v>313725636</v>
      </c>
      <c r="E65" s="593">
        <f t="shared" si="5"/>
        <v>-14875159</v>
      </c>
    </row>
    <row r="66" spans="1:5" s="421" customFormat="1" x14ac:dyDescent="0.2">
      <c r="A66" s="588"/>
      <c r="B66" s="592" t="s">
        <v>468</v>
      </c>
      <c r="C66" s="593">
        <f>SUM(C58+C65)</f>
        <v>989112741</v>
      </c>
      <c r="D66" s="593">
        <f>SUM(D58+D65)</f>
        <v>999741703</v>
      </c>
      <c r="E66" s="593">
        <f t="shared" si="5"/>
        <v>10628962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658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785</v>
      </c>
      <c r="C69" s="590">
        <f t="shared" ref="C69:D75" si="6">C47+C58</f>
        <v>1220973590</v>
      </c>
      <c r="D69" s="590">
        <f t="shared" si="6"/>
        <v>1311882701</v>
      </c>
      <c r="E69" s="590">
        <f t="shared" ref="E69:E77" si="7">D69-C69</f>
        <v>90909111</v>
      </c>
    </row>
    <row r="70" spans="1:5" s="421" customFormat="1" x14ac:dyDescent="0.2">
      <c r="A70" s="588">
        <v>2</v>
      </c>
      <c r="B70" s="587" t="s">
        <v>786</v>
      </c>
      <c r="C70" s="590">
        <f t="shared" si="6"/>
        <v>715953635</v>
      </c>
      <c r="D70" s="590">
        <f t="shared" si="6"/>
        <v>777221051</v>
      </c>
      <c r="E70" s="590">
        <f t="shared" si="7"/>
        <v>61267416</v>
      </c>
    </row>
    <row r="71" spans="1:5" s="421" customFormat="1" x14ac:dyDescent="0.2">
      <c r="A71" s="588">
        <v>3</v>
      </c>
      <c r="B71" s="587" t="s">
        <v>787</v>
      </c>
      <c r="C71" s="590">
        <f t="shared" si="6"/>
        <v>337078611</v>
      </c>
      <c r="D71" s="590">
        <f t="shared" si="6"/>
        <v>213273241</v>
      </c>
      <c r="E71" s="590">
        <f t="shared" si="7"/>
        <v>-123805370</v>
      </c>
    </row>
    <row r="72" spans="1:5" s="421" customFormat="1" x14ac:dyDescent="0.2">
      <c r="A72" s="588">
        <v>4</v>
      </c>
      <c r="B72" s="587" t="s">
        <v>788</v>
      </c>
      <c r="C72" s="590">
        <f t="shared" si="6"/>
        <v>337078611</v>
      </c>
      <c r="D72" s="590">
        <f t="shared" si="6"/>
        <v>213273241</v>
      </c>
      <c r="E72" s="590">
        <f t="shared" si="7"/>
        <v>-123805370</v>
      </c>
    </row>
    <row r="73" spans="1:5" s="421" customFormat="1" x14ac:dyDescent="0.2">
      <c r="A73" s="588">
        <v>5</v>
      </c>
      <c r="B73" s="587" t="s">
        <v>789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790</v>
      </c>
      <c r="C74" s="590">
        <f t="shared" si="6"/>
        <v>6767915</v>
      </c>
      <c r="D74" s="590">
        <f t="shared" si="6"/>
        <v>4386706</v>
      </c>
      <c r="E74" s="590">
        <f t="shared" si="7"/>
        <v>-2381209</v>
      </c>
    </row>
    <row r="75" spans="1:5" s="421" customFormat="1" x14ac:dyDescent="0.2">
      <c r="A75" s="588">
        <v>7</v>
      </c>
      <c r="B75" s="587" t="s">
        <v>791</v>
      </c>
      <c r="C75" s="590">
        <f t="shared" si="6"/>
        <v>12519061</v>
      </c>
      <c r="D75" s="590">
        <f t="shared" si="6"/>
        <v>22681195</v>
      </c>
      <c r="E75" s="590">
        <f t="shared" si="7"/>
        <v>10162134</v>
      </c>
    </row>
    <row r="76" spans="1:5" s="421" customFormat="1" x14ac:dyDescent="0.2">
      <c r="A76" s="588"/>
      <c r="B76" s="592" t="s">
        <v>797</v>
      </c>
      <c r="C76" s="593">
        <f>SUM(C70+C71+C74)</f>
        <v>1059800161</v>
      </c>
      <c r="D76" s="593">
        <f>SUM(D70+D71+D74)</f>
        <v>994880998</v>
      </c>
      <c r="E76" s="593">
        <f t="shared" si="7"/>
        <v>-64919163</v>
      </c>
    </row>
    <row r="77" spans="1:5" s="421" customFormat="1" x14ac:dyDescent="0.2">
      <c r="A77" s="588"/>
      <c r="B77" s="592" t="s">
        <v>730</v>
      </c>
      <c r="C77" s="593">
        <f>SUM(C69+C76)</f>
        <v>2280773751</v>
      </c>
      <c r="D77" s="593">
        <f>SUM(D69+D76)</f>
        <v>2306763699</v>
      </c>
      <c r="E77" s="593">
        <f t="shared" si="7"/>
        <v>25989948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798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799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660</v>
      </c>
      <c r="C83" s="599">
        <f t="shared" ref="C83:D89" si="8">IF(C$44=0,0,C14/C$44)</f>
        <v>0.18571957622471011</v>
      </c>
      <c r="D83" s="599">
        <f t="shared" si="8"/>
        <v>0.17435727262962722</v>
      </c>
      <c r="E83" s="599">
        <f t="shared" ref="E83:E91" si="9">D83-C83</f>
        <v>-1.136230359508289E-2</v>
      </c>
    </row>
    <row r="84" spans="1:5" s="421" customFormat="1" x14ac:dyDescent="0.2">
      <c r="A84" s="588">
        <v>2</v>
      </c>
      <c r="B84" s="587" t="s">
        <v>639</v>
      </c>
      <c r="C84" s="599">
        <f t="shared" si="8"/>
        <v>0.23401663657726648</v>
      </c>
      <c r="D84" s="599">
        <f t="shared" si="8"/>
        <v>0.23499585243483664</v>
      </c>
      <c r="E84" s="599">
        <f t="shared" si="9"/>
        <v>9.7921585757015928E-4</v>
      </c>
    </row>
    <row r="85" spans="1:5" s="421" customFormat="1" x14ac:dyDescent="0.2">
      <c r="A85" s="588">
        <v>3</v>
      </c>
      <c r="B85" s="587" t="s">
        <v>781</v>
      </c>
      <c r="C85" s="599">
        <f t="shared" si="8"/>
        <v>0.14020534747095401</v>
      </c>
      <c r="D85" s="599">
        <f t="shared" si="8"/>
        <v>0.13081093842228303</v>
      </c>
      <c r="E85" s="599">
        <f t="shared" si="9"/>
        <v>-9.3944090486709764E-3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0.14020534747095401</v>
      </c>
      <c r="D86" s="599">
        <f t="shared" si="8"/>
        <v>0.13081093842228303</v>
      </c>
      <c r="E86" s="599">
        <f t="shared" si="9"/>
        <v>-9.3944090486709764E-3</v>
      </c>
    </row>
    <row r="87" spans="1:5" s="421" customFormat="1" x14ac:dyDescent="0.2">
      <c r="A87" s="588">
        <v>5</v>
      </c>
      <c r="B87" s="587" t="s">
        <v>747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3.0627741196250784E-3</v>
      </c>
      <c r="D88" s="599">
        <f t="shared" si="8"/>
        <v>3.0167400903745208E-3</v>
      </c>
      <c r="E88" s="599">
        <f t="shared" si="9"/>
        <v>-4.6034029250557624E-5</v>
      </c>
    </row>
    <row r="89" spans="1:5" s="421" customFormat="1" x14ac:dyDescent="0.2">
      <c r="A89" s="588">
        <v>7</v>
      </c>
      <c r="B89" s="587" t="s">
        <v>762</v>
      </c>
      <c r="C89" s="599">
        <f t="shared" si="8"/>
        <v>5.7508425266534968E-3</v>
      </c>
      <c r="D89" s="599">
        <f t="shared" si="8"/>
        <v>7.8427707923800112E-3</v>
      </c>
      <c r="E89" s="599">
        <f t="shared" si="9"/>
        <v>2.0919282657265144E-3</v>
      </c>
    </row>
    <row r="90" spans="1:5" s="421" customFormat="1" x14ac:dyDescent="0.2">
      <c r="A90" s="588"/>
      <c r="B90" s="592" t="s">
        <v>800</v>
      </c>
      <c r="C90" s="600">
        <f>SUM(C84+C85+C88)</f>
        <v>0.37728475816784557</v>
      </c>
      <c r="D90" s="600">
        <f>SUM(D84+D85+D88)</f>
        <v>0.36882353094749415</v>
      </c>
      <c r="E90" s="601">
        <f t="shared" si="9"/>
        <v>-8.4612272203514194E-3</v>
      </c>
    </row>
    <row r="91" spans="1:5" s="421" customFormat="1" x14ac:dyDescent="0.2">
      <c r="A91" s="588"/>
      <c r="B91" s="592" t="s">
        <v>801</v>
      </c>
      <c r="C91" s="600">
        <f>SUM(C83+C90)</f>
        <v>0.56300433439255571</v>
      </c>
      <c r="D91" s="600">
        <f>SUM(D83+D90)</f>
        <v>0.5431808035771214</v>
      </c>
      <c r="E91" s="601">
        <f t="shared" si="9"/>
        <v>-1.9823530815434309E-2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802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660</v>
      </c>
      <c r="C95" s="599">
        <f t="shared" ref="C95:D101" si="10">IF(C$44=0,0,C25/C$44)</f>
        <v>0.20173536091832256</v>
      </c>
      <c r="D95" s="599">
        <f t="shared" si="10"/>
        <v>0.19976205468099201</v>
      </c>
      <c r="E95" s="599">
        <f t="shared" ref="E95:E103" si="11">D95-C95</f>
        <v>-1.9733062373305521E-3</v>
      </c>
    </row>
    <row r="96" spans="1:5" s="421" customFormat="1" x14ac:dyDescent="0.2">
      <c r="A96" s="588">
        <v>2</v>
      </c>
      <c r="B96" s="587" t="s">
        <v>639</v>
      </c>
      <c r="C96" s="599">
        <f t="shared" si="10"/>
        <v>0.15408968398936282</v>
      </c>
      <c r="D96" s="599">
        <f t="shared" si="10"/>
        <v>0.17124226204357809</v>
      </c>
      <c r="E96" s="599">
        <f t="shared" si="11"/>
        <v>1.7152578054215273E-2</v>
      </c>
    </row>
    <row r="97" spans="1:5" s="421" customFormat="1" x14ac:dyDescent="0.2">
      <c r="A97" s="588">
        <v>3</v>
      </c>
      <c r="B97" s="587" t="s">
        <v>781</v>
      </c>
      <c r="C97" s="599">
        <f t="shared" si="10"/>
        <v>7.92986640058638E-2</v>
      </c>
      <c r="D97" s="599">
        <f t="shared" si="10"/>
        <v>8.3182447328490589E-2</v>
      </c>
      <c r="E97" s="599">
        <f t="shared" si="11"/>
        <v>3.8837833226267882E-3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7.92986640058638E-2</v>
      </c>
      <c r="D98" s="599">
        <f t="shared" si="10"/>
        <v>8.3182447328490589E-2</v>
      </c>
      <c r="E98" s="599">
        <f t="shared" si="11"/>
        <v>3.8837833226267882E-3</v>
      </c>
    </row>
    <row r="99" spans="1:5" s="421" customFormat="1" x14ac:dyDescent="0.2">
      <c r="A99" s="588">
        <v>5</v>
      </c>
      <c r="B99" s="587" t="s">
        <v>747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1.8719566938951398E-3</v>
      </c>
      <c r="D100" s="599">
        <f t="shared" si="10"/>
        <v>2.6324323698178869E-3</v>
      </c>
      <c r="E100" s="599">
        <f t="shared" si="11"/>
        <v>7.6047567592274707E-4</v>
      </c>
    </row>
    <row r="101" spans="1:5" s="421" customFormat="1" x14ac:dyDescent="0.2">
      <c r="A101" s="588">
        <v>7</v>
      </c>
      <c r="B101" s="587" t="s">
        <v>762</v>
      </c>
      <c r="C101" s="599">
        <f t="shared" si="10"/>
        <v>1.3802861485977239E-2</v>
      </c>
      <c r="D101" s="599">
        <f t="shared" si="10"/>
        <v>1.1313303098154478E-2</v>
      </c>
      <c r="E101" s="599">
        <f t="shared" si="11"/>
        <v>-2.4895583878227611E-3</v>
      </c>
    </row>
    <row r="102" spans="1:5" s="421" customFormat="1" x14ac:dyDescent="0.2">
      <c r="A102" s="588"/>
      <c r="B102" s="592" t="s">
        <v>803</v>
      </c>
      <c r="C102" s="600">
        <f>SUM(C96+C97+C100)</f>
        <v>0.23526030468912176</v>
      </c>
      <c r="D102" s="600">
        <f>SUM(D96+D97+D100)</f>
        <v>0.25705714174188654</v>
      </c>
      <c r="E102" s="601">
        <f t="shared" si="11"/>
        <v>2.1796837052764778E-2</v>
      </c>
    </row>
    <row r="103" spans="1:5" s="421" customFormat="1" x14ac:dyDescent="0.2">
      <c r="A103" s="588"/>
      <c r="B103" s="592" t="s">
        <v>804</v>
      </c>
      <c r="C103" s="600">
        <f>SUM(C95+C102)</f>
        <v>0.43699566560744429</v>
      </c>
      <c r="D103" s="600">
        <f>SUM(D95+D102)</f>
        <v>0.45681919642287855</v>
      </c>
      <c r="E103" s="601">
        <f t="shared" si="11"/>
        <v>1.9823530815434254E-2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805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806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660</v>
      </c>
      <c r="C109" s="599">
        <f t="shared" ref="C109:D115" si="12">IF(C$77=0,0,C47/C$77)</f>
        <v>0.24573311743625026</v>
      </c>
      <c r="D109" s="599">
        <f t="shared" si="12"/>
        <v>0.27131805233076889</v>
      </c>
      <c r="E109" s="599">
        <f t="shared" ref="E109:E117" si="13">D109-C109</f>
        <v>2.5584934894518629E-2</v>
      </c>
    </row>
    <row r="110" spans="1:5" s="421" customFormat="1" x14ac:dyDescent="0.2">
      <c r="A110" s="588">
        <v>2</v>
      </c>
      <c r="B110" s="587" t="s">
        <v>639</v>
      </c>
      <c r="C110" s="599">
        <f t="shared" si="12"/>
        <v>0.236199454138667</v>
      </c>
      <c r="D110" s="599">
        <f t="shared" si="12"/>
        <v>0.24411579575494266</v>
      </c>
      <c r="E110" s="599">
        <f t="shared" si="13"/>
        <v>7.9163416162756628E-3</v>
      </c>
    </row>
    <row r="111" spans="1:5" s="421" customFormat="1" x14ac:dyDescent="0.2">
      <c r="A111" s="588">
        <v>3</v>
      </c>
      <c r="B111" s="587" t="s">
        <v>781</v>
      </c>
      <c r="C111" s="599">
        <f t="shared" si="12"/>
        <v>8.2289978090860624E-2</v>
      </c>
      <c r="D111" s="599">
        <f t="shared" si="12"/>
        <v>5.0254623414723677E-2</v>
      </c>
      <c r="E111" s="599">
        <f t="shared" si="13"/>
        <v>-3.2035354676136947E-2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8.2289978090860624E-2</v>
      </c>
      <c r="D112" s="599">
        <f t="shared" si="12"/>
        <v>5.0254623414723677E-2</v>
      </c>
      <c r="E112" s="599">
        <f t="shared" si="13"/>
        <v>-3.2035354676136947E-2</v>
      </c>
    </row>
    <row r="113" spans="1:5" s="421" customFormat="1" x14ac:dyDescent="0.2">
      <c r="A113" s="588">
        <v>5</v>
      </c>
      <c r="B113" s="587" t="s">
        <v>747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2.1032463206386662E-3</v>
      </c>
      <c r="D114" s="599">
        <f t="shared" si="12"/>
        <v>9.1572665241599152E-4</v>
      </c>
      <c r="E114" s="599">
        <f t="shared" si="13"/>
        <v>-1.1875196682226748E-3</v>
      </c>
    </row>
    <row r="115" spans="1:5" s="421" customFormat="1" x14ac:dyDescent="0.2">
      <c r="A115" s="588">
        <v>7</v>
      </c>
      <c r="B115" s="587" t="s">
        <v>762</v>
      </c>
      <c r="C115" s="599">
        <f t="shared" si="12"/>
        <v>2.645295263221398E-3</v>
      </c>
      <c r="D115" s="599">
        <f t="shared" si="12"/>
        <v>5.2850120735318546E-3</v>
      </c>
      <c r="E115" s="599">
        <f t="shared" si="13"/>
        <v>2.6397168103104566E-3</v>
      </c>
    </row>
    <row r="116" spans="1:5" s="421" customFormat="1" x14ac:dyDescent="0.2">
      <c r="A116" s="588"/>
      <c r="B116" s="592" t="s">
        <v>800</v>
      </c>
      <c r="C116" s="600">
        <f>SUM(C110+C111+C114)</f>
        <v>0.32059267855016632</v>
      </c>
      <c r="D116" s="600">
        <f>SUM(D110+D111+D114)</f>
        <v>0.29528614582208235</v>
      </c>
      <c r="E116" s="601">
        <f t="shared" si="13"/>
        <v>-2.5306532728083975E-2</v>
      </c>
    </row>
    <row r="117" spans="1:5" s="421" customFormat="1" x14ac:dyDescent="0.2">
      <c r="A117" s="588"/>
      <c r="B117" s="592" t="s">
        <v>801</v>
      </c>
      <c r="C117" s="600">
        <f>SUM(C109+C116)</f>
        <v>0.56632579598641652</v>
      </c>
      <c r="D117" s="600">
        <f>SUM(D109+D116)</f>
        <v>0.56660419815285124</v>
      </c>
      <c r="E117" s="601">
        <f t="shared" si="13"/>
        <v>2.7840216643471027E-4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807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660</v>
      </c>
      <c r="C121" s="599">
        <f t="shared" ref="C121:D127" si="14">IF(C$77=0,0,C58/C$77)</f>
        <v>0.28959994199792943</v>
      </c>
      <c r="D121" s="599">
        <f t="shared" si="14"/>
        <v>0.29739329923450475</v>
      </c>
      <c r="E121" s="599">
        <f t="shared" ref="E121:E129" si="15">D121-C121</f>
        <v>7.7933572365753156E-3</v>
      </c>
    </row>
    <row r="122" spans="1:5" s="421" customFormat="1" x14ac:dyDescent="0.2">
      <c r="A122" s="588">
        <v>2</v>
      </c>
      <c r="B122" s="587" t="s">
        <v>639</v>
      </c>
      <c r="C122" s="599">
        <f t="shared" si="14"/>
        <v>7.7708768755467852E-2</v>
      </c>
      <c r="D122" s="599">
        <f t="shared" si="14"/>
        <v>9.281557321749756E-2</v>
      </c>
      <c r="E122" s="599">
        <f t="shared" si="15"/>
        <v>1.5106804462029708E-2</v>
      </c>
    </row>
    <row r="123" spans="1:5" s="421" customFormat="1" x14ac:dyDescent="0.2">
      <c r="A123" s="588">
        <v>3</v>
      </c>
      <c r="B123" s="587" t="s">
        <v>781</v>
      </c>
      <c r="C123" s="599">
        <f t="shared" si="14"/>
        <v>6.5501362831143883E-2</v>
      </c>
      <c r="D123" s="599">
        <f t="shared" si="14"/>
        <v>4.2200984887269116E-2</v>
      </c>
      <c r="E123" s="599">
        <f t="shared" si="15"/>
        <v>-2.3300377943874767E-2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6.5501362831143883E-2</v>
      </c>
      <c r="D124" s="599">
        <f t="shared" si="14"/>
        <v>4.2200984887269116E-2</v>
      </c>
      <c r="E124" s="599">
        <f t="shared" si="15"/>
        <v>-2.3300377943874767E-2</v>
      </c>
    </row>
    <row r="125" spans="1:5" s="421" customFormat="1" x14ac:dyDescent="0.2">
      <c r="A125" s="588">
        <v>5</v>
      </c>
      <c r="B125" s="587" t="s">
        <v>747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8.6413042904227985E-4</v>
      </c>
      <c r="D126" s="599">
        <f t="shared" si="14"/>
        <v>9.8594450787739736E-4</v>
      </c>
      <c r="E126" s="599">
        <f t="shared" si="15"/>
        <v>1.2181407883511751E-4</v>
      </c>
    </row>
    <row r="127" spans="1:5" s="421" customFormat="1" x14ac:dyDescent="0.2">
      <c r="A127" s="588">
        <v>7</v>
      </c>
      <c r="B127" s="587" t="s">
        <v>762</v>
      </c>
      <c r="C127" s="599">
        <f t="shared" si="14"/>
        <v>2.8436582090425855E-3</v>
      </c>
      <c r="D127" s="599">
        <f t="shared" si="14"/>
        <v>4.5474623189828509E-3</v>
      </c>
      <c r="E127" s="599">
        <f t="shared" si="15"/>
        <v>1.7038041099402654E-3</v>
      </c>
    </row>
    <row r="128" spans="1:5" s="421" customFormat="1" x14ac:dyDescent="0.2">
      <c r="A128" s="588"/>
      <c r="B128" s="592" t="s">
        <v>803</v>
      </c>
      <c r="C128" s="600">
        <f>SUM(C122+C123+C126)</f>
        <v>0.14407426201565401</v>
      </c>
      <c r="D128" s="600">
        <f>SUM(D122+D123+D126)</f>
        <v>0.13600250261264407</v>
      </c>
      <c r="E128" s="601">
        <f t="shared" si="15"/>
        <v>-8.0717594030099427E-3</v>
      </c>
    </row>
    <row r="129" spans="1:5" s="421" customFormat="1" x14ac:dyDescent="0.2">
      <c r="A129" s="588"/>
      <c r="B129" s="592" t="s">
        <v>804</v>
      </c>
      <c r="C129" s="600">
        <f>SUM(C121+C128)</f>
        <v>0.43367420401358348</v>
      </c>
      <c r="D129" s="600">
        <f>SUM(D121+D128)</f>
        <v>0.43339580184714882</v>
      </c>
      <c r="E129" s="601">
        <f t="shared" si="15"/>
        <v>-2.7840216643465476E-4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808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809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810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660</v>
      </c>
      <c r="C137" s="606">
        <v>28416</v>
      </c>
      <c r="D137" s="606">
        <v>27468</v>
      </c>
      <c r="E137" s="607">
        <f t="shared" ref="E137:E145" si="16">D137-C137</f>
        <v>-948</v>
      </c>
    </row>
    <row r="138" spans="1:5" s="421" customFormat="1" x14ac:dyDescent="0.2">
      <c r="A138" s="588">
        <v>2</v>
      </c>
      <c r="B138" s="587" t="s">
        <v>639</v>
      </c>
      <c r="C138" s="606">
        <v>28633</v>
      </c>
      <c r="D138" s="606">
        <v>28246</v>
      </c>
      <c r="E138" s="607">
        <f t="shared" si="16"/>
        <v>-387</v>
      </c>
    </row>
    <row r="139" spans="1:5" s="421" customFormat="1" x14ac:dyDescent="0.2">
      <c r="A139" s="588">
        <v>3</v>
      </c>
      <c r="B139" s="587" t="s">
        <v>781</v>
      </c>
      <c r="C139" s="606">
        <f>C140+C141</f>
        <v>23006</v>
      </c>
      <c r="D139" s="606">
        <f>D140+D141</f>
        <v>22415</v>
      </c>
      <c r="E139" s="607">
        <f t="shared" si="16"/>
        <v>-591</v>
      </c>
    </row>
    <row r="140" spans="1:5" s="421" customFormat="1" x14ac:dyDescent="0.2">
      <c r="A140" s="588">
        <v>4</v>
      </c>
      <c r="B140" s="587" t="s">
        <v>115</v>
      </c>
      <c r="C140" s="606">
        <v>23006</v>
      </c>
      <c r="D140" s="606">
        <v>22415</v>
      </c>
      <c r="E140" s="607">
        <f t="shared" si="16"/>
        <v>-591</v>
      </c>
    </row>
    <row r="141" spans="1:5" s="421" customFormat="1" x14ac:dyDescent="0.2">
      <c r="A141" s="588">
        <v>5</v>
      </c>
      <c r="B141" s="587" t="s">
        <v>747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448</v>
      </c>
      <c r="D142" s="606">
        <v>400</v>
      </c>
      <c r="E142" s="607">
        <f t="shared" si="16"/>
        <v>-48</v>
      </c>
    </row>
    <row r="143" spans="1:5" s="421" customFormat="1" x14ac:dyDescent="0.2">
      <c r="A143" s="588">
        <v>7</v>
      </c>
      <c r="B143" s="587" t="s">
        <v>762</v>
      </c>
      <c r="C143" s="606">
        <v>885</v>
      </c>
      <c r="D143" s="606">
        <v>952</v>
      </c>
      <c r="E143" s="607">
        <f t="shared" si="16"/>
        <v>67</v>
      </c>
    </row>
    <row r="144" spans="1:5" s="421" customFormat="1" x14ac:dyDescent="0.2">
      <c r="A144" s="588"/>
      <c r="B144" s="592" t="s">
        <v>811</v>
      </c>
      <c r="C144" s="608">
        <f>SUM(C138+C139+C142)</f>
        <v>52087</v>
      </c>
      <c r="D144" s="608">
        <f>SUM(D138+D139+D142)</f>
        <v>51061</v>
      </c>
      <c r="E144" s="609">
        <f t="shared" si="16"/>
        <v>-1026</v>
      </c>
    </row>
    <row r="145" spans="1:5" s="421" customFormat="1" x14ac:dyDescent="0.2">
      <c r="A145" s="588"/>
      <c r="B145" s="592" t="s">
        <v>138</v>
      </c>
      <c r="C145" s="608">
        <f>SUM(C137+C144)</f>
        <v>80503</v>
      </c>
      <c r="D145" s="608">
        <f>SUM(D137+D144)</f>
        <v>78529</v>
      </c>
      <c r="E145" s="609">
        <f t="shared" si="16"/>
        <v>-1974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660</v>
      </c>
      <c r="C149" s="610">
        <v>135240</v>
      </c>
      <c r="D149" s="610">
        <v>122786</v>
      </c>
      <c r="E149" s="607">
        <f t="shared" ref="E149:E157" si="17">D149-C149</f>
        <v>-12454</v>
      </c>
    </row>
    <row r="150" spans="1:5" s="421" customFormat="1" x14ac:dyDescent="0.2">
      <c r="A150" s="588">
        <v>2</v>
      </c>
      <c r="B150" s="587" t="s">
        <v>639</v>
      </c>
      <c r="C150" s="610">
        <v>192150</v>
      </c>
      <c r="D150" s="610">
        <v>181722</v>
      </c>
      <c r="E150" s="607">
        <f t="shared" si="17"/>
        <v>-10428</v>
      </c>
    </row>
    <row r="151" spans="1:5" s="421" customFormat="1" x14ac:dyDescent="0.2">
      <c r="A151" s="588">
        <v>3</v>
      </c>
      <c r="B151" s="587" t="s">
        <v>781</v>
      </c>
      <c r="C151" s="610">
        <f>C152+C153</f>
        <v>132732</v>
      </c>
      <c r="D151" s="610">
        <f>D152+D153</f>
        <v>120382</v>
      </c>
      <c r="E151" s="607">
        <f t="shared" si="17"/>
        <v>-12350</v>
      </c>
    </row>
    <row r="152" spans="1:5" s="421" customFormat="1" x14ac:dyDescent="0.2">
      <c r="A152" s="588">
        <v>4</v>
      </c>
      <c r="B152" s="587" t="s">
        <v>115</v>
      </c>
      <c r="C152" s="610">
        <v>132732</v>
      </c>
      <c r="D152" s="610">
        <v>120382</v>
      </c>
      <c r="E152" s="607">
        <f t="shared" si="17"/>
        <v>-12350</v>
      </c>
    </row>
    <row r="153" spans="1:5" s="421" customFormat="1" x14ac:dyDescent="0.2">
      <c r="A153" s="588">
        <v>5</v>
      </c>
      <c r="B153" s="587" t="s">
        <v>747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2097</v>
      </c>
      <c r="D154" s="610">
        <v>1625</v>
      </c>
      <c r="E154" s="607">
        <f t="shared" si="17"/>
        <v>-472</v>
      </c>
    </row>
    <row r="155" spans="1:5" s="421" customFormat="1" x14ac:dyDescent="0.2">
      <c r="A155" s="588">
        <v>7</v>
      </c>
      <c r="B155" s="587" t="s">
        <v>762</v>
      </c>
      <c r="C155" s="610">
        <v>3950</v>
      </c>
      <c r="D155" s="610">
        <v>4336</v>
      </c>
      <c r="E155" s="607">
        <f t="shared" si="17"/>
        <v>386</v>
      </c>
    </row>
    <row r="156" spans="1:5" s="421" customFormat="1" x14ac:dyDescent="0.2">
      <c r="A156" s="588"/>
      <c r="B156" s="592" t="s">
        <v>812</v>
      </c>
      <c r="C156" s="608">
        <f>SUM(C150+C151+C154)</f>
        <v>326979</v>
      </c>
      <c r="D156" s="608">
        <f>SUM(D150+D151+D154)</f>
        <v>303729</v>
      </c>
      <c r="E156" s="609">
        <f t="shared" si="17"/>
        <v>-23250</v>
      </c>
    </row>
    <row r="157" spans="1:5" s="421" customFormat="1" x14ac:dyDescent="0.2">
      <c r="A157" s="588"/>
      <c r="B157" s="592" t="s">
        <v>140</v>
      </c>
      <c r="C157" s="608">
        <f>SUM(C149+C156)</f>
        <v>462219</v>
      </c>
      <c r="D157" s="608">
        <f>SUM(D149+D156)</f>
        <v>426515</v>
      </c>
      <c r="E157" s="609">
        <f t="shared" si="17"/>
        <v>-35704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813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660</v>
      </c>
      <c r="C161" s="612">
        <f t="shared" ref="C161:D169" si="18">IF(C137=0,0,C149/C137)</f>
        <v>4.7592905405405403</v>
      </c>
      <c r="D161" s="612">
        <f t="shared" si="18"/>
        <v>4.4701470802388235</v>
      </c>
      <c r="E161" s="613">
        <f t="shared" ref="E161:E169" si="19">D161-C161</f>
        <v>-0.28914346030171689</v>
      </c>
    </row>
    <row r="162" spans="1:5" s="421" customFormat="1" x14ac:dyDescent="0.2">
      <c r="A162" s="588">
        <v>2</v>
      </c>
      <c r="B162" s="587" t="s">
        <v>639</v>
      </c>
      <c r="C162" s="612">
        <f t="shared" si="18"/>
        <v>6.7107882513184087</v>
      </c>
      <c r="D162" s="612">
        <f t="shared" si="18"/>
        <v>6.4335481130071512</v>
      </c>
      <c r="E162" s="613">
        <f t="shared" si="19"/>
        <v>-0.27724013831125749</v>
      </c>
    </row>
    <row r="163" spans="1:5" s="421" customFormat="1" x14ac:dyDescent="0.2">
      <c r="A163" s="588">
        <v>3</v>
      </c>
      <c r="B163" s="587" t="s">
        <v>781</v>
      </c>
      <c r="C163" s="612">
        <f t="shared" si="18"/>
        <v>5.7694514474484917</v>
      </c>
      <c r="D163" s="612">
        <f t="shared" si="18"/>
        <v>5.3706000446129822</v>
      </c>
      <c r="E163" s="613">
        <f t="shared" si="19"/>
        <v>-0.39885140283550946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5.7694514474484917</v>
      </c>
      <c r="D164" s="612">
        <f t="shared" si="18"/>
        <v>5.3706000446129822</v>
      </c>
      <c r="E164" s="613">
        <f t="shared" si="19"/>
        <v>-0.39885140283550946</v>
      </c>
    </row>
    <row r="165" spans="1:5" s="421" customFormat="1" x14ac:dyDescent="0.2">
      <c r="A165" s="588">
        <v>5</v>
      </c>
      <c r="B165" s="587" t="s">
        <v>747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4.6808035714285712</v>
      </c>
      <c r="D166" s="612">
        <f t="shared" si="18"/>
        <v>4.0625</v>
      </c>
      <c r="E166" s="613">
        <f t="shared" si="19"/>
        <v>-0.61830357142857117</v>
      </c>
    </row>
    <row r="167" spans="1:5" s="421" customFormat="1" x14ac:dyDescent="0.2">
      <c r="A167" s="588">
        <v>7</v>
      </c>
      <c r="B167" s="587" t="s">
        <v>762</v>
      </c>
      <c r="C167" s="612">
        <f t="shared" si="18"/>
        <v>4.463276836158192</v>
      </c>
      <c r="D167" s="612">
        <f t="shared" si="18"/>
        <v>4.5546218487394956</v>
      </c>
      <c r="E167" s="613">
        <f t="shared" si="19"/>
        <v>9.1345012581303564E-2</v>
      </c>
    </row>
    <row r="168" spans="1:5" s="421" customFormat="1" x14ac:dyDescent="0.2">
      <c r="A168" s="588"/>
      <c r="B168" s="592" t="s">
        <v>814</v>
      </c>
      <c r="C168" s="614">
        <f t="shared" si="18"/>
        <v>6.2775548601378466</v>
      </c>
      <c r="D168" s="614">
        <f t="shared" si="18"/>
        <v>5.9483558880554632</v>
      </c>
      <c r="E168" s="615">
        <f t="shared" si="19"/>
        <v>-0.32919897208238336</v>
      </c>
    </row>
    <row r="169" spans="1:5" s="421" customFormat="1" x14ac:dyDescent="0.2">
      <c r="A169" s="588"/>
      <c r="B169" s="592" t="s">
        <v>748</v>
      </c>
      <c r="C169" s="614">
        <f t="shared" si="18"/>
        <v>5.7416369576289084</v>
      </c>
      <c r="D169" s="614">
        <f t="shared" si="18"/>
        <v>5.4313056323141771</v>
      </c>
      <c r="E169" s="615">
        <f t="shared" si="19"/>
        <v>-0.31033132531473129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815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660</v>
      </c>
      <c r="C173" s="617">
        <f t="shared" ref="C173:D181" si="20">IF(C137=0,0,C203/C137)</f>
        <v>1.3871500000000001</v>
      </c>
      <c r="D173" s="617">
        <f t="shared" si="20"/>
        <v>1.4374499999999999</v>
      </c>
      <c r="E173" s="618">
        <f t="shared" ref="E173:E181" si="21">D173-C173</f>
        <v>5.0299999999999789E-2</v>
      </c>
    </row>
    <row r="174" spans="1:5" s="421" customFormat="1" x14ac:dyDescent="0.2">
      <c r="A174" s="588">
        <v>2</v>
      </c>
      <c r="B174" s="587" t="s">
        <v>639</v>
      </c>
      <c r="C174" s="617">
        <f t="shared" si="20"/>
        <v>1.7250099999999999</v>
      </c>
      <c r="D174" s="617">
        <f t="shared" si="20"/>
        <v>1.7915000000000001</v>
      </c>
      <c r="E174" s="618">
        <f t="shared" si="21"/>
        <v>6.649000000000016E-2</v>
      </c>
    </row>
    <row r="175" spans="1:5" s="421" customFormat="1" x14ac:dyDescent="0.2">
      <c r="A175" s="588">
        <v>3</v>
      </c>
      <c r="B175" s="587" t="s">
        <v>781</v>
      </c>
      <c r="C175" s="617">
        <f t="shared" si="20"/>
        <v>1.1861299999999999</v>
      </c>
      <c r="D175" s="617">
        <f t="shared" si="20"/>
        <v>1.2309300000000001</v>
      </c>
      <c r="E175" s="618">
        <f t="shared" si="21"/>
        <v>4.4800000000000173E-2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1.1861299999999999</v>
      </c>
      <c r="D176" s="617">
        <f t="shared" si="20"/>
        <v>1.2309300000000001</v>
      </c>
      <c r="E176" s="618">
        <f t="shared" si="21"/>
        <v>4.4800000000000173E-2</v>
      </c>
    </row>
    <row r="177" spans="1:5" s="421" customFormat="1" x14ac:dyDescent="0.2">
      <c r="A177" s="588">
        <v>5</v>
      </c>
      <c r="B177" s="587" t="s">
        <v>747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1.3638300000000001</v>
      </c>
      <c r="D178" s="617">
        <f t="shared" si="20"/>
        <v>1.4174100000000001</v>
      </c>
      <c r="E178" s="618">
        <f t="shared" si="21"/>
        <v>5.3579999999999961E-2</v>
      </c>
    </row>
    <row r="179" spans="1:5" s="421" customFormat="1" x14ac:dyDescent="0.2">
      <c r="A179" s="588">
        <v>7</v>
      </c>
      <c r="B179" s="587" t="s">
        <v>762</v>
      </c>
      <c r="C179" s="617">
        <f t="shared" si="20"/>
        <v>1.4266500000000002</v>
      </c>
      <c r="D179" s="617">
        <f t="shared" si="20"/>
        <v>1.55003</v>
      </c>
      <c r="E179" s="618">
        <f t="shared" si="21"/>
        <v>0.12337999999999982</v>
      </c>
    </row>
    <row r="180" spans="1:5" s="421" customFormat="1" x14ac:dyDescent="0.2">
      <c r="A180" s="588"/>
      <c r="B180" s="592" t="s">
        <v>816</v>
      </c>
      <c r="C180" s="619">
        <f t="shared" si="20"/>
        <v>1.4838887620711501</v>
      </c>
      <c r="D180" s="619">
        <f t="shared" si="20"/>
        <v>1.5424877881357595</v>
      </c>
      <c r="E180" s="620">
        <f t="shared" si="21"/>
        <v>5.8599026064609427E-2</v>
      </c>
    </row>
    <row r="181" spans="1:5" s="421" customFormat="1" x14ac:dyDescent="0.2">
      <c r="A181" s="588"/>
      <c r="B181" s="592" t="s">
        <v>727</v>
      </c>
      <c r="C181" s="619">
        <f t="shared" si="20"/>
        <v>1.4497418524775474</v>
      </c>
      <c r="D181" s="619">
        <f t="shared" si="20"/>
        <v>1.5057475015599333</v>
      </c>
      <c r="E181" s="620">
        <f t="shared" si="21"/>
        <v>5.6005649082385922E-2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817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818</v>
      </c>
      <c r="C185" s="589">
        <v>3004952573</v>
      </c>
      <c r="D185" s="589">
        <v>2976359272</v>
      </c>
      <c r="E185" s="590">
        <f>D185-C185</f>
        <v>-28593301</v>
      </c>
    </row>
    <row r="186" spans="1:5" s="421" customFormat="1" ht="25.5" x14ac:dyDescent="0.2">
      <c r="A186" s="588">
        <v>2</v>
      </c>
      <c r="B186" s="587" t="s">
        <v>819</v>
      </c>
      <c r="C186" s="589">
        <v>1210596860</v>
      </c>
      <c r="D186" s="589">
        <v>1289201506</v>
      </c>
      <c r="E186" s="590">
        <f>D186-C186</f>
        <v>78604646</v>
      </c>
    </row>
    <row r="187" spans="1:5" s="421" customFormat="1" x14ac:dyDescent="0.2">
      <c r="A187" s="588"/>
      <c r="B187" s="587" t="s">
        <v>672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751</v>
      </c>
      <c r="C188" s="622">
        <f>+C185-C186</f>
        <v>1794355713</v>
      </c>
      <c r="D188" s="622">
        <f>+D185-D186</f>
        <v>1687157766</v>
      </c>
      <c r="E188" s="590">
        <f t="shared" ref="E188:E197" si="22">D188-C188</f>
        <v>-107197947</v>
      </c>
    </row>
    <row r="189" spans="1:5" s="421" customFormat="1" x14ac:dyDescent="0.2">
      <c r="A189" s="588">
        <v>4</v>
      </c>
      <c r="B189" s="587" t="s">
        <v>674</v>
      </c>
      <c r="C189" s="623">
        <f>IF(C185=0,0,+C188/C185)</f>
        <v>0.59713278975601325</v>
      </c>
      <c r="D189" s="623">
        <f>IF(D185=0,0,+D188/D185)</f>
        <v>0.56685286009383351</v>
      </c>
      <c r="E189" s="599">
        <f t="shared" si="22"/>
        <v>-3.0279929662179739E-2</v>
      </c>
    </row>
    <row r="190" spans="1:5" s="421" customFormat="1" x14ac:dyDescent="0.2">
      <c r="A190" s="588">
        <v>5</v>
      </c>
      <c r="B190" s="587" t="s">
        <v>766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752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820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821</v>
      </c>
      <c r="C193" s="589">
        <v>32480929</v>
      </c>
      <c r="D193" s="589">
        <v>43211397</v>
      </c>
      <c r="E193" s="622">
        <f t="shared" si="22"/>
        <v>10730468</v>
      </c>
    </row>
    <row r="194" spans="1:5" s="421" customFormat="1" x14ac:dyDescent="0.2">
      <c r="A194" s="588">
        <v>9</v>
      </c>
      <c r="B194" s="587" t="s">
        <v>822</v>
      </c>
      <c r="C194" s="589">
        <v>118694071</v>
      </c>
      <c r="D194" s="589">
        <v>157929603</v>
      </c>
      <c r="E194" s="622">
        <f t="shared" si="22"/>
        <v>39235532</v>
      </c>
    </row>
    <row r="195" spans="1:5" s="421" customFormat="1" x14ac:dyDescent="0.2">
      <c r="A195" s="588">
        <v>10</v>
      </c>
      <c r="B195" s="587" t="s">
        <v>823</v>
      </c>
      <c r="C195" s="589">
        <f>+C193+C194</f>
        <v>151175000</v>
      </c>
      <c r="D195" s="589">
        <f>+D193+D194</f>
        <v>201141000</v>
      </c>
      <c r="E195" s="625">
        <f t="shared" si="22"/>
        <v>49966000</v>
      </c>
    </row>
    <row r="196" spans="1:5" s="421" customFormat="1" x14ac:dyDescent="0.2">
      <c r="A196" s="588">
        <v>11</v>
      </c>
      <c r="B196" s="587" t="s">
        <v>824</v>
      </c>
      <c r="C196" s="589">
        <v>3256036</v>
      </c>
      <c r="D196" s="589">
        <v>3296108</v>
      </c>
      <c r="E196" s="622">
        <f t="shared" si="22"/>
        <v>40072</v>
      </c>
    </row>
    <row r="197" spans="1:5" s="421" customFormat="1" x14ac:dyDescent="0.2">
      <c r="A197" s="588">
        <v>12</v>
      </c>
      <c r="B197" s="587" t="s">
        <v>714</v>
      </c>
      <c r="C197" s="589">
        <v>2236673000</v>
      </c>
      <c r="D197" s="589">
        <v>2267358000</v>
      </c>
      <c r="E197" s="622">
        <f t="shared" si="22"/>
        <v>30685000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825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826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660</v>
      </c>
      <c r="C203" s="629">
        <v>39417.254400000005</v>
      </c>
      <c r="D203" s="629">
        <v>39483.876599999996</v>
      </c>
      <c r="E203" s="630">
        <f t="shared" ref="E203:E211" si="23">D203-C203</f>
        <v>66.622199999990698</v>
      </c>
    </row>
    <row r="204" spans="1:5" s="421" customFormat="1" x14ac:dyDescent="0.2">
      <c r="A204" s="588">
        <v>2</v>
      </c>
      <c r="B204" s="587" t="s">
        <v>639</v>
      </c>
      <c r="C204" s="629">
        <v>49392.211329999998</v>
      </c>
      <c r="D204" s="629">
        <v>50602.709000000003</v>
      </c>
      <c r="E204" s="630">
        <f t="shared" si="23"/>
        <v>1210.4976700000043</v>
      </c>
    </row>
    <row r="205" spans="1:5" s="421" customFormat="1" x14ac:dyDescent="0.2">
      <c r="A205" s="588">
        <v>3</v>
      </c>
      <c r="B205" s="587" t="s">
        <v>781</v>
      </c>
      <c r="C205" s="629">
        <f>C206+C207</f>
        <v>27288.106779999998</v>
      </c>
      <c r="D205" s="629">
        <f>D206+D207</f>
        <v>27591.295950000003</v>
      </c>
      <c r="E205" s="630">
        <f t="shared" si="23"/>
        <v>303.18917000000511</v>
      </c>
    </row>
    <row r="206" spans="1:5" s="421" customFormat="1" x14ac:dyDescent="0.2">
      <c r="A206" s="588">
        <v>4</v>
      </c>
      <c r="B206" s="587" t="s">
        <v>115</v>
      </c>
      <c r="C206" s="629">
        <v>27288.106779999998</v>
      </c>
      <c r="D206" s="629">
        <v>27591.295950000003</v>
      </c>
      <c r="E206" s="630">
        <f t="shared" si="23"/>
        <v>303.18917000000511</v>
      </c>
    </row>
    <row r="207" spans="1:5" s="421" customFormat="1" x14ac:dyDescent="0.2">
      <c r="A207" s="588">
        <v>5</v>
      </c>
      <c r="B207" s="587" t="s">
        <v>747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610.99584000000004</v>
      </c>
      <c r="D208" s="629">
        <v>566.96400000000006</v>
      </c>
      <c r="E208" s="630">
        <f t="shared" si="23"/>
        <v>-44.031839999999988</v>
      </c>
    </row>
    <row r="209" spans="1:5" s="421" customFormat="1" x14ac:dyDescent="0.2">
      <c r="A209" s="588">
        <v>7</v>
      </c>
      <c r="B209" s="587" t="s">
        <v>762</v>
      </c>
      <c r="C209" s="629">
        <v>1262.5852500000001</v>
      </c>
      <c r="D209" s="629">
        <v>1475.6285600000001</v>
      </c>
      <c r="E209" s="630">
        <f t="shared" si="23"/>
        <v>213.04331000000002</v>
      </c>
    </row>
    <row r="210" spans="1:5" s="421" customFormat="1" x14ac:dyDescent="0.2">
      <c r="A210" s="588"/>
      <c r="B210" s="592" t="s">
        <v>827</v>
      </c>
      <c r="C210" s="631">
        <f>C204+C205+C208</f>
        <v>77291.313949999996</v>
      </c>
      <c r="D210" s="631">
        <f>D204+D205+D208</f>
        <v>78760.968950000009</v>
      </c>
      <c r="E210" s="632">
        <f t="shared" si="23"/>
        <v>1469.6550000000134</v>
      </c>
    </row>
    <row r="211" spans="1:5" s="421" customFormat="1" x14ac:dyDescent="0.2">
      <c r="A211" s="588"/>
      <c r="B211" s="592" t="s">
        <v>728</v>
      </c>
      <c r="C211" s="631">
        <f>C210+C203</f>
        <v>116708.56835</v>
      </c>
      <c r="D211" s="631">
        <f>D210+D203</f>
        <v>118244.84555</v>
      </c>
      <c r="E211" s="632">
        <f t="shared" si="23"/>
        <v>1536.2771999999968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828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660</v>
      </c>
      <c r="C215" s="633">
        <f>IF(C14*C137=0,0,C25/C14*C137)</f>
        <v>30866.493088047115</v>
      </c>
      <c r="D215" s="633">
        <f>IF(D14*D137=0,0,D25/D14*D137)</f>
        <v>31470.233705898841</v>
      </c>
      <c r="E215" s="633">
        <f t="shared" ref="E215:E223" si="24">D215-C215</f>
        <v>603.74061785172671</v>
      </c>
    </row>
    <row r="216" spans="1:5" s="421" customFormat="1" x14ac:dyDescent="0.2">
      <c r="A216" s="588">
        <v>2</v>
      </c>
      <c r="B216" s="587" t="s">
        <v>639</v>
      </c>
      <c r="C216" s="633">
        <f>IF(C15*C138=0,0,C26/C15*C138)</f>
        <v>18853.573772353047</v>
      </c>
      <c r="D216" s="633">
        <f>IF(D15*D138=0,0,D26/D15*D138)</f>
        <v>20582.954480118584</v>
      </c>
      <c r="E216" s="633">
        <f t="shared" si="24"/>
        <v>1729.3807077655365</v>
      </c>
    </row>
    <row r="217" spans="1:5" s="421" customFormat="1" x14ac:dyDescent="0.2">
      <c r="A217" s="588">
        <v>3</v>
      </c>
      <c r="B217" s="587" t="s">
        <v>781</v>
      </c>
      <c r="C217" s="633">
        <f>C218+C219</f>
        <v>13011.950663984822</v>
      </c>
      <c r="D217" s="633">
        <f>D218+D219</f>
        <v>14253.659360267244</v>
      </c>
      <c r="E217" s="633">
        <f t="shared" si="24"/>
        <v>1241.7086962824214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13011.950663984822</v>
      </c>
      <c r="D218" s="633">
        <f t="shared" si="25"/>
        <v>14253.659360267244</v>
      </c>
      <c r="E218" s="633">
        <f t="shared" si="24"/>
        <v>1241.7086962824214</v>
      </c>
    </row>
    <row r="219" spans="1:5" s="421" customFormat="1" x14ac:dyDescent="0.2">
      <c r="A219" s="588">
        <v>5</v>
      </c>
      <c r="B219" s="587" t="s">
        <v>747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273.81601323171759</v>
      </c>
      <c r="D220" s="633">
        <f t="shared" si="25"/>
        <v>349.04331045517114</v>
      </c>
      <c r="E220" s="633">
        <f t="shared" si="24"/>
        <v>75.227297223453547</v>
      </c>
    </row>
    <row r="221" spans="1:5" s="421" customFormat="1" x14ac:dyDescent="0.2">
      <c r="A221" s="588">
        <v>7</v>
      </c>
      <c r="B221" s="587" t="s">
        <v>762</v>
      </c>
      <c r="C221" s="633">
        <f t="shared" si="25"/>
        <v>2124.1291790680039</v>
      </c>
      <c r="D221" s="633">
        <f t="shared" si="25"/>
        <v>1373.2728948176564</v>
      </c>
      <c r="E221" s="633">
        <f t="shared" si="24"/>
        <v>-750.85628425034747</v>
      </c>
    </row>
    <row r="222" spans="1:5" s="421" customFormat="1" x14ac:dyDescent="0.2">
      <c r="A222" s="588"/>
      <c r="B222" s="592" t="s">
        <v>829</v>
      </c>
      <c r="C222" s="634">
        <f>C216+C218+C219+C220</f>
        <v>32139.340449569587</v>
      </c>
      <c r="D222" s="634">
        <f>D216+D218+D219+D220</f>
        <v>35185.657150840998</v>
      </c>
      <c r="E222" s="634">
        <f t="shared" si="24"/>
        <v>3046.3167012714111</v>
      </c>
    </row>
    <row r="223" spans="1:5" s="421" customFormat="1" x14ac:dyDescent="0.2">
      <c r="A223" s="588"/>
      <c r="B223" s="592" t="s">
        <v>830</v>
      </c>
      <c r="C223" s="634">
        <f>C215+C222</f>
        <v>63005.833537616702</v>
      </c>
      <c r="D223" s="634">
        <f>D215+D222</f>
        <v>66655.890856739832</v>
      </c>
      <c r="E223" s="634">
        <f t="shared" si="24"/>
        <v>3650.0573191231306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831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660</v>
      </c>
      <c r="C227" s="636">
        <f t="shared" ref="C227:D235" si="26">IF(C203=0,0,C47/C203)</f>
        <v>14218.688047435387</v>
      </c>
      <c r="D227" s="636">
        <f t="shared" si="26"/>
        <v>15851.195168612194</v>
      </c>
      <c r="E227" s="636">
        <f t="shared" ref="E227:E235" si="27">D227-C227</f>
        <v>1632.5071211768063</v>
      </c>
    </row>
    <row r="228" spans="1:5" s="421" customFormat="1" x14ac:dyDescent="0.2">
      <c r="A228" s="588">
        <v>2</v>
      </c>
      <c r="B228" s="587" t="s">
        <v>639</v>
      </c>
      <c r="C228" s="636">
        <f t="shared" si="26"/>
        <v>10906.932499958593</v>
      </c>
      <c r="D228" s="636">
        <f t="shared" si="26"/>
        <v>11128.207701291249</v>
      </c>
      <c r="E228" s="636">
        <f t="shared" si="27"/>
        <v>221.27520133265534</v>
      </c>
    </row>
    <row r="229" spans="1:5" s="421" customFormat="1" x14ac:dyDescent="0.2">
      <c r="A229" s="588">
        <v>3</v>
      </c>
      <c r="B229" s="587" t="s">
        <v>781</v>
      </c>
      <c r="C229" s="636">
        <f t="shared" si="26"/>
        <v>6877.8982548381837</v>
      </c>
      <c r="D229" s="636">
        <f t="shared" si="26"/>
        <v>4201.5257713909587</v>
      </c>
      <c r="E229" s="636">
        <f t="shared" si="27"/>
        <v>-2676.372483447225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6877.8982548381837</v>
      </c>
      <c r="D230" s="636">
        <f t="shared" si="26"/>
        <v>4201.5257713909587</v>
      </c>
      <c r="E230" s="636">
        <f t="shared" si="27"/>
        <v>-2676.372483447225</v>
      </c>
    </row>
    <row r="231" spans="1:5" s="421" customFormat="1" x14ac:dyDescent="0.2">
      <c r="A231" s="588">
        <v>5</v>
      </c>
      <c r="B231" s="587" t="s">
        <v>747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7851.1647477010638</v>
      </c>
      <c r="D232" s="636">
        <f t="shared" si="26"/>
        <v>3725.748019274592</v>
      </c>
      <c r="E232" s="636">
        <f t="shared" si="27"/>
        <v>-4125.4167284264713</v>
      </c>
    </row>
    <row r="233" spans="1:5" s="421" customFormat="1" x14ac:dyDescent="0.2">
      <c r="A233" s="588">
        <v>7</v>
      </c>
      <c r="B233" s="587" t="s">
        <v>762</v>
      </c>
      <c r="C233" s="636">
        <f t="shared" si="26"/>
        <v>4778.544656687538</v>
      </c>
      <c r="D233" s="636">
        <f t="shared" si="26"/>
        <v>8261.7498267992305</v>
      </c>
      <c r="E233" s="636">
        <f t="shared" si="27"/>
        <v>3483.2051701116925</v>
      </c>
    </row>
    <row r="234" spans="1:5" x14ac:dyDescent="0.2">
      <c r="A234" s="588"/>
      <c r="B234" s="592" t="s">
        <v>832</v>
      </c>
      <c r="C234" s="637">
        <f t="shared" si="26"/>
        <v>9460.3045107114522</v>
      </c>
      <c r="D234" s="637">
        <f t="shared" si="26"/>
        <v>8648.387279648874</v>
      </c>
      <c r="E234" s="637">
        <f t="shared" si="27"/>
        <v>-811.91723106257814</v>
      </c>
    </row>
    <row r="235" spans="1:5" s="421" customFormat="1" x14ac:dyDescent="0.2">
      <c r="A235" s="588"/>
      <c r="B235" s="592" t="s">
        <v>833</v>
      </c>
      <c r="C235" s="637">
        <f t="shared" si="26"/>
        <v>11067.40514652196</v>
      </c>
      <c r="D235" s="637">
        <f t="shared" si="26"/>
        <v>11053.521952018822</v>
      </c>
      <c r="E235" s="637">
        <f t="shared" si="27"/>
        <v>-13.883194503137929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834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660</v>
      </c>
      <c r="C239" s="636">
        <f t="shared" ref="C239:D247" si="28">IF(C215=0,0,C58/C215)</f>
        <v>21398.995477584063</v>
      </c>
      <c r="D239" s="636">
        <f t="shared" si="28"/>
        <v>21798.886954926293</v>
      </c>
      <c r="E239" s="638">
        <f t="shared" ref="E239:E247" si="29">D239-C239</f>
        <v>399.89147734222934</v>
      </c>
    </row>
    <row r="240" spans="1:5" s="421" customFormat="1" x14ac:dyDescent="0.2">
      <c r="A240" s="588">
        <v>2</v>
      </c>
      <c r="B240" s="587" t="s">
        <v>639</v>
      </c>
      <c r="C240" s="636">
        <f t="shared" si="28"/>
        <v>9400.6644119588473</v>
      </c>
      <c r="D240" s="636">
        <f t="shared" si="28"/>
        <v>10401.985546186103</v>
      </c>
      <c r="E240" s="638">
        <f t="shared" si="29"/>
        <v>1001.3211342272552</v>
      </c>
    </row>
    <row r="241" spans="1:5" x14ac:dyDescent="0.2">
      <c r="A241" s="588">
        <v>3</v>
      </c>
      <c r="B241" s="587" t="s">
        <v>781</v>
      </c>
      <c r="C241" s="636">
        <f t="shared" si="28"/>
        <v>11481.275395048966</v>
      </c>
      <c r="D241" s="636">
        <f t="shared" si="28"/>
        <v>6829.6637052630404</v>
      </c>
      <c r="E241" s="638">
        <f t="shared" si="29"/>
        <v>-4651.6116897859256</v>
      </c>
    </row>
    <row r="242" spans="1:5" x14ac:dyDescent="0.2">
      <c r="A242" s="588">
        <v>4</v>
      </c>
      <c r="B242" s="587" t="s">
        <v>115</v>
      </c>
      <c r="C242" s="636">
        <f t="shared" si="28"/>
        <v>11481.275395048966</v>
      </c>
      <c r="D242" s="636">
        <f t="shared" si="28"/>
        <v>6829.6637052630404</v>
      </c>
      <c r="E242" s="638">
        <f t="shared" si="29"/>
        <v>-4651.6116897859256</v>
      </c>
    </row>
    <row r="243" spans="1:5" x14ac:dyDescent="0.2">
      <c r="A243" s="588">
        <v>5</v>
      </c>
      <c r="B243" s="587" t="s">
        <v>747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7197.8478422010039</v>
      </c>
      <c r="D244" s="636">
        <f t="shared" si="28"/>
        <v>6515.9277713534684</v>
      </c>
      <c r="E244" s="638">
        <f t="shared" si="29"/>
        <v>-681.9200708475355</v>
      </c>
    </row>
    <row r="245" spans="1:5" x14ac:dyDescent="0.2">
      <c r="A245" s="588">
        <v>7</v>
      </c>
      <c r="B245" s="587" t="s">
        <v>762</v>
      </c>
      <c r="C245" s="636">
        <f t="shared" si="28"/>
        <v>3053.3646747632006</v>
      </c>
      <c r="D245" s="636">
        <f t="shared" si="28"/>
        <v>7638.6281558355922</v>
      </c>
      <c r="E245" s="638">
        <f t="shared" si="29"/>
        <v>4585.2634810723921</v>
      </c>
    </row>
    <row r="246" spans="1:5" ht="25.5" x14ac:dyDescent="0.2">
      <c r="A246" s="588"/>
      <c r="B246" s="592" t="s">
        <v>835</v>
      </c>
      <c r="C246" s="637">
        <f t="shared" si="28"/>
        <v>10224.254462085599</v>
      </c>
      <c r="D246" s="637">
        <f t="shared" si="28"/>
        <v>8916.2932116077136</v>
      </c>
      <c r="E246" s="639">
        <f t="shared" si="29"/>
        <v>-1307.9612504778852</v>
      </c>
    </row>
    <row r="247" spans="1:5" x14ac:dyDescent="0.2">
      <c r="A247" s="588"/>
      <c r="B247" s="592" t="s">
        <v>836</v>
      </c>
      <c r="C247" s="637">
        <f t="shared" si="28"/>
        <v>15698.74859935731</v>
      </c>
      <c r="D247" s="637">
        <f t="shared" si="28"/>
        <v>14998.54986783831</v>
      </c>
      <c r="E247" s="639">
        <f t="shared" si="29"/>
        <v>-700.19873151899992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764</v>
      </c>
      <c r="B249" s="626" t="s">
        <v>761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-27072807.462913584</v>
      </c>
      <c r="D251" s="622">
        <f>((IF((IF(D15=0,0,D26/D15)*D138)=0,0,D59/(IF(D15=0,0,D26/D15)*D138)))-(IF((IF(D17=0,0,D28/D17)*D140)=0,0,D61/(IF(D17=0,0,D28/D17)*D140))))*(IF(D17=0,0,D28/D17)*D140)</f>
        <v>50918658.645760119</v>
      </c>
      <c r="E251" s="622">
        <f>D251-C251</f>
        <v>77991466.108673707</v>
      </c>
    </row>
    <row r="252" spans="1:5" x14ac:dyDescent="0.2">
      <c r="A252" s="588">
        <v>2</v>
      </c>
      <c r="B252" s="587" t="s">
        <v>747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762</v>
      </c>
      <c r="C253" s="622">
        <f>IF(C233=0,0,(C228-C233)*C209+IF(C221=0,0,(C240-C245)*C221))</f>
        <v>21220096.677261289</v>
      </c>
      <c r="D253" s="622">
        <f>IF(D233=0,0,(D228-D233)*D209+IF(D221=0,0,(D240-D245)*D221))</f>
        <v>8024670.908499727</v>
      </c>
      <c r="E253" s="622">
        <f>D253-C253</f>
        <v>-13195425.768761562</v>
      </c>
    </row>
    <row r="254" spans="1:5" ht="15" customHeight="1" x14ac:dyDescent="0.2">
      <c r="A254" s="588"/>
      <c r="B254" s="592" t="s">
        <v>763</v>
      </c>
      <c r="C254" s="640">
        <f>+C251+C252+C253</f>
        <v>-5852710.7856522948</v>
      </c>
      <c r="D254" s="640">
        <f>+D251+D252+D253</f>
        <v>58943329.554259844</v>
      </c>
      <c r="E254" s="640">
        <f>D254-C254</f>
        <v>64796040.339912139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837</v>
      </c>
      <c r="B256" s="626" t="s">
        <v>838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729</v>
      </c>
      <c r="C258" s="622">
        <f>+C44</f>
        <v>8243052871</v>
      </c>
      <c r="D258" s="625">
        <f>+D44</f>
        <v>8384978567</v>
      </c>
      <c r="E258" s="622">
        <f t="shared" ref="E258:E271" si="30">D258-C258</f>
        <v>141925696</v>
      </c>
    </row>
    <row r="259" spans="1:5" x14ac:dyDescent="0.2">
      <c r="A259" s="588">
        <v>2</v>
      </c>
      <c r="B259" s="587" t="s">
        <v>746</v>
      </c>
      <c r="C259" s="622">
        <f>+(C43-C76)</f>
        <v>3989441178</v>
      </c>
      <c r="D259" s="625">
        <f>+(D43-D76)</f>
        <v>4253115028</v>
      </c>
      <c r="E259" s="622">
        <f t="shared" si="30"/>
        <v>263673850</v>
      </c>
    </row>
    <row r="260" spans="1:5" x14ac:dyDescent="0.2">
      <c r="A260" s="588">
        <v>3</v>
      </c>
      <c r="B260" s="587" t="s">
        <v>750</v>
      </c>
      <c r="C260" s="622">
        <f>C195</f>
        <v>151175000</v>
      </c>
      <c r="D260" s="622">
        <f>D195</f>
        <v>201141000</v>
      </c>
      <c r="E260" s="622">
        <f t="shared" si="30"/>
        <v>49966000</v>
      </c>
    </row>
    <row r="261" spans="1:5" x14ac:dyDescent="0.2">
      <c r="A261" s="588">
        <v>4</v>
      </c>
      <c r="B261" s="587" t="s">
        <v>751</v>
      </c>
      <c r="C261" s="622">
        <f>C188</f>
        <v>1794355713</v>
      </c>
      <c r="D261" s="622">
        <f>D188</f>
        <v>1687157766</v>
      </c>
      <c r="E261" s="622">
        <f t="shared" si="30"/>
        <v>-107197947</v>
      </c>
    </row>
    <row r="262" spans="1:5" x14ac:dyDescent="0.2">
      <c r="A262" s="588">
        <v>5</v>
      </c>
      <c r="B262" s="587" t="s">
        <v>752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753</v>
      </c>
      <c r="C263" s="622">
        <f>+C259+C260+C261+C262</f>
        <v>5934971891</v>
      </c>
      <c r="D263" s="622">
        <f>+D259+D260+D261+D262</f>
        <v>6141413794</v>
      </c>
      <c r="E263" s="622">
        <f t="shared" si="30"/>
        <v>206441903</v>
      </c>
    </row>
    <row r="264" spans="1:5" x14ac:dyDescent="0.2">
      <c r="A264" s="588">
        <v>7</v>
      </c>
      <c r="B264" s="587" t="s">
        <v>658</v>
      </c>
      <c r="C264" s="622">
        <f>+C258-C263</f>
        <v>2308080980</v>
      </c>
      <c r="D264" s="622">
        <f>+D258-D263</f>
        <v>2243564773</v>
      </c>
      <c r="E264" s="622">
        <f t="shared" si="30"/>
        <v>-64516207</v>
      </c>
    </row>
    <row r="265" spans="1:5" x14ac:dyDescent="0.2">
      <c r="A265" s="588">
        <v>8</v>
      </c>
      <c r="B265" s="587" t="s">
        <v>839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840</v>
      </c>
      <c r="C266" s="622">
        <f>+C264+C265</f>
        <v>2308080980</v>
      </c>
      <c r="D266" s="622">
        <f>+D264+D265</f>
        <v>2243564773</v>
      </c>
      <c r="E266" s="641">
        <f t="shared" si="30"/>
        <v>-64516207</v>
      </c>
    </row>
    <row r="267" spans="1:5" x14ac:dyDescent="0.2">
      <c r="A267" s="588">
        <v>10</v>
      </c>
      <c r="B267" s="587" t="s">
        <v>841</v>
      </c>
      <c r="C267" s="642">
        <f>IF(C258=0,0,C266/C258)</f>
        <v>0.28000317553707466</v>
      </c>
      <c r="D267" s="642">
        <f>IF(D258=0,0,D266/D258)</f>
        <v>0.26756952985303917</v>
      </c>
      <c r="E267" s="643">
        <f t="shared" si="30"/>
        <v>-1.2433645684035488E-2</v>
      </c>
    </row>
    <row r="268" spans="1:5" x14ac:dyDescent="0.2">
      <c r="A268" s="588">
        <v>11</v>
      </c>
      <c r="B268" s="587" t="s">
        <v>720</v>
      </c>
      <c r="C268" s="622">
        <f>+C260*C267</f>
        <v>42329480.061817259</v>
      </c>
      <c r="D268" s="644">
        <f>+D260*D267</f>
        <v>53819202.804170154</v>
      </c>
      <c r="E268" s="622">
        <f t="shared" si="30"/>
        <v>11489722.742352895</v>
      </c>
    </row>
    <row r="269" spans="1:5" x14ac:dyDescent="0.2">
      <c r="A269" s="588">
        <v>12</v>
      </c>
      <c r="B269" s="587" t="s">
        <v>842</v>
      </c>
      <c r="C269" s="622">
        <f>((C17+C18+C28+C29)*C267)-(C50+C51+C61+C62)</f>
        <v>169554422.92334497</v>
      </c>
      <c r="D269" s="644">
        <f>((D17+D18+D28+D29)*D267)-(D50+D51+D61+D62)</f>
        <v>266834780.92543584</v>
      </c>
      <c r="E269" s="622">
        <f t="shared" si="30"/>
        <v>97280358.002090871</v>
      </c>
    </row>
    <row r="270" spans="1:5" s="648" customFormat="1" x14ac:dyDescent="0.2">
      <c r="A270" s="645">
        <v>13</v>
      </c>
      <c r="B270" s="646" t="s">
        <v>843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844</v>
      </c>
      <c r="C271" s="622">
        <f>+C268+C269+C270</f>
        <v>211883902.98516223</v>
      </c>
      <c r="D271" s="622">
        <f>+D268+D269+D270</f>
        <v>320653983.72960597</v>
      </c>
      <c r="E271" s="625">
        <f t="shared" si="30"/>
        <v>108770080.74444374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845</v>
      </c>
      <c r="B273" s="626" t="s">
        <v>846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847</v>
      </c>
      <c r="C275" s="425"/>
      <c r="D275" s="425"/>
      <c r="E275" s="596"/>
    </row>
    <row r="276" spans="1:5" x14ac:dyDescent="0.2">
      <c r="A276" s="588">
        <v>1</v>
      </c>
      <c r="B276" s="587" t="s">
        <v>660</v>
      </c>
      <c r="C276" s="623">
        <f t="shared" ref="C276:D284" si="31">IF(C14=0,0,+C47/C14)</f>
        <v>0.3661003355520584</v>
      </c>
      <c r="D276" s="623">
        <f t="shared" si="31"/>
        <v>0.42809462535692488</v>
      </c>
      <c r="E276" s="650">
        <f t="shared" ref="E276:E284" si="32">D276-C276</f>
        <v>6.1994289804866487E-2</v>
      </c>
    </row>
    <row r="277" spans="1:5" x14ac:dyDescent="0.2">
      <c r="A277" s="588">
        <v>2</v>
      </c>
      <c r="B277" s="587" t="s">
        <v>639</v>
      </c>
      <c r="C277" s="623">
        <f t="shared" si="31"/>
        <v>0.27927128105033577</v>
      </c>
      <c r="D277" s="623">
        <f t="shared" si="31"/>
        <v>0.28578329295018995</v>
      </c>
      <c r="E277" s="650">
        <f t="shared" si="32"/>
        <v>6.5120118998541754E-3</v>
      </c>
    </row>
    <row r="278" spans="1:5" x14ac:dyDescent="0.2">
      <c r="A278" s="588">
        <v>3</v>
      </c>
      <c r="B278" s="587" t="s">
        <v>781</v>
      </c>
      <c r="C278" s="623">
        <f t="shared" si="31"/>
        <v>0.16239643430893991</v>
      </c>
      <c r="D278" s="623">
        <f t="shared" si="31"/>
        <v>0.10568980904687142</v>
      </c>
      <c r="E278" s="650">
        <f t="shared" si="32"/>
        <v>-5.6706625262068489E-2</v>
      </c>
    </row>
    <row r="279" spans="1:5" x14ac:dyDescent="0.2">
      <c r="A279" s="588">
        <v>4</v>
      </c>
      <c r="B279" s="587" t="s">
        <v>115</v>
      </c>
      <c r="C279" s="623">
        <f t="shared" si="31"/>
        <v>0.16239643430893991</v>
      </c>
      <c r="D279" s="623">
        <f t="shared" si="31"/>
        <v>0.10568980904687142</v>
      </c>
      <c r="E279" s="650">
        <f t="shared" si="32"/>
        <v>-5.6706625262068489E-2</v>
      </c>
    </row>
    <row r="280" spans="1:5" x14ac:dyDescent="0.2">
      <c r="A280" s="588">
        <v>5</v>
      </c>
      <c r="B280" s="587" t="s">
        <v>747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0.19000686389209734</v>
      </c>
      <c r="D281" s="623">
        <f t="shared" si="31"/>
        <v>8.3508197826940272E-2</v>
      </c>
      <c r="E281" s="650">
        <f t="shared" si="32"/>
        <v>-0.10649866606515707</v>
      </c>
    </row>
    <row r="282" spans="1:5" x14ac:dyDescent="0.2">
      <c r="A282" s="588">
        <v>7</v>
      </c>
      <c r="B282" s="587" t="s">
        <v>762</v>
      </c>
      <c r="C282" s="623">
        <f t="shared" si="31"/>
        <v>0.12727315185843435</v>
      </c>
      <c r="D282" s="623">
        <f t="shared" si="31"/>
        <v>0.18538628967587628</v>
      </c>
      <c r="E282" s="650">
        <f t="shared" si="32"/>
        <v>5.8113137817441929E-2</v>
      </c>
    </row>
    <row r="283" spans="1:5" ht="29.25" customHeight="1" x14ac:dyDescent="0.2">
      <c r="A283" s="588"/>
      <c r="B283" s="592" t="s">
        <v>848</v>
      </c>
      <c r="C283" s="651">
        <f t="shared" si="31"/>
        <v>0.23511398371987757</v>
      </c>
      <c r="D283" s="651">
        <f t="shared" si="31"/>
        <v>0.22025491150504112</v>
      </c>
      <c r="E283" s="652">
        <f t="shared" si="32"/>
        <v>-1.4859072214836455E-2</v>
      </c>
    </row>
    <row r="284" spans="1:5" x14ac:dyDescent="0.2">
      <c r="A284" s="588"/>
      <c r="B284" s="592" t="s">
        <v>849</v>
      </c>
      <c r="C284" s="651">
        <f t="shared" si="31"/>
        <v>0.27832276252926336</v>
      </c>
      <c r="D284" s="651">
        <f t="shared" si="31"/>
        <v>0.28697001891069424</v>
      </c>
      <c r="E284" s="652">
        <f t="shared" si="32"/>
        <v>8.6472563814308789E-3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850</v>
      </c>
      <c r="C286" s="596"/>
      <c r="D286" s="596"/>
      <c r="E286" s="596"/>
    </row>
    <row r="287" spans="1:5" x14ac:dyDescent="0.2">
      <c r="A287" s="588">
        <v>1</v>
      </c>
      <c r="B287" s="587" t="s">
        <v>660</v>
      </c>
      <c r="C287" s="623">
        <f t="shared" ref="C287:D295" si="33">IF(C25=0,0,+C58/C25)</f>
        <v>0.3972012088943227</v>
      </c>
      <c r="D287" s="623">
        <f t="shared" si="33"/>
        <v>0.40956169729537406</v>
      </c>
      <c r="E287" s="650">
        <f t="shared" ref="E287:E295" si="34">D287-C287</f>
        <v>1.2360488401051362E-2</v>
      </c>
    </row>
    <row r="288" spans="1:5" x14ac:dyDescent="0.2">
      <c r="A288" s="588">
        <v>2</v>
      </c>
      <c r="B288" s="587" t="s">
        <v>639</v>
      </c>
      <c r="C288" s="623">
        <f t="shared" si="33"/>
        <v>0.13953738637188973</v>
      </c>
      <c r="D288" s="623">
        <f t="shared" si="33"/>
        <v>0.14911146828128791</v>
      </c>
      <c r="E288" s="650">
        <f t="shared" si="34"/>
        <v>9.5740819093981799E-3</v>
      </c>
    </row>
    <row r="289" spans="1:5" x14ac:dyDescent="0.2">
      <c r="A289" s="588">
        <v>3</v>
      </c>
      <c r="B289" s="587" t="s">
        <v>781</v>
      </c>
      <c r="C289" s="623">
        <f t="shared" si="33"/>
        <v>0.22854861100614707</v>
      </c>
      <c r="D289" s="623">
        <f t="shared" si="33"/>
        <v>0.13956998908409296</v>
      </c>
      <c r="E289" s="650">
        <f t="shared" si="34"/>
        <v>-8.8978621922054107E-2</v>
      </c>
    </row>
    <row r="290" spans="1:5" x14ac:dyDescent="0.2">
      <c r="A290" s="588">
        <v>4</v>
      </c>
      <c r="B290" s="587" t="s">
        <v>115</v>
      </c>
      <c r="C290" s="623">
        <f t="shared" si="33"/>
        <v>0.22854861100614707</v>
      </c>
      <c r="D290" s="623">
        <f t="shared" si="33"/>
        <v>0.13956998908409296</v>
      </c>
      <c r="E290" s="650">
        <f t="shared" si="34"/>
        <v>-8.8978621922054107E-2</v>
      </c>
    </row>
    <row r="291" spans="1:5" x14ac:dyDescent="0.2">
      <c r="A291" s="588">
        <v>5</v>
      </c>
      <c r="B291" s="587" t="s">
        <v>747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0.12772550298957178</v>
      </c>
      <c r="D292" s="623">
        <f t="shared" si="33"/>
        <v>0.10303775822004994</v>
      </c>
      <c r="E292" s="650">
        <f t="shared" si="34"/>
        <v>-2.4687744769521833E-2</v>
      </c>
    </row>
    <row r="293" spans="1:5" x14ac:dyDescent="0.2">
      <c r="A293" s="588">
        <v>7</v>
      </c>
      <c r="B293" s="587" t="s">
        <v>762</v>
      </c>
      <c r="C293" s="623">
        <f t="shared" si="33"/>
        <v>5.7003613457984922E-2</v>
      </c>
      <c r="D293" s="623">
        <f t="shared" si="33"/>
        <v>0.11058108277173392</v>
      </c>
      <c r="E293" s="650">
        <f t="shared" si="34"/>
        <v>5.3577469313749002E-2</v>
      </c>
    </row>
    <row r="294" spans="1:5" ht="29.25" customHeight="1" x14ac:dyDescent="0.2">
      <c r="A294" s="588"/>
      <c r="B294" s="592" t="s">
        <v>851</v>
      </c>
      <c r="C294" s="651">
        <f t="shared" si="33"/>
        <v>0.16944621383071415</v>
      </c>
      <c r="D294" s="651">
        <f t="shared" si="33"/>
        <v>0.14555206701229653</v>
      </c>
      <c r="E294" s="652">
        <f t="shared" si="34"/>
        <v>-2.3894146818417616E-2</v>
      </c>
    </row>
    <row r="295" spans="1:5" x14ac:dyDescent="0.2">
      <c r="A295" s="588"/>
      <c r="B295" s="592" t="s">
        <v>852</v>
      </c>
      <c r="C295" s="651">
        <f t="shared" si="33"/>
        <v>0.27458738511954245</v>
      </c>
      <c r="D295" s="651">
        <f t="shared" si="33"/>
        <v>0.26100060029174282</v>
      </c>
      <c r="E295" s="652">
        <f t="shared" si="34"/>
        <v>-1.3586784827799625E-2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853</v>
      </c>
      <c r="B297" s="579" t="s">
        <v>854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855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658</v>
      </c>
      <c r="C301" s="590">
        <f>+C48+C47+C50+C51+C52+C59+C58+C61+C62+C63</f>
        <v>2280773751</v>
      </c>
      <c r="D301" s="590">
        <f>+D48+D47+D50+D51+D52+D59+D58+D61+D62+D63</f>
        <v>2306763699</v>
      </c>
      <c r="E301" s="590">
        <f>D301-C301</f>
        <v>25989948</v>
      </c>
    </row>
    <row r="302" spans="1:5" ht="25.5" x14ac:dyDescent="0.2">
      <c r="A302" s="588">
        <v>2</v>
      </c>
      <c r="B302" s="587" t="s">
        <v>856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857</v>
      </c>
      <c r="C303" s="593">
        <f>+C301+C302</f>
        <v>2280773751</v>
      </c>
      <c r="D303" s="593">
        <f>+D301+D302</f>
        <v>2306763699</v>
      </c>
      <c r="E303" s="593">
        <f>D303-C303</f>
        <v>25989948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858</v>
      </c>
      <c r="C305" s="589">
        <v>2142331</v>
      </c>
      <c r="D305" s="654">
        <v>31589301</v>
      </c>
      <c r="E305" s="655">
        <f>D305-C305</f>
        <v>29446970</v>
      </c>
    </row>
    <row r="306" spans="1:5" x14ac:dyDescent="0.2">
      <c r="A306" s="588">
        <v>4</v>
      </c>
      <c r="B306" s="592" t="s">
        <v>859</v>
      </c>
      <c r="C306" s="593">
        <f>+C303+C305+C194+C190-C191</f>
        <v>2401610153</v>
      </c>
      <c r="D306" s="593">
        <f>+D303+D305</f>
        <v>2338353000</v>
      </c>
      <c r="E306" s="656">
        <f>D306-C306</f>
        <v>-63257153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860</v>
      </c>
      <c r="C308" s="589">
        <v>2282916000</v>
      </c>
      <c r="D308" s="589">
        <v>2338353000</v>
      </c>
      <c r="E308" s="590">
        <f>D308-C308</f>
        <v>55437000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861</v>
      </c>
      <c r="C310" s="657">
        <f>C306-C308</f>
        <v>118694153</v>
      </c>
      <c r="D310" s="658">
        <f>D306-D308</f>
        <v>0</v>
      </c>
      <c r="E310" s="656">
        <f>D310-C310</f>
        <v>-118694153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862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863</v>
      </c>
      <c r="C314" s="590">
        <f>+C14+C15+C16+C19+C25+C26+C27+C30</f>
        <v>8243052871</v>
      </c>
      <c r="D314" s="590">
        <f>+D14+D15+D16+D19+D25+D26+D27+D30</f>
        <v>8384978567</v>
      </c>
      <c r="E314" s="590">
        <f>D314-C314</f>
        <v>141925696</v>
      </c>
    </row>
    <row r="315" spans="1:5" x14ac:dyDescent="0.2">
      <c r="A315" s="588">
        <v>2</v>
      </c>
      <c r="B315" s="659" t="s">
        <v>864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865</v>
      </c>
      <c r="C316" s="657">
        <f>C314+C315</f>
        <v>8243052871</v>
      </c>
      <c r="D316" s="657">
        <f>D314+D315</f>
        <v>8384978567</v>
      </c>
      <c r="E316" s="593">
        <f>D316-C316</f>
        <v>141925696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866</v>
      </c>
      <c r="C318" s="589">
        <v>8243052871</v>
      </c>
      <c r="D318" s="589">
        <v>8384978567</v>
      </c>
      <c r="E318" s="590">
        <f>D318-C318</f>
        <v>141925696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861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867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868</v>
      </c>
      <c r="C324" s="589">
        <f>+C193+C194</f>
        <v>151175000</v>
      </c>
      <c r="D324" s="589">
        <f>+D193+D194</f>
        <v>201141000</v>
      </c>
      <c r="E324" s="590">
        <f>D324-C324</f>
        <v>49966000</v>
      </c>
    </row>
    <row r="325" spans="1:5" x14ac:dyDescent="0.2">
      <c r="A325" s="588">
        <v>2</v>
      </c>
      <c r="B325" s="587" t="s">
        <v>869</v>
      </c>
      <c r="C325" s="589">
        <v>641000</v>
      </c>
      <c r="D325" s="589">
        <v>612000</v>
      </c>
      <c r="E325" s="590">
        <f>D325-C325</f>
        <v>-29000</v>
      </c>
    </row>
    <row r="326" spans="1:5" x14ac:dyDescent="0.2">
      <c r="A326" s="588"/>
      <c r="B326" s="592" t="s">
        <v>870</v>
      </c>
      <c r="C326" s="657">
        <f>C324+C325</f>
        <v>151816000</v>
      </c>
      <c r="D326" s="657">
        <f>D324+D325</f>
        <v>201753000</v>
      </c>
      <c r="E326" s="593">
        <f>D326-C326</f>
        <v>49937000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871</v>
      </c>
      <c r="C328" s="589">
        <v>151816000</v>
      </c>
      <c r="D328" s="589">
        <v>201753000</v>
      </c>
      <c r="E328" s="590">
        <f>D328-C328</f>
        <v>49937000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872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FILING&amp;RYALE-NEW HAVEN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633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873</v>
      </c>
      <c r="B5" s="824"/>
      <c r="C5" s="825"/>
      <c r="D5" s="661"/>
    </row>
    <row r="6" spans="1:58" s="662" customFormat="1" ht="15.75" customHeight="1" x14ac:dyDescent="0.25">
      <c r="A6" s="823" t="s">
        <v>874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875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876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780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660</v>
      </c>
      <c r="C14" s="589">
        <v>1461981994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639</v>
      </c>
      <c r="C15" s="591">
        <v>1970435186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781</v>
      </c>
      <c r="C16" s="591">
        <v>1096846915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1096846915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747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25295301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762</v>
      </c>
      <c r="C20" s="591">
        <v>65761465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782</v>
      </c>
      <c r="C21" s="593">
        <f>SUM(C15+C16+C19)</f>
        <v>3092577402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4554559396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783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660</v>
      </c>
      <c r="C25" s="589">
        <v>1675000547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639</v>
      </c>
      <c r="C26" s="591">
        <v>1435862697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781</v>
      </c>
      <c r="C27" s="591">
        <v>697483038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697483038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747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22072889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762</v>
      </c>
      <c r="C31" s="594">
        <v>94861804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784</v>
      </c>
      <c r="C32" s="593">
        <f>SUM(C26+C27+C30)</f>
        <v>2155418624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3830419171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657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877</v>
      </c>
      <c r="C36" s="590">
        <f>SUM(C14+C25)</f>
        <v>3136982541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878</v>
      </c>
      <c r="C37" s="594">
        <f>SUM(C21+C32)</f>
        <v>5247996026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657</v>
      </c>
      <c r="C38" s="593">
        <f>SUM(+C36+C37)</f>
        <v>8384978567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793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660</v>
      </c>
      <c r="C41" s="589">
        <v>625866634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639</v>
      </c>
      <c r="C42" s="591">
        <v>563117456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781</v>
      </c>
      <c r="C43" s="591">
        <v>115925541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115925541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747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2112365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762</v>
      </c>
      <c r="C47" s="591">
        <v>12191274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794</v>
      </c>
      <c r="C48" s="593">
        <f>SUM(C42+C43+C46)</f>
        <v>681155362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1307021996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795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660</v>
      </c>
      <c r="C52" s="589">
        <v>686016067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639</v>
      </c>
      <c r="C53" s="591">
        <v>214103595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781</v>
      </c>
      <c r="C54" s="591">
        <v>97347700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97347700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747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2274341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762</v>
      </c>
      <c r="C58" s="591">
        <v>10489921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796</v>
      </c>
      <c r="C59" s="593">
        <f>SUM(C53+C54+C57)</f>
        <v>313725636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999741703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658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879</v>
      </c>
      <c r="C63" s="590">
        <f>SUM(C41+C52)</f>
        <v>1311882701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880</v>
      </c>
      <c r="C64" s="594">
        <f>SUM(C48+C59)</f>
        <v>994880998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658</v>
      </c>
      <c r="C65" s="593">
        <f>SUM(+C63+C64)</f>
        <v>2306763699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881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882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660</v>
      </c>
      <c r="C70" s="606">
        <v>27468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639</v>
      </c>
      <c r="C71" s="606">
        <v>28246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781</v>
      </c>
      <c r="C72" s="606">
        <v>22415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22415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747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400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762</v>
      </c>
      <c r="C76" s="621">
        <v>952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811</v>
      </c>
      <c r="C77" s="608">
        <f>SUM(C71+C72+C75)</f>
        <v>51061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78529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815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660</v>
      </c>
      <c r="C81" s="617">
        <v>1.4374499999999999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639</v>
      </c>
      <c r="C82" s="617">
        <v>1.7915000000000001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781</v>
      </c>
      <c r="C83" s="617">
        <f>((C73*C84)+(C74*C85))/(C73+C74)</f>
        <v>1.2309300000000001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1.2309300000000001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747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1.4174100000000001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762</v>
      </c>
      <c r="C87" s="617">
        <v>1.55003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816</v>
      </c>
      <c r="C88" s="619">
        <f>((C71*C82)+(C73*C84)+(C74*C85)+(C75*C86))/(C71+C73+C74+C75)</f>
        <v>1.5424877881357595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727</v>
      </c>
      <c r="C89" s="619">
        <f>((C70*C81)+(C71*C82)+(C73*C84)+(C74*C85)+(C75*C86))/(C70+C71+C73+C74+C75)</f>
        <v>1.5057475015599333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817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818</v>
      </c>
      <c r="C92" s="589">
        <v>2976359272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819</v>
      </c>
      <c r="C93" s="622">
        <v>1289201506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672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751</v>
      </c>
      <c r="C95" s="589">
        <f>+C92-C93</f>
        <v>1687157766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674</v>
      </c>
      <c r="C96" s="681">
        <f>(+C92-C93)/C92</f>
        <v>0.56685286009383351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766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752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883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821</v>
      </c>
      <c r="C103" s="589">
        <v>43211397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822</v>
      </c>
      <c r="C104" s="589">
        <v>157929603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823</v>
      </c>
      <c r="C105" s="654">
        <f>+C103+C104</f>
        <v>201141000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824</v>
      </c>
      <c r="C107" s="589">
        <v>3296108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714</v>
      </c>
      <c r="C108" s="589">
        <v>2267358000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854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855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658</v>
      </c>
      <c r="C114" s="590">
        <f>+C65</f>
        <v>2306763699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856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857</v>
      </c>
      <c r="C116" s="593">
        <f>+C114+C115</f>
        <v>2306763699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858</v>
      </c>
      <c r="C118" s="654">
        <v>31589301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859</v>
      </c>
      <c r="C119" s="656">
        <f>+C116+C118</f>
        <v>2338353000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860</v>
      </c>
      <c r="C121" s="589">
        <v>2338353000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861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862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863</v>
      </c>
      <c r="C127" s="590">
        <f>C38</f>
        <v>8384978567</v>
      </c>
      <c r="D127" s="664"/>
      <c r="AR127" s="485"/>
    </row>
    <row r="128" spans="1:58" s="421" customFormat="1" ht="12.75" x14ac:dyDescent="0.2">
      <c r="A128" s="588">
        <v>2</v>
      </c>
      <c r="B128" s="659" t="s">
        <v>864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865</v>
      </c>
      <c r="C129" s="657">
        <f>C127+C128</f>
        <v>8384978567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866</v>
      </c>
      <c r="C131" s="589">
        <v>8384978567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861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867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868</v>
      </c>
      <c r="C137" s="589">
        <f>C105</f>
        <v>201141000</v>
      </c>
      <c r="D137" s="664"/>
      <c r="AR137" s="485"/>
    </row>
    <row r="138" spans="1:44" s="421" customFormat="1" ht="12.75" x14ac:dyDescent="0.2">
      <c r="A138" s="588">
        <v>2</v>
      </c>
      <c r="B138" s="669" t="s">
        <v>884</v>
      </c>
      <c r="C138" s="589">
        <v>612000</v>
      </c>
      <c r="D138" s="664"/>
      <c r="AR138" s="485"/>
    </row>
    <row r="139" spans="1:44" s="421" customFormat="1" ht="12.75" x14ac:dyDescent="0.2">
      <c r="A139" s="588"/>
      <c r="B139" s="671" t="s">
        <v>870</v>
      </c>
      <c r="C139" s="657">
        <f>C137+C138</f>
        <v>201753000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885</v>
      </c>
      <c r="C141" s="589">
        <v>201753000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872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FILING&amp;RYALE-NEW HAVEN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633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886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636</v>
      </c>
      <c r="D8" s="177" t="s">
        <v>636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887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888</v>
      </c>
      <c r="C12" s="185">
        <v>6553</v>
      </c>
      <c r="D12" s="185">
        <v>6433</v>
      </c>
      <c r="E12" s="185">
        <f>+D12-C12</f>
        <v>-120</v>
      </c>
      <c r="F12" s="77">
        <f>IF(C12=0,0,+E12/C12)</f>
        <v>-1.831222340912559E-2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889</v>
      </c>
      <c r="C13" s="185">
        <v>5356</v>
      </c>
      <c r="D13" s="185">
        <v>5496</v>
      </c>
      <c r="E13" s="185">
        <f>+D13-C13</f>
        <v>140</v>
      </c>
      <c r="F13" s="77">
        <f>IF(C13=0,0,+E13/C13)</f>
        <v>2.6138909634055265E-2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890</v>
      </c>
      <c r="C15" s="76">
        <v>32480929</v>
      </c>
      <c r="D15" s="76">
        <v>43211397</v>
      </c>
      <c r="E15" s="76">
        <f>+D15-C15</f>
        <v>10730468</v>
      </c>
      <c r="F15" s="77">
        <f>IF(C15=0,0,+E15/C15)</f>
        <v>0.33036210263567278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891</v>
      </c>
      <c r="C16" s="79">
        <f>IF(C13=0,0,+C15/+C13)</f>
        <v>6064.4004854368932</v>
      </c>
      <c r="D16" s="79">
        <f>IF(D13=0,0,+D15/+D13)</f>
        <v>7862.3356986899562</v>
      </c>
      <c r="E16" s="79">
        <f>+D16-C16</f>
        <v>1797.935213253063</v>
      </c>
      <c r="F16" s="80">
        <f>IF(C16=0,0,+E16/C16)</f>
        <v>0.29647369390768979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892</v>
      </c>
      <c r="C18" s="704">
        <v>0.30175600000000002</v>
      </c>
      <c r="D18" s="704">
        <v>0.271233</v>
      </c>
      <c r="E18" s="704">
        <f>+D18-C18</f>
        <v>-3.0523000000000022E-2</v>
      </c>
      <c r="F18" s="77">
        <f>IF(C18=0,0,+E18/C18)</f>
        <v>-0.10115126128395134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893</v>
      </c>
      <c r="C19" s="79">
        <f>+C15*C18</f>
        <v>9801315.2113240007</v>
      </c>
      <c r="D19" s="79">
        <f>+D15*D18</f>
        <v>11720356.842501</v>
      </c>
      <c r="E19" s="79">
        <f>+D19-C19</f>
        <v>1919041.6311769988</v>
      </c>
      <c r="F19" s="80">
        <f>IF(C19=0,0,+E19/C19)</f>
        <v>0.19579429798970491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894</v>
      </c>
      <c r="C20" s="79">
        <f>IF(C13=0,0,+C19/C13)</f>
        <v>1829.9692328834954</v>
      </c>
      <c r="D20" s="79">
        <f>IF(D13=0,0,+D19/D13)</f>
        <v>2132.5248985627727</v>
      </c>
      <c r="E20" s="79">
        <f>+D20-C20</f>
        <v>302.55566567927735</v>
      </c>
      <c r="F20" s="80">
        <f>IF(C20=0,0,+E20/C20)</f>
        <v>0.16533374454746338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895</v>
      </c>
      <c r="C22" s="76">
        <v>18113836</v>
      </c>
      <c r="D22" s="76">
        <v>16246048</v>
      </c>
      <c r="E22" s="76">
        <f>+D22-C22</f>
        <v>-1867788</v>
      </c>
      <c r="F22" s="77">
        <f>IF(C22=0,0,+E22/C22)</f>
        <v>-0.10311388487783593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896</v>
      </c>
      <c r="C23" s="185">
        <v>12122474</v>
      </c>
      <c r="D23" s="185">
        <v>18430623</v>
      </c>
      <c r="E23" s="185">
        <f>+D23-C23</f>
        <v>6308149</v>
      </c>
      <c r="F23" s="77">
        <f>IF(C23=0,0,+E23/C23)</f>
        <v>0.52036811957691143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897</v>
      </c>
      <c r="C24" s="185">
        <v>2244619</v>
      </c>
      <c r="D24" s="185">
        <v>8534726</v>
      </c>
      <c r="E24" s="185">
        <f>+D24-C24</f>
        <v>6290107</v>
      </c>
      <c r="F24" s="77">
        <f>IF(C24=0,0,+E24/C24)</f>
        <v>2.802304979152364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898</v>
      </c>
      <c r="C25" s="79">
        <f>+C22+C23+C24</f>
        <v>32480929</v>
      </c>
      <c r="D25" s="79">
        <f>+D22+D23+D24</f>
        <v>43211397</v>
      </c>
      <c r="E25" s="79">
        <f>+E22+E23+E24</f>
        <v>10730468</v>
      </c>
      <c r="F25" s="80">
        <f>IF(C25=0,0,+E25/C25)</f>
        <v>0.33036210263567278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899</v>
      </c>
      <c r="C27" s="185">
        <v>6473</v>
      </c>
      <c r="D27" s="185">
        <v>12981</v>
      </c>
      <c r="E27" s="185">
        <f>+D27-C27</f>
        <v>6508</v>
      </c>
      <c r="F27" s="77">
        <f>IF(C27=0,0,+E27/C27)</f>
        <v>1.0054070755445697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900</v>
      </c>
      <c r="C28" s="185">
        <v>952</v>
      </c>
      <c r="D28" s="185">
        <v>2479</v>
      </c>
      <c r="E28" s="185">
        <f>+D28-C28</f>
        <v>1527</v>
      </c>
      <c r="F28" s="77">
        <f>IF(C28=0,0,+E28/C28)</f>
        <v>1.6039915966386555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901</v>
      </c>
      <c r="C29" s="185">
        <v>2635</v>
      </c>
      <c r="D29" s="185">
        <v>2860</v>
      </c>
      <c r="E29" s="185">
        <f>+D29-C29</f>
        <v>225</v>
      </c>
      <c r="F29" s="77">
        <f>IF(C29=0,0,+E29/C29)</f>
        <v>8.5388994307400379E-2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902</v>
      </c>
      <c r="C30" s="185">
        <v>15029</v>
      </c>
      <c r="D30" s="185">
        <v>14851</v>
      </c>
      <c r="E30" s="185">
        <f>+D30-C30</f>
        <v>-178</v>
      </c>
      <c r="F30" s="77">
        <f>IF(C30=0,0,+E30/C30)</f>
        <v>-1.1843768713819949E-2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903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904</v>
      </c>
      <c r="C33" s="76">
        <v>66192840</v>
      </c>
      <c r="D33" s="76">
        <v>33910337</v>
      </c>
      <c r="E33" s="76">
        <f>+D33-C33</f>
        <v>-32282503</v>
      </c>
      <c r="F33" s="77">
        <f>IF(C33=0,0,+E33/C33)</f>
        <v>-0.48770385135310707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905</v>
      </c>
      <c r="C34" s="185">
        <v>44298788</v>
      </c>
      <c r="D34" s="185">
        <v>65017311</v>
      </c>
      <c r="E34" s="185">
        <f>+D34-C34</f>
        <v>20718523</v>
      </c>
      <c r="F34" s="77">
        <f>IF(C34=0,0,+E34/C34)</f>
        <v>0.4676995451884598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906</v>
      </c>
      <c r="C35" s="185">
        <v>8202443</v>
      </c>
      <c r="D35" s="185">
        <v>59001955</v>
      </c>
      <c r="E35" s="185">
        <f>+D35-C35</f>
        <v>50799512</v>
      </c>
      <c r="F35" s="77">
        <f>IF(C35=0,0,+E35/C35)</f>
        <v>6.1932173134272315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907</v>
      </c>
      <c r="C36" s="79">
        <f>+C33+C34+C35</f>
        <v>118694071</v>
      </c>
      <c r="D36" s="79">
        <f>+D33+D34+D35</f>
        <v>157929603</v>
      </c>
      <c r="E36" s="79">
        <f>+E33+E34+E35</f>
        <v>39235532</v>
      </c>
      <c r="F36" s="80">
        <f>IF(C36=0,0,+E36/C36)</f>
        <v>0.33056016757568285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908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909</v>
      </c>
      <c r="C39" s="76">
        <f>+C25</f>
        <v>32480929</v>
      </c>
      <c r="D39" s="76">
        <f>+D25</f>
        <v>43211397</v>
      </c>
      <c r="E39" s="76">
        <f>+D39-C39</f>
        <v>10730468</v>
      </c>
      <c r="F39" s="77">
        <f>IF(C39=0,0,+E39/C39)</f>
        <v>0.33036210263567278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910</v>
      </c>
      <c r="C40" s="185">
        <f>+C36</f>
        <v>118694071</v>
      </c>
      <c r="D40" s="185">
        <f>+D36</f>
        <v>157929603</v>
      </c>
      <c r="E40" s="185">
        <f>+D40-C40</f>
        <v>39235532</v>
      </c>
      <c r="F40" s="77">
        <f>IF(C40=0,0,+E40/C40)</f>
        <v>0.33056016757568285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911</v>
      </c>
      <c r="C41" s="79">
        <f>+C39+C40</f>
        <v>151175000</v>
      </c>
      <c r="D41" s="79">
        <f>+D39+D40</f>
        <v>201141000</v>
      </c>
      <c r="E41" s="79">
        <f>+E39+E40</f>
        <v>49966000</v>
      </c>
      <c r="F41" s="80">
        <f>IF(C41=0,0,+E41/C41)</f>
        <v>0.33051761203902763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912</v>
      </c>
      <c r="C43" s="76">
        <f t="shared" ref="C43:D45" si="0">+C22+C33</f>
        <v>84306676</v>
      </c>
      <c r="D43" s="76">
        <f t="shared" si="0"/>
        <v>50156385</v>
      </c>
      <c r="E43" s="76">
        <f>+D43-C43</f>
        <v>-34150291</v>
      </c>
      <c r="F43" s="77">
        <f>IF(C43=0,0,+E43/C43)</f>
        <v>-0.40507220329739962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913</v>
      </c>
      <c r="C44" s="185">
        <f t="shared" si="0"/>
        <v>56421262</v>
      </c>
      <c r="D44" s="185">
        <f t="shared" si="0"/>
        <v>83447934</v>
      </c>
      <c r="E44" s="185">
        <f>+D44-C44</f>
        <v>27026672</v>
      </c>
      <c r="F44" s="77">
        <f>IF(C44=0,0,+E44/C44)</f>
        <v>0.47901572992110669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914</v>
      </c>
      <c r="C45" s="185">
        <f t="shared" si="0"/>
        <v>10447062</v>
      </c>
      <c r="D45" s="185">
        <f t="shared" si="0"/>
        <v>67536681</v>
      </c>
      <c r="E45" s="185">
        <f>+D45-C45</f>
        <v>57089619</v>
      </c>
      <c r="F45" s="77">
        <f>IF(C45=0,0,+E45/C45)</f>
        <v>5.4646578147999891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911</v>
      </c>
      <c r="C46" s="79">
        <f>+C43+C44+C45</f>
        <v>151175000</v>
      </c>
      <c r="D46" s="79">
        <f>+D43+D44+D45</f>
        <v>201141000</v>
      </c>
      <c r="E46" s="79">
        <f>+E43+E44+E45</f>
        <v>49966000</v>
      </c>
      <c r="F46" s="80">
        <f>IF(C46=0,0,+E46/C46)</f>
        <v>0.33051761203902763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915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FILING&amp;RYALE-NEW HAVEN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633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916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917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918</v>
      </c>
      <c r="D10" s="177" t="s">
        <v>918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919</v>
      </c>
      <c r="D11" s="693" t="s">
        <v>919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920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3004952573</v>
      </c>
      <c r="D15" s="76">
        <v>2976359272</v>
      </c>
      <c r="E15" s="76">
        <f>+D15-C15</f>
        <v>-28593301</v>
      </c>
      <c r="F15" s="77">
        <f>IF(C15=0,0,E15/C15)</f>
        <v>-9.515391775868803E-3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921</v>
      </c>
      <c r="C17" s="76">
        <v>1794355713</v>
      </c>
      <c r="D17" s="76">
        <v>1687157766</v>
      </c>
      <c r="E17" s="76">
        <f>+D17-C17</f>
        <v>-107197947</v>
      </c>
      <c r="F17" s="77">
        <f>IF(C17=0,0,E17/C17)</f>
        <v>-5.9741748095629689E-2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922</v>
      </c>
      <c r="C19" s="79">
        <f>+C15-C17</f>
        <v>1210596860</v>
      </c>
      <c r="D19" s="79">
        <f>+D15-D17</f>
        <v>1289201506</v>
      </c>
      <c r="E19" s="79">
        <f>+D19-C19</f>
        <v>78604646</v>
      </c>
      <c r="F19" s="80">
        <f>IF(C19=0,0,E19/C19)</f>
        <v>6.4930488916021142E-2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923</v>
      </c>
      <c r="C21" s="720">
        <f>IF(C15=0,0,C17/C15)</f>
        <v>0.59713278975601325</v>
      </c>
      <c r="D21" s="720">
        <f>IF(D15=0,0,D17/D15)</f>
        <v>0.56685286009383351</v>
      </c>
      <c r="E21" s="720">
        <f>+D21-C21</f>
        <v>-3.0279929662179739E-2</v>
      </c>
      <c r="F21" s="80">
        <f>IF(C21=0,0,E21/C21)</f>
        <v>-5.0708871094739295E-2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924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FILING&amp;R&amp;12YALE-NEW HAVEN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925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926</v>
      </c>
      <c r="B6" s="734" t="s">
        <v>927</v>
      </c>
      <c r="C6" s="734" t="s">
        <v>928</v>
      </c>
      <c r="D6" s="734" t="s">
        <v>929</v>
      </c>
      <c r="E6" s="734" t="s">
        <v>930</v>
      </c>
    </row>
    <row r="7" spans="1:6" ht="37.5" customHeight="1" x14ac:dyDescent="0.25">
      <c r="A7" s="735" t="s">
        <v>8</v>
      </c>
      <c r="B7" s="736" t="s">
        <v>9</v>
      </c>
      <c r="C7" s="737" t="s">
        <v>931</v>
      </c>
      <c r="D7" s="737" t="s">
        <v>932</v>
      </c>
      <c r="E7" s="737" t="s">
        <v>933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934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935</v>
      </c>
      <c r="C10" s="744">
        <v>3433134250</v>
      </c>
      <c r="D10" s="744">
        <v>4640874495</v>
      </c>
      <c r="E10" s="744">
        <v>4554559396</v>
      </c>
    </row>
    <row r="11" spans="1:6" ht="26.1" customHeight="1" x14ac:dyDescent="0.25">
      <c r="A11" s="742">
        <v>2</v>
      </c>
      <c r="B11" s="743" t="s">
        <v>936</v>
      </c>
      <c r="C11" s="744">
        <v>2307169826</v>
      </c>
      <c r="D11" s="744">
        <v>3602178376</v>
      </c>
      <c r="E11" s="744">
        <v>3830419171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5740304076</v>
      </c>
      <c r="D12" s="744">
        <f>+D11+D10</f>
        <v>8243052871</v>
      </c>
      <c r="E12" s="744">
        <f>+E11+E10</f>
        <v>8384978567</v>
      </c>
    </row>
    <row r="13" spans="1:6" ht="26.1" customHeight="1" x14ac:dyDescent="0.25">
      <c r="A13" s="742">
        <v>4</v>
      </c>
      <c r="B13" s="743" t="s">
        <v>507</v>
      </c>
      <c r="C13" s="744">
        <v>1713271000</v>
      </c>
      <c r="D13" s="744">
        <v>2282916000</v>
      </c>
      <c r="E13" s="744">
        <v>2338353000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937</v>
      </c>
      <c r="C16" s="744">
        <v>1654251000</v>
      </c>
      <c r="D16" s="744">
        <v>2236673000</v>
      </c>
      <c r="E16" s="744">
        <v>2267358000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938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311547</v>
      </c>
      <c r="D19" s="747">
        <v>462219</v>
      </c>
      <c r="E19" s="747">
        <v>426515</v>
      </c>
    </row>
    <row r="20" spans="1:5" ht="26.1" customHeight="1" x14ac:dyDescent="0.25">
      <c r="A20" s="742">
        <v>2</v>
      </c>
      <c r="B20" s="743" t="s">
        <v>381</v>
      </c>
      <c r="C20" s="748">
        <v>59426</v>
      </c>
      <c r="D20" s="748">
        <v>80503</v>
      </c>
      <c r="E20" s="748">
        <v>78529</v>
      </c>
    </row>
    <row r="21" spans="1:5" ht="26.1" customHeight="1" x14ac:dyDescent="0.25">
      <c r="A21" s="742">
        <v>3</v>
      </c>
      <c r="B21" s="743" t="s">
        <v>939</v>
      </c>
      <c r="C21" s="749">
        <f>IF(C20=0,0,+C19/C20)</f>
        <v>5.2426042472991616</v>
      </c>
      <c r="D21" s="749">
        <f>IF(D20=0,0,+D19/D20)</f>
        <v>5.7416369576289084</v>
      </c>
      <c r="E21" s="749">
        <f>IF(E20=0,0,+E19/E20)</f>
        <v>5.4313056323141771</v>
      </c>
    </row>
    <row r="22" spans="1:5" ht="26.1" customHeight="1" x14ac:dyDescent="0.25">
      <c r="A22" s="742">
        <v>4</v>
      </c>
      <c r="B22" s="743" t="s">
        <v>940</v>
      </c>
      <c r="C22" s="748">
        <f>IF(C10=0,0,C19*(C12/C10))</f>
        <v>520915.98630772217</v>
      </c>
      <c r="D22" s="748">
        <f>IF(D10=0,0,D19*(D12/D10))</f>
        <v>820986.57463925856</v>
      </c>
      <c r="E22" s="748">
        <f>IF(E10=0,0,E19*(E12/E10))</f>
        <v>785217.36628242768</v>
      </c>
    </row>
    <row r="23" spans="1:5" ht="26.1" customHeight="1" x14ac:dyDescent="0.25">
      <c r="A23" s="742">
        <v>0</v>
      </c>
      <c r="B23" s="743" t="s">
        <v>941</v>
      </c>
      <c r="C23" s="748">
        <f>IF(C10=0,0,C20*(C12/C10))</f>
        <v>99362.065442205174</v>
      </c>
      <c r="D23" s="748">
        <f>IF(D10=0,0,D20*(D12/D10))</f>
        <v>142988.24197660468</v>
      </c>
      <c r="E23" s="748">
        <f>IF(E10=0,0,E20*(E12/E10))</f>
        <v>144572.48761894135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942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1.4302583576212433</v>
      </c>
      <c r="D26" s="750">
        <v>1.4497418524775474</v>
      </c>
      <c r="E26" s="750">
        <v>1.5057475015599333</v>
      </c>
    </row>
    <row r="27" spans="1:5" ht="26.1" customHeight="1" x14ac:dyDescent="0.25">
      <c r="A27" s="742">
        <v>2</v>
      </c>
      <c r="B27" s="743" t="s">
        <v>943</v>
      </c>
      <c r="C27" s="748">
        <f>C19*C26</f>
        <v>445592.7005418255</v>
      </c>
      <c r="D27" s="748">
        <f>D19*D26</f>
        <v>670098.22931031953</v>
      </c>
      <c r="E27" s="748">
        <f>E19*E26</f>
        <v>642223.89562783495</v>
      </c>
    </row>
    <row r="28" spans="1:5" ht="26.1" customHeight="1" x14ac:dyDescent="0.25">
      <c r="A28" s="742">
        <v>3</v>
      </c>
      <c r="B28" s="743" t="s">
        <v>944</v>
      </c>
      <c r="C28" s="748">
        <f>C20*C26</f>
        <v>84994.533160000006</v>
      </c>
      <c r="D28" s="748">
        <f>D20*D26</f>
        <v>116708.56835</v>
      </c>
      <c r="E28" s="748">
        <f>E20*E26</f>
        <v>118244.84555</v>
      </c>
    </row>
    <row r="29" spans="1:5" ht="26.1" customHeight="1" x14ac:dyDescent="0.25">
      <c r="A29" s="742">
        <v>4</v>
      </c>
      <c r="B29" s="743" t="s">
        <v>945</v>
      </c>
      <c r="C29" s="748">
        <f>C22*C26</f>
        <v>745044.44303513283</v>
      </c>
      <c r="D29" s="748">
        <f>D22*D26</f>
        <v>1190218.5975767148</v>
      </c>
      <c r="E29" s="748">
        <f>E22*E26</f>
        <v>1182339.0874612364</v>
      </c>
    </row>
    <row r="30" spans="1:5" ht="26.1" customHeight="1" x14ac:dyDescent="0.25">
      <c r="A30" s="742">
        <v>5</v>
      </c>
      <c r="B30" s="743" t="s">
        <v>946</v>
      </c>
      <c r="C30" s="748">
        <f>C23*C26</f>
        <v>142113.42452922286</v>
      </c>
      <c r="D30" s="748">
        <f>D23*D26</f>
        <v>207296.03880567066</v>
      </c>
      <c r="E30" s="748">
        <f>E23*E26</f>
        <v>217689.66202652533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947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948</v>
      </c>
      <c r="C33" s="744">
        <f>IF(C19=0,0,C12/C19)</f>
        <v>18425.162418511492</v>
      </c>
      <c r="D33" s="744">
        <f>IF(D19=0,0,D12/D19)</f>
        <v>17833.652167046355</v>
      </c>
      <c r="E33" s="744">
        <f>IF(E19=0,0,E12/E19)</f>
        <v>19659.281776725322</v>
      </c>
    </row>
    <row r="34" spans="1:5" ht="26.1" customHeight="1" x14ac:dyDescent="0.25">
      <c r="A34" s="742">
        <v>2</v>
      </c>
      <c r="B34" s="743" t="s">
        <v>949</v>
      </c>
      <c r="C34" s="744">
        <f>IF(C20=0,0,C12/C20)</f>
        <v>96595.834752465249</v>
      </c>
      <c r="D34" s="744">
        <f>IF(D20=0,0,D12/D20)</f>
        <v>102394.35637181223</v>
      </c>
      <c r="E34" s="744">
        <f>IF(E20=0,0,E12/E20)</f>
        <v>106775.5678411797</v>
      </c>
    </row>
    <row r="35" spans="1:5" ht="26.1" customHeight="1" x14ac:dyDescent="0.25">
      <c r="A35" s="742">
        <v>3</v>
      </c>
      <c r="B35" s="743" t="s">
        <v>950</v>
      </c>
      <c r="C35" s="744">
        <f>IF(C22=0,0,C12/C22)</f>
        <v>11019.635079137337</v>
      </c>
      <c r="D35" s="744">
        <f>IF(D22=0,0,D12/D22)</f>
        <v>10040.423468096293</v>
      </c>
      <c r="E35" s="744">
        <f>IF(E22=0,0,E12/E22)</f>
        <v>10678.544473230721</v>
      </c>
    </row>
    <row r="36" spans="1:5" ht="26.1" customHeight="1" x14ac:dyDescent="0.25">
      <c r="A36" s="742">
        <v>4</v>
      </c>
      <c r="B36" s="743" t="s">
        <v>951</v>
      </c>
      <c r="C36" s="744">
        <f>IF(C23=0,0,C12/C23)</f>
        <v>57771.585669572247</v>
      </c>
      <c r="D36" s="744">
        <f>IF(D23=0,0,D12/D23)</f>
        <v>57648.466454666283</v>
      </c>
      <c r="E36" s="744">
        <f>IF(E23=0,0,E12/E23)</f>
        <v>57998.438742375431</v>
      </c>
    </row>
    <row r="37" spans="1:5" ht="26.1" customHeight="1" x14ac:dyDescent="0.25">
      <c r="A37" s="742">
        <v>5</v>
      </c>
      <c r="B37" s="743" t="s">
        <v>952</v>
      </c>
      <c r="C37" s="744">
        <f>IF(C29=0,0,C12/C29)</f>
        <v>7704.646520971788</v>
      </c>
      <c r="D37" s="744">
        <f>IF(D29=0,0,D12/D29)</f>
        <v>6925.6629729890428</v>
      </c>
      <c r="E37" s="744">
        <f>IF(E29=0,0,E12/E29)</f>
        <v>7091.8560131548602</v>
      </c>
    </row>
    <row r="38" spans="1:5" ht="26.1" customHeight="1" x14ac:dyDescent="0.25">
      <c r="A38" s="742">
        <v>6</v>
      </c>
      <c r="B38" s="743" t="s">
        <v>953</v>
      </c>
      <c r="C38" s="744">
        <f>IF(C30=0,0,C12/C30)</f>
        <v>40392.41257478542</v>
      </c>
      <c r="D38" s="744">
        <f>IF(D30=0,0,D12/D30)</f>
        <v>39764.642481795985</v>
      </c>
      <c r="E38" s="744">
        <f>IF(E30=0,0,E12/E30)</f>
        <v>38518.037507809153</v>
      </c>
    </row>
    <row r="39" spans="1:5" ht="26.1" customHeight="1" x14ac:dyDescent="0.25">
      <c r="A39" s="742">
        <v>7</v>
      </c>
      <c r="B39" s="743" t="s">
        <v>954</v>
      </c>
      <c r="C39" s="744">
        <f>IF(C22=0,0,C10/C22)</f>
        <v>6590.5718776922595</v>
      </c>
      <c r="D39" s="744">
        <f>IF(D22=0,0,D10/D22)</f>
        <v>5652.8019316749487</v>
      </c>
      <c r="E39" s="744">
        <f>IF(E22=0,0,E10/E22)</f>
        <v>5800.3803680034907</v>
      </c>
    </row>
    <row r="40" spans="1:5" ht="26.1" customHeight="1" x14ac:dyDescent="0.25">
      <c r="A40" s="742">
        <v>8</v>
      </c>
      <c r="B40" s="743" t="s">
        <v>955</v>
      </c>
      <c r="C40" s="744">
        <f>IF(C23=0,0,C10/C23)</f>
        <v>34551.760118119855</v>
      </c>
      <c r="D40" s="744">
        <f>IF(D23=0,0,D10/D23)</f>
        <v>32456.336485060961</v>
      </c>
      <c r="E40" s="744">
        <f>IF(E23=0,0,E10/E23)</f>
        <v>31503.638562301938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956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957</v>
      </c>
      <c r="C43" s="744">
        <f>IF(C19=0,0,C13/C19)</f>
        <v>5499.2376752143336</v>
      </c>
      <c r="D43" s="744">
        <f>IF(D19=0,0,D13/D19)</f>
        <v>4939.0353923140328</v>
      </c>
      <c r="E43" s="744">
        <f>IF(E19=0,0,E13/E19)</f>
        <v>5482.463688264188</v>
      </c>
    </row>
    <row r="44" spans="1:5" ht="26.1" customHeight="1" x14ac:dyDescent="0.25">
      <c r="A44" s="742">
        <v>2</v>
      </c>
      <c r="B44" s="743" t="s">
        <v>958</v>
      </c>
      <c r="C44" s="744">
        <f>IF(C20=0,0,C13/C20)</f>
        <v>28830.326792986234</v>
      </c>
      <c r="D44" s="744">
        <f>IF(D20=0,0,D13/D20)</f>
        <v>28358.148143547445</v>
      </c>
      <c r="E44" s="744">
        <f>IF(E20=0,0,E13/E20)</f>
        <v>29776.935909027237</v>
      </c>
    </row>
    <row r="45" spans="1:5" ht="26.1" customHeight="1" x14ac:dyDescent="0.25">
      <c r="A45" s="742">
        <v>3</v>
      </c>
      <c r="B45" s="743" t="s">
        <v>959</v>
      </c>
      <c r="C45" s="744">
        <f>IF(C22=0,0,C13/C22)</f>
        <v>3288.9583829894491</v>
      </c>
      <c r="D45" s="744">
        <f>IF(D22=0,0,D13/D22)</f>
        <v>2780.6983335910372</v>
      </c>
      <c r="E45" s="744">
        <f>IF(E22=0,0,E13/E22)</f>
        <v>2977.9690317737309</v>
      </c>
    </row>
    <row r="46" spans="1:5" ht="26.1" customHeight="1" x14ac:dyDescent="0.25">
      <c r="A46" s="742">
        <v>4</v>
      </c>
      <c r="B46" s="743" t="s">
        <v>960</v>
      </c>
      <c r="C46" s="744">
        <f>IF(C23=0,0,C13/C23)</f>
        <v>17242.707187850672</v>
      </c>
      <c r="D46" s="744">
        <f>IF(D23=0,0,D13/D23)</f>
        <v>15965.760320163416</v>
      </c>
      <c r="E46" s="744">
        <f>IF(E23=0,0,E13/E23)</f>
        <v>16174.259975129859</v>
      </c>
    </row>
    <row r="47" spans="1:5" ht="26.1" customHeight="1" x14ac:dyDescent="0.25">
      <c r="A47" s="742">
        <v>5</v>
      </c>
      <c r="B47" s="743" t="s">
        <v>961</v>
      </c>
      <c r="C47" s="744">
        <f>IF(C29=0,0,C13/C29)</f>
        <v>2299.555437284444</v>
      </c>
      <c r="D47" s="744">
        <f>IF(D29=0,0,D13/D29)</f>
        <v>1918.0644670214506</v>
      </c>
      <c r="E47" s="744">
        <f>IF(E29=0,0,E13/E29)</f>
        <v>1977.7346657979488</v>
      </c>
    </row>
    <row r="48" spans="1:5" ht="26.1" customHeight="1" x14ac:dyDescent="0.25">
      <c r="A48" s="742">
        <v>6</v>
      </c>
      <c r="B48" s="743" t="s">
        <v>962</v>
      </c>
      <c r="C48" s="744">
        <f>IF(C30=0,0,C13/C30)</f>
        <v>12055.659102407311</v>
      </c>
      <c r="D48" s="744">
        <f>IF(D30=0,0,D13/D30)</f>
        <v>11012.829830965155</v>
      </c>
      <c r="E48" s="744">
        <f>IF(E30=0,0,E13/E30)</f>
        <v>10741.681429571394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963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964</v>
      </c>
      <c r="C51" s="744">
        <f>IF(C19=0,0,C16/C19)</f>
        <v>5309.7959537405268</v>
      </c>
      <c r="D51" s="744">
        <f>IF(D19=0,0,D16/D19)</f>
        <v>4838.989742957343</v>
      </c>
      <c r="E51" s="744">
        <f>IF(E19=0,0,E16/E19)</f>
        <v>5316.0099879253958</v>
      </c>
    </row>
    <row r="52" spans="1:6" ht="26.1" customHeight="1" x14ac:dyDescent="0.25">
      <c r="A52" s="742">
        <v>2</v>
      </c>
      <c r="B52" s="743" t="s">
        <v>965</v>
      </c>
      <c r="C52" s="744">
        <f>IF(C20=0,0,C16/C20)</f>
        <v>27837.158819371991</v>
      </c>
      <c r="D52" s="744">
        <f>IF(D20=0,0,D16/D20)</f>
        <v>27783.722345751092</v>
      </c>
      <c r="E52" s="744">
        <f>IF(E20=0,0,E16/E20)</f>
        <v>28872.87498885762</v>
      </c>
    </row>
    <row r="53" spans="1:6" ht="26.1" customHeight="1" x14ac:dyDescent="0.25">
      <c r="A53" s="742">
        <v>3</v>
      </c>
      <c r="B53" s="743" t="s">
        <v>966</v>
      </c>
      <c r="C53" s="744">
        <f>IF(C22=0,0,C16/C22)</f>
        <v>3175.6579630535271</v>
      </c>
      <c r="D53" s="744">
        <f>IF(D22=0,0,D16/D22)</f>
        <v>2724.3721993661029</v>
      </c>
      <c r="E53" s="744">
        <f>IF(E22=0,0,E16/E22)</f>
        <v>2887.5545770653202</v>
      </c>
    </row>
    <row r="54" spans="1:6" ht="26.1" customHeight="1" x14ac:dyDescent="0.25">
      <c r="A54" s="742">
        <v>4</v>
      </c>
      <c r="B54" s="743" t="s">
        <v>967</v>
      </c>
      <c r="C54" s="744">
        <f>IF(C23=0,0,C16/C23)</f>
        <v>16648.717925073826</v>
      </c>
      <c r="D54" s="744">
        <f>IF(D23=0,0,D16/D23)</f>
        <v>15642.356106217167</v>
      </c>
      <c r="E54" s="744">
        <f>IF(E23=0,0,E16/E23)</f>
        <v>15683.191438029453</v>
      </c>
    </row>
    <row r="55" spans="1:6" ht="26.1" customHeight="1" x14ac:dyDescent="0.25">
      <c r="A55" s="742">
        <v>5</v>
      </c>
      <c r="B55" s="743" t="s">
        <v>968</v>
      </c>
      <c r="C55" s="744">
        <f>IF(C29=0,0,C16/C29)</f>
        <v>2220.3386864560416</v>
      </c>
      <c r="D55" s="744">
        <f>IF(D29=0,0,D16/D29)</f>
        <v>1879.2119401880179</v>
      </c>
      <c r="E55" s="744">
        <f>IF(E29=0,0,E16/E29)</f>
        <v>1917.6884398439011</v>
      </c>
    </row>
    <row r="56" spans="1:6" ht="26.1" customHeight="1" x14ac:dyDescent="0.25">
      <c r="A56" s="742">
        <v>6</v>
      </c>
      <c r="B56" s="743" t="s">
        <v>969</v>
      </c>
      <c r="C56" s="744">
        <f>IF(C30=0,0,C16/C30)</f>
        <v>11640.357028057089</v>
      </c>
      <c r="D56" s="744">
        <f>IF(D30=0,0,D16/D30)</f>
        <v>10789.752727001047</v>
      </c>
      <c r="E56" s="744">
        <f>IF(E30=0,0,E16/E30)</f>
        <v>10415.552024347964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970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971</v>
      </c>
      <c r="C59" s="752">
        <v>247331000</v>
      </c>
      <c r="D59" s="752">
        <v>332073000</v>
      </c>
      <c r="E59" s="752">
        <v>328622000</v>
      </c>
    </row>
    <row r="60" spans="1:6" ht="26.1" customHeight="1" x14ac:dyDescent="0.25">
      <c r="A60" s="742">
        <v>2</v>
      </c>
      <c r="B60" s="743" t="s">
        <v>972</v>
      </c>
      <c r="C60" s="752">
        <v>72696000</v>
      </c>
      <c r="D60" s="752">
        <v>98908000</v>
      </c>
      <c r="E60" s="752">
        <v>91823000</v>
      </c>
    </row>
    <row r="61" spans="1:6" ht="26.1" customHeight="1" x14ac:dyDescent="0.25">
      <c r="A61" s="753">
        <v>3</v>
      </c>
      <c r="B61" s="754" t="s">
        <v>973</v>
      </c>
      <c r="C61" s="755">
        <f>C59+C60</f>
        <v>320027000</v>
      </c>
      <c r="D61" s="755">
        <f>D59+D60</f>
        <v>430981000</v>
      </c>
      <c r="E61" s="755">
        <f>E59+E60</f>
        <v>420445000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974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975</v>
      </c>
      <c r="C64" s="744">
        <v>58393000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976</v>
      </c>
      <c r="C65" s="752">
        <v>17163000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977</v>
      </c>
      <c r="C66" s="757">
        <f>C64+C65</f>
        <v>75556000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978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979</v>
      </c>
      <c r="C69" s="752">
        <v>279523000</v>
      </c>
      <c r="D69" s="752">
        <v>458209000</v>
      </c>
      <c r="E69" s="752">
        <v>480062000</v>
      </c>
    </row>
    <row r="70" spans="1:6" ht="26.1" customHeight="1" x14ac:dyDescent="0.25">
      <c r="A70" s="742">
        <v>2</v>
      </c>
      <c r="B70" s="743" t="s">
        <v>980</v>
      </c>
      <c r="C70" s="752">
        <v>82157000</v>
      </c>
      <c r="D70" s="752">
        <v>136462000</v>
      </c>
      <c r="E70" s="752">
        <v>134138000</v>
      </c>
    </row>
    <row r="71" spans="1:6" ht="26.1" customHeight="1" x14ac:dyDescent="0.25">
      <c r="A71" s="753">
        <v>3</v>
      </c>
      <c r="B71" s="754" t="s">
        <v>981</v>
      </c>
      <c r="C71" s="755">
        <f>C69+C70</f>
        <v>361680000</v>
      </c>
      <c r="D71" s="755">
        <f>D69+D70</f>
        <v>594671000</v>
      </c>
      <c r="E71" s="755">
        <f>E69+E70</f>
        <v>614200000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982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983</v>
      </c>
      <c r="C75" s="744">
        <f t="shared" ref="C75:E76" si="0">+C59+C64+C69</f>
        <v>585247000</v>
      </c>
      <c r="D75" s="744">
        <f t="shared" si="0"/>
        <v>790282000</v>
      </c>
      <c r="E75" s="744">
        <f t="shared" si="0"/>
        <v>808684000</v>
      </c>
    </row>
    <row r="76" spans="1:6" ht="26.1" customHeight="1" x14ac:dyDescent="0.25">
      <c r="A76" s="742">
        <v>2</v>
      </c>
      <c r="B76" s="743" t="s">
        <v>984</v>
      </c>
      <c r="C76" s="744">
        <f t="shared" si="0"/>
        <v>172016000</v>
      </c>
      <c r="D76" s="744">
        <f t="shared" si="0"/>
        <v>235370000</v>
      </c>
      <c r="E76" s="744">
        <f t="shared" si="0"/>
        <v>225961000</v>
      </c>
    </row>
    <row r="77" spans="1:6" ht="26.1" customHeight="1" x14ac:dyDescent="0.25">
      <c r="A77" s="753">
        <v>3</v>
      </c>
      <c r="B77" s="754" t="s">
        <v>982</v>
      </c>
      <c r="C77" s="757">
        <f>C75+C76</f>
        <v>757263000</v>
      </c>
      <c r="D77" s="757">
        <f>D75+D76</f>
        <v>1025652000</v>
      </c>
      <c r="E77" s="757">
        <f>E75+E76</f>
        <v>1034645000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985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3089</v>
      </c>
      <c r="D80" s="749">
        <v>4083</v>
      </c>
      <c r="E80" s="749">
        <v>4684.2</v>
      </c>
    </row>
    <row r="81" spans="1:5" ht="26.1" customHeight="1" x14ac:dyDescent="0.25">
      <c r="A81" s="742">
        <v>2</v>
      </c>
      <c r="B81" s="743" t="s">
        <v>617</v>
      </c>
      <c r="C81" s="749">
        <v>780.6</v>
      </c>
      <c r="D81" s="749">
        <v>0</v>
      </c>
      <c r="E81" s="749">
        <v>0</v>
      </c>
    </row>
    <row r="82" spans="1:5" ht="26.1" customHeight="1" x14ac:dyDescent="0.25">
      <c r="A82" s="742">
        <v>3</v>
      </c>
      <c r="B82" s="743" t="s">
        <v>986</v>
      </c>
      <c r="C82" s="749">
        <v>4281</v>
      </c>
      <c r="D82" s="749">
        <v>6988.7</v>
      </c>
      <c r="E82" s="749">
        <v>6194.4</v>
      </c>
    </row>
    <row r="83" spans="1:5" ht="26.1" customHeight="1" x14ac:dyDescent="0.25">
      <c r="A83" s="753">
        <v>4</v>
      </c>
      <c r="B83" s="754" t="s">
        <v>985</v>
      </c>
      <c r="C83" s="759">
        <f>C80+C81+C82</f>
        <v>8150.6</v>
      </c>
      <c r="D83" s="759">
        <f>D80+D81+D82</f>
        <v>11071.7</v>
      </c>
      <c r="E83" s="759">
        <f>E80+E81+E82</f>
        <v>10878.599999999999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987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988</v>
      </c>
      <c r="C86" s="752">
        <f>IF(C80=0,0,C59/C80)</f>
        <v>80068.306895435409</v>
      </c>
      <c r="D86" s="752">
        <f>IF(D80=0,0,D59/D80)</f>
        <v>81330.639235855982</v>
      </c>
      <c r="E86" s="752">
        <f>IF(E80=0,0,E59/E80)</f>
        <v>70155.416079586692</v>
      </c>
    </row>
    <row r="87" spans="1:5" ht="26.1" customHeight="1" x14ac:dyDescent="0.25">
      <c r="A87" s="742">
        <v>2</v>
      </c>
      <c r="B87" s="743" t="s">
        <v>989</v>
      </c>
      <c r="C87" s="752">
        <f>IF(C80=0,0,C60/C80)</f>
        <v>23533.829718355453</v>
      </c>
      <c r="D87" s="752">
        <f>IF(D80=0,0,D60/D80)</f>
        <v>24224.344844477098</v>
      </c>
      <c r="E87" s="752">
        <f>IF(E80=0,0,E60/E80)</f>
        <v>19602.706972375221</v>
      </c>
    </row>
    <row r="88" spans="1:5" ht="26.1" customHeight="1" x14ac:dyDescent="0.25">
      <c r="A88" s="753">
        <v>3</v>
      </c>
      <c r="B88" s="754" t="s">
        <v>990</v>
      </c>
      <c r="C88" s="755">
        <f>+C86+C87</f>
        <v>103602.13661379086</v>
      </c>
      <c r="D88" s="755">
        <f>+D86+D87</f>
        <v>105554.98408033309</v>
      </c>
      <c r="E88" s="755">
        <f>+E86+E87</f>
        <v>89758.123051961913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991</v>
      </c>
    </row>
    <row r="91" spans="1:5" ht="26.1" customHeight="1" x14ac:dyDescent="0.25">
      <c r="A91" s="742">
        <v>1</v>
      </c>
      <c r="B91" s="743" t="s">
        <v>992</v>
      </c>
      <c r="C91" s="744">
        <f>IF(C81=0,0,C64/C81)</f>
        <v>74805.277991288749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993</v>
      </c>
      <c r="C92" s="744">
        <f>IF(C81=0,0,C65/C81)</f>
        <v>21986.933128362798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994</v>
      </c>
      <c r="C93" s="757">
        <f>+C91+C92</f>
        <v>96792.211119651547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995</v>
      </c>
      <c r="B95" s="745" t="s">
        <v>996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997</v>
      </c>
      <c r="C96" s="752">
        <f>IF(C82=0,0,C69/C82)</f>
        <v>65293.856575566453</v>
      </c>
      <c r="D96" s="752">
        <f>IF(D82=0,0,D69/D82)</f>
        <v>65564.268032681328</v>
      </c>
      <c r="E96" s="752">
        <f>IF(E82=0,0,E69/E82)</f>
        <v>77499.35425545655</v>
      </c>
    </row>
    <row r="97" spans="1:5" ht="26.1" customHeight="1" x14ac:dyDescent="0.25">
      <c r="A97" s="742">
        <v>2</v>
      </c>
      <c r="B97" s="743" t="s">
        <v>998</v>
      </c>
      <c r="C97" s="752">
        <f>IF(C82=0,0,C70/C82)</f>
        <v>19191.07685120299</v>
      </c>
      <c r="D97" s="752">
        <f>IF(D82=0,0,D70/D82)</f>
        <v>19526.092120136793</v>
      </c>
      <c r="E97" s="752">
        <f>IF(E82=0,0,E70/E82)</f>
        <v>21654.720392612682</v>
      </c>
    </row>
    <row r="98" spans="1:5" ht="26.1" customHeight="1" x14ac:dyDescent="0.25">
      <c r="A98" s="753">
        <v>3</v>
      </c>
      <c r="B98" s="754" t="s">
        <v>999</v>
      </c>
      <c r="C98" s="757">
        <f>+C96+C97</f>
        <v>84484.93342676945</v>
      </c>
      <c r="D98" s="757">
        <f>+D96+D97</f>
        <v>85090.360152818117</v>
      </c>
      <c r="E98" s="757">
        <f>+E96+E97</f>
        <v>99154.074648069232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1000</v>
      </c>
      <c r="B100" s="745" t="s">
        <v>1001</v>
      </c>
    </row>
    <row r="101" spans="1:5" ht="26.1" customHeight="1" x14ac:dyDescent="0.25">
      <c r="A101" s="742">
        <v>1</v>
      </c>
      <c r="B101" s="743" t="s">
        <v>1002</v>
      </c>
      <c r="C101" s="744">
        <f>IF(C83=0,0,C75/C83)</f>
        <v>71804.161656810538</v>
      </c>
      <c r="D101" s="744">
        <f>IF(D83=0,0,D75/D83)</f>
        <v>71378.559751438341</v>
      </c>
      <c r="E101" s="744">
        <f>IF(E83=0,0,E75/E83)</f>
        <v>74337.138970088068</v>
      </c>
    </row>
    <row r="102" spans="1:5" ht="26.1" customHeight="1" x14ac:dyDescent="0.25">
      <c r="A102" s="742">
        <v>2</v>
      </c>
      <c r="B102" s="743" t="s">
        <v>1003</v>
      </c>
      <c r="C102" s="761">
        <f>IF(C83=0,0,C76/C83)</f>
        <v>21104.703948175593</v>
      </c>
      <c r="D102" s="761">
        <f>IF(D83=0,0,D76/D83)</f>
        <v>21258.70462530596</v>
      </c>
      <c r="E102" s="761">
        <f>IF(E83=0,0,E76/E83)</f>
        <v>20771.147022594821</v>
      </c>
    </row>
    <row r="103" spans="1:5" ht="26.1" customHeight="1" x14ac:dyDescent="0.25">
      <c r="A103" s="753">
        <v>3</v>
      </c>
      <c r="B103" s="754" t="s">
        <v>1001</v>
      </c>
      <c r="C103" s="757">
        <f>+C101+C102</f>
        <v>92908.865604986131</v>
      </c>
      <c r="D103" s="757">
        <f>+D101+D102</f>
        <v>92637.264376744308</v>
      </c>
      <c r="E103" s="757">
        <f>+E101+E102</f>
        <v>95108.285992682882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1004</v>
      </c>
      <c r="B107" s="736" t="s">
        <v>1005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1006</v>
      </c>
      <c r="C108" s="744">
        <f>IF(C19=0,0,C77/C19)</f>
        <v>2430.6541228129304</v>
      </c>
      <c r="D108" s="744">
        <f>IF(D19=0,0,D77/D19)</f>
        <v>2218.9741226561437</v>
      </c>
      <c r="E108" s="744">
        <f>IF(E19=0,0,E77/E19)</f>
        <v>2425.8115189383725</v>
      </c>
    </row>
    <row r="109" spans="1:5" ht="26.1" customHeight="1" x14ac:dyDescent="0.25">
      <c r="A109" s="742">
        <v>2</v>
      </c>
      <c r="B109" s="743" t="s">
        <v>1007</v>
      </c>
      <c r="C109" s="744">
        <f>IF(C20=0,0,C77/C20)</f>
        <v>12742.957627974287</v>
      </c>
      <c r="D109" s="744">
        <f>IF(D20=0,0,D77/D20)</f>
        <v>12740.543830664696</v>
      </c>
      <c r="E109" s="744">
        <f>IF(E20=0,0,E77/E20)</f>
        <v>13175.323765742593</v>
      </c>
    </row>
    <row r="110" spans="1:5" ht="26.1" customHeight="1" x14ac:dyDescent="0.25">
      <c r="A110" s="742">
        <v>3</v>
      </c>
      <c r="B110" s="743" t="s">
        <v>1008</v>
      </c>
      <c r="C110" s="744">
        <f>IF(C22=0,0,C77/C22)</f>
        <v>1453.7142646888551</v>
      </c>
      <c r="D110" s="744">
        <f>IF(D22=0,0,D77/D22)</f>
        <v>1249.2920489603273</v>
      </c>
      <c r="E110" s="744">
        <f>IF(E22=0,0,E77/E22)</f>
        <v>1317.6542501835829</v>
      </c>
    </row>
    <row r="111" spans="1:5" ht="26.1" customHeight="1" x14ac:dyDescent="0.25">
      <c r="A111" s="742">
        <v>4</v>
      </c>
      <c r="B111" s="743" t="s">
        <v>1009</v>
      </c>
      <c r="C111" s="744">
        <f>IF(C23=0,0,C77/C23)</f>
        <v>7621.2485784171704</v>
      </c>
      <c r="D111" s="744">
        <f>IF(D23=0,0,D77/D23)</f>
        <v>7172.9813991825577</v>
      </c>
      <c r="E111" s="744">
        <f>IF(E23=0,0,E77/E23)</f>
        <v>7156.5829504648063</v>
      </c>
    </row>
    <row r="112" spans="1:5" ht="26.1" customHeight="1" x14ac:dyDescent="0.25">
      <c r="A112" s="742">
        <v>5</v>
      </c>
      <c r="B112" s="743" t="s">
        <v>1010</v>
      </c>
      <c r="C112" s="744">
        <f>IF(C29=0,0,C77/C29)</f>
        <v>1016.3997692742888</v>
      </c>
      <c r="D112" s="744">
        <f>IF(D29=0,0,D77/D29)</f>
        <v>861.73414034046152</v>
      </c>
      <c r="E112" s="744">
        <f>IF(E29=0,0,E77/E29)</f>
        <v>875.08313898479764</v>
      </c>
    </row>
    <row r="113" spans="1:7" ht="25.5" customHeight="1" x14ac:dyDescent="0.25">
      <c r="A113" s="742">
        <v>6</v>
      </c>
      <c r="B113" s="743" t="s">
        <v>1011</v>
      </c>
      <c r="C113" s="744">
        <f>IF(C30=0,0,C77/C30)</f>
        <v>5328.5817473512761</v>
      </c>
      <c r="D113" s="744">
        <f>IF(D30=0,0,D77/D30)</f>
        <v>4947.7645878293688</v>
      </c>
      <c r="E113" s="744">
        <f>IF(E30=0,0,E77/E30)</f>
        <v>4752.8439815113006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FILING&amp;R&amp;"Arial,Bold"&amp;12YALE-NEW HAVEN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8243053000</v>
      </c>
      <c r="D12" s="76">
        <v>8384979000</v>
      </c>
      <c r="E12" s="76">
        <f t="shared" ref="E12:E21" si="0">D12-C12</f>
        <v>141926000</v>
      </c>
      <c r="F12" s="77">
        <f t="shared" ref="F12:F21" si="1">IF(C12=0,0,E12/C12)</f>
        <v>1.721764981979371E-2</v>
      </c>
    </row>
    <row r="13" spans="1:8" ht="23.1" customHeight="1" x14ac:dyDescent="0.2">
      <c r="A13" s="74">
        <v>2</v>
      </c>
      <c r="B13" s="75" t="s">
        <v>72</v>
      </c>
      <c r="C13" s="76">
        <v>5808321000</v>
      </c>
      <c r="D13" s="76">
        <v>5797975000</v>
      </c>
      <c r="E13" s="76">
        <f t="shared" si="0"/>
        <v>-10346000</v>
      </c>
      <c r="F13" s="77">
        <f t="shared" si="1"/>
        <v>-1.7812376416523812E-3</v>
      </c>
    </row>
    <row r="14" spans="1:8" ht="23.1" customHeight="1" x14ac:dyDescent="0.2">
      <c r="A14" s="74">
        <v>3</v>
      </c>
      <c r="B14" s="75" t="s">
        <v>73</v>
      </c>
      <c r="C14" s="76">
        <v>87167000</v>
      </c>
      <c r="D14" s="76">
        <v>176887000</v>
      </c>
      <c r="E14" s="76">
        <f t="shared" si="0"/>
        <v>89720000</v>
      </c>
      <c r="F14" s="77">
        <f t="shared" si="1"/>
        <v>1.0292886069269334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2347565000</v>
      </c>
      <c r="D16" s="79">
        <f>D12-D13-D14-D15</f>
        <v>2410117000</v>
      </c>
      <c r="E16" s="79">
        <f t="shared" si="0"/>
        <v>62552000</v>
      </c>
      <c r="F16" s="80">
        <f t="shared" si="1"/>
        <v>2.6645481594758824E-2</v>
      </c>
    </row>
    <row r="17" spans="1:7" ht="23.1" customHeight="1" x14ac:dyDescent="0.2">
      <c r="A17" s="74">
        <v>5</v>
      </c>
      <c r="B17" s="75" t="s">
        <v>76</v>
      </c>
      <c r="C17" s="76">
        <v>64649000</v>
      </c>
      <c r="D17" s="76">
        <v>71764000</v>
      </c>
      <c r="E17" s="76">
        <f t="shared" si="0"/>
        <v>7115000</v>
      </c>
      <c r="F17" s="77">
        <f t="shared" si="1"/>
        <v>0.11005583999752509</v>
      </c>
      <c r="G17" s="65"/>
    </row>
    <row r="18" spans="1:7" ht="31.5" customHeight="1" x14ac:dyDescent="0.25">
      <c r="A18" s="71"/>
      <c r="B18" s="81" t="s">
        <v>77</v>
      </c>
      <c r="C18" s="79">
        <f>C16-C17</f>
        <v>2282916000</v>
      </c>
      <c r="D18" s="79">
        <f>D16-D17</f>
        <v>2338353000</v>
      </c>
      <c r="E18" s="79">
        <f t="shared" si="0"/>
        <v>55437000</v>
      </c>
      <c r="F18" s="80">
        <f t="shared" si="1"/>
        <v>2.4283416472616601E-2</v>
      </c>
    </row>
    <row r="19" spans="1:7" ht="23.1" customHeight="1" x14ac:dyDescent="0.2">
      <c r="A19" s="74">
        <v>6</v>
      </c>
      <c r="B19" s="75" t="s">
        <v>78</v>
      </c>
      <c r="C19" s="76">
        <v>45534000</v>
      </c>
      <c r="D19" s="76">
        <v>54578000</v>
      </c>
      <c r="E19" s="76">
        <f t="shared" si="0"/>
        <v>9044000</v>
      </c>
      <c r="F19" s="77">
        <f t="shared" si="1"/>
        <v>0.19862081082268196</v>
      </c>
      <c r="G19" s="65"/>
    </row>
    <row r="20" spans="1:7" ht="33" customHeight="1" x14ac:dyDescent="0.2">
      <c r="A20" s="74">
        <v>7</v>
      </c>
      <c r="B20" s="82" t="s">
        <v>79</v>
      </c>
      <c r="C20" s="76">
        <v>13099000</v>
      </c>
      <c r="D20" s="76">
        <v>8973000</v>
      </c>
      <c r="E20" s="76">
        <f t="shared" si="0"/>
        <v>-4126000</v>
      </c>
      <c r="F20" s="77">
        <f t="shared" si="1"/>
        <v>-0.31498587678448736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2341549000</v>
      </c>
      <c r="D21" s="79">
        <f>SUM(D18:D20)</f>
        <v>2401904000</v>
      </c>
      <c r="E21" s="79">
        <f t="shared" si="0"/>
        <v>60355000</v>
      </c>
      <c r="F21" s="80">
        <f t="shared" si="1"/>
        <v>2.5775672428806743E-2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790282000</v>
      </c>
      <c r="D24" s="76">
        <v>808684000</v>
      </c>
      <c r="E24" s="76">
        <f t="shared" ref="E24:E33" si="2">D24-C24</f>
        <v>18402000</v>
      </c>
      <c r="F24" s="77">
        <f t="shared" ref="F24:F33" si="3">IF(C24=0,0,E24/C24)</f>
        <v>2.3285358897203783E-2</v>
      </c>
    </row>
    <row r="25" spans="1:7" ht="23.1" customHeight="1" x14ac:dyDescent="0.2">
      <c r="A25" s="74">
        <v>2</v>
      </c>
      <c r="B25" s="75" t="s">
        <v>83</v>
      </c>
      <c r="C25" s="76">
        <v>235370000</v>
      </c>
      <c r="D25" s="76">
        <v>225961000</v>
      </c>
      <c r="E25" s="76">
        <f t="shared" si="2"/>
        <v>-9409000</v>
      </c>
      <c r="F25" s="77">
        <f t="shared" si="3"/>
        <v>-3.9975357947062071E-2</v>
      </c>
    </row>
    <row r="26" spans="1:7" ht="23.1" customHeight="1" x14ac:dyDescent="0.2">
      <c r="A26" s="74">
        <v>3</v>
      </c>
      <c r="B26" s="75" t="s">
        <v>84</v>
      </c>
      <c r="C26" s="76">
        <v>81204000</v>
      </c>
      <c r="D26" s="76">
        <v>86460000</v>
      </c>
      <c r="E26" s="76">
        <f t="shared" si="2"/>
        <v>5256000</v>
      </c>
      <c r="F26" s="77">
        <f t="shared" si="3"/>
        <v>6.4725875572631889E-2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377459000</v>
      </c>
      <c r="D27" s="76">
        <v>376009000</v>
      </c>
      <c r="E27" s="76">
        <f t="shared" si="2"/>
        <v>-1450000</v>
      </c>
      <c r="F27" s="77">
        <f t="shared" si="3"/>
        <v>-3.8414768226482875E-3</v>
      </c>
    </row>
    <row r="28" spans="1:7" ht="23.1" customHeight="1" x14ac:dyDescent="0.2">
      <c r="A28" s="74">
        <v>5</v>
      </c>
      <c r="B28" s="75" t="s">
        <v>86</v>
      </c>
      <c r="C28" s="76">
        <v>107957000</v>
      </c>
      <c r="D28" s="76">
        <v>122543000</v>
      </c>
      <c r="E28" s="76">
        <f t="shared" si="2"/>
        <v>14586000</v>
      </c>
      <c r="F28" s="77">
        <f t="shared" si="3"/>
        <v>0.13510934909269431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23920000</v>
      </c>
      <c r="D30" s="76">
        <v>23742000</v>
      </c>
      <c r="E30" s="76">
        <f t="shared" si="2"/>
        <v>-178000</v>
      </c>
      <c r="F30" s="77">
        <f t="shared" si="3"/>
        <v>-7.4414715719063546E-3</v>
      </c>
    </row>
    <row r="31" spans="1:7" ht="23.1" customHeight="1" x14ac:dyDescent="0.2">
      <c r="A31" s="74">
        <v>8</v>
      </c>
      <c r="B31" s="75" t="s">
        <v>89</v>
      </c>
      <c r="C31" s="76">
        <v>16165000</v>
      </c>
      <c r="D31" s="76">
        <v>12248000</v>
      </c>
      <c r="E31" s="76">
        <f t="shared" si="2"/>
        <v>-3917000</v>
      </c>
      <c r="F31" s="77">
        <f t="shared" si="3"/>
        <v>-0.24231364058150326</v>
      </c>
    </row>
    <row r="32" spans="1:7" ht="23.1" customHeight="1" x14ac:dyDescent="0.2">
      <c r="A32" s="74">
        <v>9</v>
      </c>
      <c r="B32" s="75" t="s">
        <v>90</v>
      </c>
      <c r="C32" s="76">
        <v>604316000</v>
      </c>
      <c r="D32" s="76">
        <v>611711000</v>
      </c>
      <c r="E32" s="76">
        <f t="shared" si="2"/>
        <v>7395000</v>
      </c>
      <c r="F32" s="77">
        <f t="shared" si="3"/>
        <v>1.2236975357263419E-2</v>
      </c>
    </row>
    <row r="33" spans="1:6" ht="23.1" customHeight="1" x14ac:dyDescent="0.25">
      <c r="A33" s="71"/>
      <c r="B33" s="78" t="s">
        <v>91</v>
      </c>
      <c r="C33" s="79">
        <f>SUM(C24:C32)</f>
        <v>2236673000</v>
      </c>
      <c r="D33" s="79">
        <f>SUM(D24:D32)</f>
        <v>2267358000</v>
      </c>
      <c r="E33" s="79">
        <f t="shared" si="2"/>
        <v>30685000</v>
      </c>
      <c r="F33" s="80">
        <f t="shared" si="3"/>
        <v>1.3719037159209236E-2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104876000</v>
      </c>
      <c r="D35" s="79">
        <f>+D21-D33</f>
        <v>134546000</v>
      </c>
      <c r="E35" s="79">
        <f>D35-C35</f>
        <v>29670000</v>
      </c>
      <c r="F35" s="80">
        <f>IF(C35=0,0,E35/C35)</f>
        <v>0.2829055265265647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7300000</v>
      </c>
      <c r="D38" s="76">
        <v>3195000</v>
      </c>
      <c r="E38" s="76">
        <f>D38-C38</f>
        <v>-4105000</v>
      </c>
      <c r="F38" s="77">
        <f>IF(C38=0,0,E38/C38)</f>
        <v>-0.56232876712328772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16263000</v>
      </c>
      <c r="D40" s="76">
        <v>-16357000</v>
      </c>
      <c r="E40" s="76">
        <f>D40-C40</f>
        <v>-32620000</v>
      </c>
      <c r="F40" s="77">
        <f>IF(C40=0,0,E40/C40)</f>
        <v>-2.0057799913915022</v>
      </c>
    </row>
    <row r="41" spans="1:6" ht="23.1" customHeight="1" x14ac:dyDescent="0.25">
      <c r="A41" s="83"/>
      <c r="B41" s="78" t="s">
        <v>97</v>
      </c>
      <c r="C41" s="79">
        <f>SUM(C38:C40)</f>
        <v>23563000</v>
      </c>
      <c r="D41" s="79">
        <f>SUM(D38:D40)</f>
        <v>-13162000</v>
      </c>
      <c r="E41" s="79">
        <f>D41-C41</f>
        <v>-36725000</v>
      </c>
      <c r="F41" s="80">
        <f>IF(C41=0,0,E41/C41)</f>
        <v>-1.558587616177906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128439000</v>
      </c>
      <c r="D43" s="79">
        <f>D35+D41</f>
        <v>121384000</v>
      </c>
      <c r="E43" s="79">
        <f>D43-C43</f>
        <v>-7055000</v>
      </c>
      <c r="F43" s="80">
        <f>IF(C43=0,0,E43/C43)</f>
        <v>-5.4928798885073848E-2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50283000</v>
      </c>
      <c r="D46" s="76">
        <v>75949000</v>
      </c>
      <c r="E46" s="76">
        <f>D46-C46</f>
        <v>25666000</v>
      </c>
      <c r="F46" s="77">
        <f>IF(C46=0,0,E46/C46)</f>
        <v>0.51043096076208661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-32631000</v>
      </c>
      <c r="E47" s="76">
        <f>D47-C47</f>
        <v>-32631000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50283000</v>
      </c>
      <c r="D48" s="79">
        <f>SUM(D46:D47)</f>
        <v>43318000</v>
      </c>
      <c r="E48" s="79">
        <f>D48-C48</f>
        <v>-6965000</v>
      </c>
      <c r="F48" s="80">
        <f>IF(C48=0,0,E48/C48)</f>
        <v>-0.13851599944315177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178722000</v>
      </c>
      <c r="D50" s="79">
        <f>D43+D48</f>
        <v>164702000</v>
      </c>
      <c r="E50" s="79">
        <f>D50-C50</f>
        <v>-14020000</v>
      </c>
      <c r="F50" s="80">
        <f>IF(C50=0,0,E50/C50)</f>
        <v>-7.8445854455523101E-2</v>
      </c>
    </row>
    <row r="51" spans="1:6" ht="23.1" customHeight="1" x14ac:dyDescent="0.2">
      <c r="A51" s="85"/>
      <c r="B51" s="75" t="s">
        <v>104</v>
      </c>
      <c r="C51" s="76">
        <v>10640000</v>
      </c>
      <c r="D51" s="76">
        <v>484157000</v>
      </c>
      <c r="E51" s="76">
        <f>D51-C51</f>
        <v>473517000</v>
      </c>
      <c r="F51" s="77">
        <f>IF(C51=0,0,E51/C51)</f>
        <v>44.503477443609022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FILING&amp;RYALE-NEW HAVEN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1511593859</v>
      </c>
      <c r="D14" s="113">
        <v>1524772902</v>
      </c>
      <c r="E14" s="113">
        <f t="shared" ref="E14:E25" si="0">D14-C14</f>
        <v>13179043</v>
      </c>
      <c r="F14" s="114">
        <f t="shared" ref="F14:F25" si="1">IF(C14=0,0,E14/C14)</f>
        <v>8.7186402098237154E-3</v>
      </c>
    </row>
    <row r="15" spans="1:6" x14ac:dyDescent="0.2">
      <c r="A15" s="115">
        <v>2</v>
      </c>
      <c r="B15" s="116" t="s">
        <v>114</v>
      </c>
      <c r="C15" s="113">
        <v>417417649</v>
      </c>
      <c r="D15" s="113">
        <v>445662284</v>
      </c>
      <c r="E15" s="113">
        <f t="shared" si="0"/>
        <v>28244635</v>
      </c>
      <c r="F15" s="114">
        <f t="shared" si="1"/>
        <v>6.7665167171692825E-2</v>
      </c>
    </row>
    <row r="16" spans="1:6" x14ac:dyDescent="0.2">
      <c r="A16" s="115">
        <v>3</v>
      </c>
      <c r="B16" s="116" t="s">
        <v>115</v>
      </c>
      <c r="C16" s="113">
        <v>1155720092</v>
      </c>
      <c r="D16" s="113">
        <v>1096846915</v>
      </c>
      <c r="E16" s="113">
        <f t="shared" si="0"/>
        <v>-58873177</v>
      </c>
      <c r="F16" s="114">
        <f t="shared" si="1"/>
        <v>-5.094068832715249E-2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25246609</v>
      </c>
      <c r="D18" s="113">
        <v>25295301</v>
      </c>
      <c r="E18" s="113">
        <f t="shared" si="0"/>
        <v>48692</v>
      </c>
      <c r="F18" s="114">
        <f t="shared" si="1"/>
        <v>1.9286550522487991E-3</v>
      </c>
    </row>
    <row r="19" spans="1:6" x14ac:dyDescent="0.2">
      <c r="A19" s="115">
        <v>6</v>
      </c>
      <c r="B19" s="116" t="s">
        <v>118</v>
      </c>
      <c r="C19" s="113">
        <v>115719898</v>
      </c>
      <c r="D19" s="113">
        <v>72386489</v>
      </c>
      <c r="E19" s="113">
        <f t="shared" si="0"/>
        <v>-43333409</v>
      </c>
      <c r="F19" s="114">
        <f t="shared" si="1"/>
        <v>-0.3744680884526877</v>
      </c>
    </row>
    <row r="20" spans="1:6" x14ac:dyDescent="0.2">
      <c r="A20" s="115">
        <v>7</v>
      </c>
      <c r="B20" s="116" t="s">
        <v>119</v>
      </c>
      <c r="C20" s="113">
        <v>1344796494</v>
      </c>
      <c r="D20" s="113">
        <v>1301902106</v>
      </c>
      <c r="E20" s="113">
        <f t="shared" si="0"/>
        <v>-42894388</v>
      </c>
      <c r="F20" s="114">
        <f t="shared" si="1"/>
        <v>-3.1896564418021155E-2</v>
      </c>
    </row>
    <row r="21" spans="1:6" x14ac:dyDescent="0.2">
      <c r="A21" s="115">
        <v>8</v>
      </c>
      <c r="B21" s="116" t="s">
        <v>120</v>
      </c>
      <c r="C21" s="113">
        <v>22975395</v>
      </c>
      <c r="D21" s="113">
        <v>21931934</v>
      </c>
      <c r="E21" s="113">
        <f t="shared" si="0"/>
        <v>-1043461</v>
      </c>
      <c r="F21" s="114">
        <f t="shared" si="1"/>
        <v>-4.541645529924513E-2</v>
      </c>
    </row>
    <row r="22" spans="1:6" x14ac:dyDescent="0.2">
      <c r="A22" s="115">
        <v>9</v>
      </c>
      <c r="B22" s="116" t="s">
        <v>121</v>
      </c>
      <c r="C22" s="113">
        <v>47404499</v>
      </c>
      <c r="D22" s="113">
        <v>65761465</v>
      </c>
      <c r="E22" s="113">
        <f t="shared" si="0"/>
        <v>18356966</v>
      </c>
      <c r="F22" s="114">
        <f t="shared" si="1"/>
        <v>0.3872410084958392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4640874495</v>
      </c>
      <c r="D25" s="119">
        <f>SUM(D14:D24)</f>
        <v>4554559396</v>
      </c>
      <c r="E25" s="119">
        <f t="shared" si="0"/>
        <v>-86315099</v>
      </c>
      <c r="F25" s="120">
        <f t="shared" si="1"/>
        <v>-1.8598886716931138E-2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998159164</v>
      </c>
      <c r="D27" s="113">
        <v>1147646596</v>
      </c>
      <c r="E27" s="113">
        <f t="shared" ref="E27:E38" si="2">D27-C27</f>
        <v>149487432</v>
      </c>
      <c r="F27" s="114">
        <f t="shared" ref="F27:F38" si="3">IF(C27=0,0,E27/C27)</f>
        <v>0.14976312134524469</v>
      </c>
    </row>
    <row r="28" spans="1:6" x14ac:dyDescent="0.2">
      <c r="A28" s="115">
        <v>2</v>
      </c>
      <c r="B28" s="116" t="s">
        <v>114</v>
      </c>
      <c r="C28" s="113">
        <v>272010248</v>
      </c>
      <c r="D28" s="113">
        <v>288216101</v>
      </c>
      <c r="E28" s="113">
        <f t="shared" si="2"/>
        <v>16205853</v>
      </c>
      <c r="F28" s="114">
        <f t="shared" si="3"/>
        <v>5.9578097219337121E-2</v>
      </c>
    </row>
    <row r="29" spans="1:6" x14ac:dyDescent="0.2">
      <c r="A29" s="115">
        <v>3</v>
      </c>
      <c r="B29" s="116" t="s">
        <v>115</v>
      </c>
      <c r="C29" s="113">
        <v>653663080</v>
      </c>
      <c r="D29" s="113">
        <v>697483038</v>
      </c>
      <c r="E29" s="113">
        <f t="shared" si="2"/>
        <v>43819958</v>
      </c>
      <c r="F29" s="114">
        <f t="shared" si="3"/>
        <v>6.7037529486903252E-2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15430638</v>
      </c>
      <c r="D31" s="113">
        <v>22072889</v>
      </c>
      <c r="E31" s="113">
        <f t="shared" si="2"/>
        <v>6642251</v>
      </c>
      <c r="F31" s="114">
        <f t="shared" si="3"/>
        <v>0.43045861097901461</v>
      </c>
    </row>
    <row r="32" spans="1:6" x14ac:dyDescent="0.2">
      <c r="A32" s="115">
        <v>6</v>
      </c>
      <c r="B32" s="116" t="s">
        <v>118</v>
      </c>
      <c r="C32" s="113">
        <v>115707599</v>
      </c>
      <c r="D32" s="113">
        <v>75808339</v>
      </c>
      <c r="E32" s="113">
        <f t="shared" si="2"/>
        <v>-39899260</v>
      </c>
      <c r="F32" s="114">
        <f t="shared" si="3"/>
        <v>-0.34482834614863972</v>
      </c>
    </row>
    <row r="33" spans="1:6" x14ac:dyDescent="0.2">
      <c r="A33" s="115">
        <v>7</v>
      </c>
      <c r="B33" s="116" t="s">
        <v>119</v>
      </c>
      <c r="C33" s="113">
        <v>1415864727</v>
      </c>
      <c r="D33" s="113">
        <v>1484681453</v>
      </c>
      <c r="E33" s="113">
        <f t="shared" si="2"/>
        <v>68816726</v>
      </c>
      <c r="F33" s="114">
        <f t="shared" si="3"/>
        <v>4.8604025997463808E-2</v>
      </c>
    </row>
    <row r="34" spans="1:6" x14ac:dyDescent="0.2">
      <c r="A34" s="115">
        <v>8</v>
      </c>
      <c r="B34" s="116" t="s">
        <v>120</v>
      </c>
      <c r="C34" s="113">
        <v>17565203</v>
      </c>
      <c r="D34" s="113">
        <v>19648951</v>
      </c>
      <c r="E34" s="113">
        <f t="shared" si="2"/>
        <v>2083748</v>
      </c>
      <c r="F34" s="114">
        <f t="shared" si="3"/>
        <v>0.11862931501560216</v>
      </c>
    </row>
    <row r="35" spans="1:6" x14ac:dyDescent="0.2">
      <c r="A35" s="115">
        <v>9</v>
      </c>
      <c r="B35" s="116" t="s">
        <v>121</v>
      </c>
      <c r="C35" s="113">
        <v>113777717</v>
      </c>
      <c r="D35" s="113">
        <v>94861804</v>
      </c>
      <c r="E35" s="113">
        <f t="shared" si="2"/>
        <v>-18915913</v>
      </c>
      <c r="F35" s="114">
        <f t="shared" si="3"/>
        <v>-0.16625323041066117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3602178376</v>
      </c>
      <c r="D38" s="119">
        <f>SUM(D27:D37)</f>
        <v>3830419171</v>
      </c>
      <c r="E38" s="119">
        <f t="shared" si="2"/>
        <v>228240795</v>
      </c>
      <c r="F38" s="120">
        <f t="shared" si="3"/>
        <v>6.3361880277968782E-2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2509753023</v>
      </c>
      <c r="D41" s="119">
        <f t="shared" si="4"/>
        <v>2672419498</v>
      </c>
      <c r="E41" s="123">
        <f t="shared" ref="E41:E52" si="5">D41-C41</f>
        <v>162666475</v>
      </c>
      <c r="F41" s="124">
        <f t="shared" ref="F41:F52" si="6">IF(C41=0,0,E41/C41)</f>
        <v>6.4813738048837485E-2</v>
      </c>
    </row>
    <row r="42" spans="1:6" ht="15.75" x14ac:dyDescent="0.25">
      <c r="A42" s="121">
        <v>2</v>
      </c>
      <c r="B42" s="122" t="s">
        <v>114</v>
      </c>
      <c r="C42" s="119">
        <f t="shared" si="4"/>
        <v>689427897</v>
      </c>
      <c r="D42" s="119">
        <f t="shared" si="4"/>
        <v>733878385</v>
      </c>
      <c r="E42" s="123">
        <f t="shared" si="5"/>
        <v>44450488</v>
      </c>
      <c r="F42" s="124">
        <f t="shared" si="6"/>
        <v>6.4474455114774676E-2</v>
      </c>
    </row>
    <row r="43" spans="1:6" ht="15.75" x14ac:dyDescent="0.25">
      <c r="A43" s="121">
        <v>3</v>
      </c>
      <c r="B43" s="122" t="s">
        <v>115</v>
      </c>
      <c r="C43" s="119">
        <f t="shared" si="4"/>
        <v>1809383172</v>
      </c>
      <c r="D43" s="119">
        <f t="shared" si="4"/>
        <v>1794329953</v>
      </c>
      <c r="E43" s="123">
        <f t="shared" si="5"/>
        <v>-15053219</v>
      </c>
      <c r="F43" s="124">
        <f t="shared" si="6"/>
        <v>-8.3195307842732612E-3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40677247</v>
      </c>
      <c r="D45" s="119">
        <f t="shared" si="4"/>
        <v>47368190</v>
      </c>
      <c r="E45" s="123">
        <f t="shared" si="5"/>
        <v>6690943</v>
      </c>
      <c r="F45" s="124">
        <f t="shared" si="6"/>
        <v>0.16448858989891818</v>
      </c>
    </row>
    <row r="46" spans="1:6" ht="15.75" x14ac:dyDescent="0.25">
      <c r="A46" s="121">
        <v>6</v>
      </c>
      <c r="B46" s="122" t="s">
        <v>118</v>
      </c>
      <c r="C46" s="119">
        <f t="shared" si="4"/>
        <v>231427497</v>
      </c>
      <c r="D46" s="119">
        <f t="shared" si="4"/>
        <v>148194828</v>
      </c>
      <c r="E46" s="123">
        <f t="shared" si="5"/>
        <v>-83232669</v>
      </c>
      <c r="F46" s="124">
        <f t="shared" si="6"/>
        <v>-0.35964900488899121</v>
      </c>
    </row>
    <row r="47" spans="1:6" ht="15.75" x14ac:dyDescent="0.25">
      <c r="A47" s="121">
        <v>7</v>
      </c>
      <c r="B47" s="122" t="s">
        <v>119</v>
      </c>
      <c r="C47" s="119">
        <f t="shared" si="4"/>
        <v>2760661221</v>
      </c>
      <c r="D47" s="119">
        <f t="shared" si="4"/>
        <v>2786583559</v>
      </c>
      <c r="E47" s="123">
        <f t="shared" si="5"/>
        <v>25922338</v>
      </c>
      <c r="F47" s="124">
        <f t="shared" si="6"/>
        <v>9.3899018839443474E-3</v>
      </c>
    </row>
    <row r="48" spans="1:6" ht="15.75" x14ac:dyDescent="0.25">
      <c r="A48" s="121">
        <v>8</v>
      </c>
      <c r="B48" s="122" t="s">
        <v>120</v>
      </c>
      <c r="C48" s="119">
        <f t="shared" si="4"/>
        <v>40540598</v>
      </c>
      <c r="D48" s="119">
        <f t="shared" si="4"/>
        <v>41580885</v>
      </c>
      <c r="E48" s="123">
        <f t="shared" si="5"/>
        <v>1040287</v>
      </c>
      <c r="F48" s="124">
        <f t="shared" si="6"/>
        <v>2.5660376297359993E-2</v>
      </c>
    </row>
    <row r="49" spans="1:6" ht="15.75" x14ac:dyDescent="0.25">
      <c r="A49" s="121">
        <v>9</v>
      </c>
      <c r="B49" s="122" t="s">
        <v>121</v>
      </c>
      <c r="C49" s="119">
        <f t="shared" si="4"/>
        <v>161182216</v>
      </c>
      <c r="D49" s="119">
        <f t="shared" si="4"/>
        <v>160623269</v>
      </c>
      <c r="E49" s="123">
        <f t="shared" si="5"/>
        <v>-558947</v>
      </c>
      <c r="F49" s="124">
        <f t="shared" si="6"/>
        <v>-3.4677957275385768E-3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8243052871</v>
      </c>
      <c r="D52" s="128">
        <f>SUM(D41:D51)</f>
        <v>8384978567</v>
      </c>
      <c r="E52" s="127">
        <f t="shared" si="5"/>
        <v>141925696</v>
      </c>
      <c r="F52" s="129">
        <f t="shared" si="6"/>
        <v>1.7217613209701808E-2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418338611</v>
      </c>
      <c r="D57" s="113">
        <v>426581340</v>
      </c>
      <c r="E57" s="113">
        <f t="shared" ref="E57:E68" si="7">D57-C57</f>
        <v>8242729</v>
      </c>
      <c r="F57" s="114">
        <f t="shared" ref="F57:F68" si="8">IF(C57=0,0,E57/C57)</f>
        <v>1.9703486083430151E-2</v>
      </c>
    </row>
    <row r="58" spans="1:6" x14ac:dyDescent="0.2">
      <c r="A58" s="115">
        <v>2</v>
      </c>
      <c r="B58" s="116" t="s">
        <v>114</v>
      </c>
      <c r="C58" s="113">
        <v>120378904</v>
      </c>
      <c r="D58" s="113">
        <v>136536116</v>
      </c>
      <c r="E58" s="113">
        <f t="shared" si="7"/>
        <v>16157212</v>
      </c>
      <c r="F58" s="114">
        <f t="shared" si="8"/>
        <v>0.13421963037643206</v>
      </c>
    </row>
    <row r="59" spans="1:6" x14ac:dyDescent="0.2">
      <c r="A59" s="115">
        <v>3</v>
      </c>
      <c r="B59" s="116" t="s">
        <v>115</v>
      </c>
      <c r="C59" s="113">
        <v>187684822</v>
      </c>
      <c r="D59" s="113">
        <v>115925541</v>
      </c>
      <c r="E59" s="113">
        <f t="shared" si="7"/>
        <v>-71759281</v>
      </c>
      <c r="F59" s="114">
        <f t="shared" si="8"/>
        <v>-0.38233928687105023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4797029</v>
      </c>
      <c r="D61" s="113">
        <v>2112365</v>
      </c>
      <c r="E61" s="113">
        <f t="shared" si="7"/>
        <v>-2684664</v>
      </c>
      <c r="F61" s="114">
        <f t="shared" si="8"/>
        <v>-0.55965140089834775</v>
      </c>
    </row>
    <row r="62" spans="1:6" x14ac:dyDescent="0.2">
      <c r="A62" s="115">
        <v>6</v>
      </c>
      <c r="B62" s="116" t="s">
        <v>118</v>
      </c>
      <c r="C62" s="113">
        <v>47819948</v>
      </c>
      <c r="D62" s="113">
        <v>36396661</v>
      </c>
      <c r="E62" s="113">
        <f t="shared" si="7"/>
        <v>-11423287</v>
      </c>
      <c r="F62" s="114">
        <f t="shared" si="8"/>
        <v>-0.23888120915564359</v>
      </c>
    </row>
    <row r="63" spans="1:6" x14ac:dyDescent="0.2">
      <c r="A63" s="115">
        <v>7</v>
      </c>
      <c r="B63" s="116" t="s">
        <v>119</v>
      </c>
      <c r="C63" s="113">
        <v>496680697</v>
      </c>
      <c r="D63" s="113">
        <v>571261737</v>
      </c>
      <c r="E63" s="113">
        <f t="shared" si="7"/>
        <v>74581040</v>
      </c>
      <c r="F63" s="114">
        <f t="shared" si="8"/>
        <v>0.1501589259467436</v>
      </c>
    </row>
    <row r="64" spans="1:6" x14ac:dyDescent="0.2">
      <c r="A64" s="115">
        <v>8</v>
      </c>
      <c r="B64" s="116" t="s">
        <v>120</v>
      </c>
      <c r="C64" s="113">
        <v>9927679</v>
      </c>
      <c r="D64" s="113">
        <v>6016962</v>
      </c>
      <c r="E64" s="113">
        <f t="shared" si="7"/>
        <v>-3910717</v>
      </c>
      <c r="F64" s="114">
        <f t="shared" si="8"/>
        <v>-0.39392057297581839</v>
      </c>
    </row>
    <row r="65" spans="1:6" x14ac:dyDescent="0.2">
      <c r="A65" s="115">
        <v>9</v>
      </c>
      <c r="B65" s="116" t="s">
        <v>121</v>
      </c>
      <c r="C65" s="113">
        <v>6033320</v>
      </c>
      <c r="D65" s="113">
        <v>12191274</v>
      </c>
      <c r="E65" s="113">
        <f t="shared" si="7"/>
        <v>6157954</v>
      </c>
      <c r="F65" s="114">
        <f t="shared" si="8"/>
        <v>1.0206576147129607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1291661010</v>
      </c>
      <c r="D68" s="119">
        <f>SUM(D57:D67)</f>
        <v>1307021996</v>
      </c>
      <c r="E68" s="119">
        <f t="shared" si="7"/>
        <v>15360986</v>
      </c>
      <c r="F68" s="120">
        <f t="shared" si="8"/>
        <v>1.1892428339228107E-2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134929616</v>
      </c>
      <c r="D70" s="113">
        <v>167389985</v>
      </c>
      <c r="E70" s="113">
        <f t="shared" ref="E70:E81" si="9">D70-C70</f>
        <v>32460369</v>
      </c>
      <c r="F70" s="114">
        <f t="shared" ref="F70:F81" si="10">IF(C70=0,0,E70/C70)</f>
        <v>0.24057260342310616</v>
      </c>
    </row>
    <row r="71" spans="1:6" x14ac:dyDescent="0.2">
      <c r="A71" s="115">
        <v>2</v>
      </c>
      <c r="B71" s="116" t="s">
        <v>114</v>
      </c>
      <c r="C71" s="113">
        <v>42306504</v>
      </c>
      <c r="D71" s="113">
        <v>46713610</v>
      </c>
      <c r="E71" s="113">
        <f t="shared" si="9"/>
        <v>4407106</v>
      </c>
      <c r="F71" s="114">
        <f t="shared" si="10"/>
        <v>0.10417088587608184</v>
      </c>
    </row>
    <row r="72" spans="1:6" x14ac:dyDescent="0.2">
      <c r="A72" s="115">
        <v>3</v>
      </c>
      <c r="B72" s="116" t="s">
        <v>115</v>
      </c>
      <c r="C72" s="113">
        <v>149393789</v>
      </c>
      <c r="D72" s="113">
        <v>97347700</v>
      </c>
      <c r="E72" s="113">
        <f t="shared" si="9"/>
        <v>-52046089</v>
      </c>
      <c r="F72" s="114">
        <f t="shared" si="10"/>
        <v>-0.34838187951709293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1970886</v>
      </c>
      <c r="D74" s="113">
        <v>2274341</v>
      </c>
      <c r="E74" s="113">
        <f t="shared" si="9"/>
        <v>303455</v>
      </c>
      <c r="F74" s="114">
        <f t="shared" si="10"/>
        <v>0.15396882417349356</v>
      </c>
    </row>
    <row r="75" spans="1:6" x14ac:dyDescent="0.2">
      <c r="A75" s="115">
        <v>6</v>
      </c>
      <c r="B75" s="116" t="s">
        <v>118</v>
      </c>
      <c r="C75" s="113">
        <v>51309655</v>
      </c>
      <c r="D75" s="113">
        <v>56392408</v>
      </c>
      <c r="E75" s="113">
        <f t="shared" si="9"/>
        <v>5082753</v>
      </c>
      <c r="F75" s="114">
        <f t="shared" si="10"/>
        <v>9.906036203127852E-2</v>
      </c>
    </row>
    <row r="76" spans="1:6" x14ac:dyDescent="0.2">
      <c r="A76" s="115">
        <v>7</v>
      </c>
      <c r="B76" s="116" t="s">
        <v>119</v>
      </c>
      <c r="C76" s="113">
        <v>594813395</v>
      </c>
      <c r="D76" s="113">
        <v>612399509</v>
      </c>
      <c r="E76" s="113">
        <f t="shared" si="9"/>
        <v>17586114</v>
      </c>
      <c r="F76" s="114">
        <f t="shared" si="10"/>
        <v>2.9565766588023797E-2</v>
      </c>
    </row>
    <row r="77" spans="1:6" x14ac:dyDescent="0.2">
      <c r="A77" s="115">
        <v>8</v>
      </c>
      <c r="B77" s="116" t="s">
        <v>120</v>
      </c>
      <c r="C77" s="113">
        <v>7903155</v>
      </c>
      <c r="D77" s="113">
        <v>6734229</v>
      </c>
      <c r="E77" s="113">
        <f t="shared" si="9"/>
        <v>-1168926</v>
      </c>
      <c r="F77" s="114">
        <f t="shared" si="10"/>
        <v>-0.14790624756821802</v>
      </c>
    </row>
    <row r="78" spans="1:6" x14ac:dyDescent="0.2">
      <c r="A78" s="115">
        <v>9</v>
      </c>
      <c r="B78" s="116" t="s">
        <v>121</v>
      </c>
      <c r="C78" s="113">
        <v>6485741</v>
      </c>
      <c r="D78" s="113">
        <v>10489921</v>
      </c>
      <c r="E78" s="113">
        <f t="shared" si="9"/>
        <v>4004180</v>
      </c>
      <c r="F78" s="114">
        <f t="shared" si="10"/>
        <v>0.61738203853653728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989112741</v>
      </c>
      <c r="D81" s="119">
        <f>SUM(D70:D80)</f>
        <v>999741703</v>
      </c>
      <c r="E81" s="119">
        <f t="shared" si="9"/>
        <v>10628962</v>
      </c>
      <c r="F81" s="120">
        <f t="shared" si="10"/>
        <v>1.0745956006242568E-2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553268227</v>
      </c>
      <c r="D84" s="119">
        <f t="shared" si="11"/>
        <v>593971325</v>
      </c>
      <c r="E84" s="119">
        <f t="shared" ref="E84:E95" si="12">D84-C84</f>
        <v>40703098</v>
      </c>
      <c r="F84" s="120">
        <f t="shared" ref="F84:F95" si="13">IF(C84=0,0,E84/C84)</f>
        <v>7.3568471879734379E-2</v>
      </c>
    </row>
    <row r="85" spans="1:6" ht="15.75" x14ac:dyDescent="0.25">
      <c r="A85" s="130">
        <v>2</v>
      </c>
      <c r="B85" s="122" t="s">
        <v>114</v>
      </c>
      <c r="C85" s="119">
        <f t="shared" si="11"/>
        <v>162685408</v>
      </c>
      <c r="D85" s="119">
        <f t="shared" si="11"/>
        <v>183249726</v>
      </c>
      <c r="E85" s="119">
        <f t="shared" si="12"/>
        <v>20564318</v>
      </c>
      <c r="F85" s="120">
        <f t="shared" si="13"/>
        <v>0.12640542414228079</v>
      </c>
    </row>
    <row r="86" spans="1:6" ht="15.75" x14ac:dyDescent="0.25">
      <c r="A86" s="130">
        <v>3</v>
      </c>
      <c r="B86" s="122" t="s">
        <v>115</v>
      </c>
      <c r="C86" s="119">
        <f t="shared" si="11"/>
        <v>337078611</v>
      </c>
      <c r="D86" s="119">
        <f t="shared" si="11"/>
        <v>213273241</v>
      </c>
      <c r="E86" s="119">
        <f t="shared" si="12"/>
        <v>-123805370</v>
      </c>
      <c r="F86" s="120">
        <f t="shared" si="13"/>
        <v>-0.36728930866515291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6767915</v>
      </c>
      <c r="D88" s="119">
        <f t="shared" si="11"/>
        <v>4386706</v>
      </c>
      <c r="E88" s="119">
        <f t="shared" si="12"/>
        <v>-2381209</v>
      </c>
      <c r="F88" s="120">
        <f t="shared" si="13"/>
        <v>-0.35183789985542074</v>
      </c>
    </row>
    <row r="89" spans="1:6" ht="15.75" x14ac:dyDescent="0.25">
      <c r="A89" s="130">
        <v>6</v>
      </c>
      <c r="B89" s="122" t="s">
        <v>118</v>
      </c>
      <c r="C89" s="119">
        <f t="shared" si="11"/>
        <v>99129603</v>
      </c>
      <c r="D89" s="119">
        <f t="shared" si="11"/>
        <v>92789069</v>
      </c>
      <c r="E89" s="119">
        <f t="shared" si="12"/>
        <v>-6340534</v>
      </c>
      <c r="F89" s="120">
        <f t="shared" si="13"/>
        <v>-6.396206388519482E-2</v>
      </c>
    </row>
    <row r="90" spans="1:6" ht="15.75" x14ac:dyDescent="0.25">
      <c r="A90" s="130">
        <v>7</v>
      </c>
      <c r="B90" s="122" t="s">
        <v>119</v>
      </c>
      <c r="C90" s="119">
        <f t="shared" si="11"/>
        <v>1091494092</v>
      </c>
      <c r="D90" s="119">
        <f t="shared" si="11"/>
        <v>1183661246</v>
      </c>
      <c r="E90" s="119">
        <f t="shared" si="12"/>
        <v>92167154</v>
      </c>
      <c r="F90" s="120">
        <f t="shared" si="13"/>
        <v>8.4441276114575622E-2</v>
      </c>
    </row>
    <row r="91" spans="1:6" ht="15.75" x14ac:dyDescent="0.25">
      <c r="A91" s="130">
        <v>8</v>
      </c>
      <c r="B91" s="122" t="s">
        <v>120</v>
      </c>
      <c r="C91" s="119">
        <f t="shared" si="11"/>
        <v>17830834</v>
      </c>
      <c r="D91" s="119">
        <f t="shared" si="11"/>
        <v>12751191</v>
      </c>
      <c r="E91" s="119">
        <f t="shared" si="12"/>
        <v>-5079643</v>
      </c>
      <c r="F91" s="120">
        <f t="shared" si="13"/>
        <v>-0.28487972015218133</v>
      </c>
    </row>
    <row r="92" spans="1:6" ht="15.75" x14ac:dyDescent="0.25">
      <c r="A92" s="130">
        <v>9</v>
      </c>
      <c r="B92" s="122" t="s">
        <v>121</v>
      </c>
      <c r="C92" s="119">
        <f t="shared" si="11"/>
        <v>12519061</v>
      </c>
      <c r="D92" s="119">
        <f t="shared" si="11"/>
        <v>22681195</v>
      </c>
      <c r="E92" s="119">
        <f t="shared" si="12"/>
        <v>10162134</v>
      </c>
      <c r="F92" s="120">
        <f t="shared" si="13"/>
        <v>0.8117329246977868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2280773751</v>
      </c>
      <c r="D95" s="128">
        <f>SUM(D84:D94)</f>
        <v>2306763699</v>
      </c>
      <c r="E95" s="128">
        <f t="shared" si="12"/>
        <v>25989948</v>
      </c>
      <c r="F95" s="129">
        <f t="shared" si="13"/>
        <v>1.1395232862797007E-2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22329</v>
      </c>
      <c r="D100" s="133">
        <v>21547</v>
      </c>
      <c r="E100" s="133">
        <f t="shared" ref="E100:E111" si="14">D100-C100</f>
        <v>-782</v>
      </c>
      <c r="F100" s="114">
        <f t="shared" ref="F100:F111" si="15">IF(C100=0,0,E100/C100)</f>
        <v>-3.5021720632361503E-2</v>
      </c>
    </row>
    <row r="101" spans="1:6" x14ac:dyDescent="0.2">
      <c r="A101" s="115">
        <v>2</v>
      </c>
      <c r="B101" s="116" t="s">
        <v>114</v>
      </c>
      <c r="C101" s="133">
        <v>6304</v>
      </c>
      <c r="D101" s="133">
        <v>6699</v>
      </c>
      <c r="E101" s="133">
        <f t="shared" si="14"/>
        <v>395</v>
      </c>
      <c r="F101" s="114">
        <f t="shared" si="15"/>
        <v>6.2658629441624369E-2</v>
      </c>
    </row>
    <row r="102" spans="1:6" x14ac:dyDescent="0.2">
      <c r="A102" s="115">
        <v>3</v>
      </c>
      <c r="B102" s="116" t="s">
        <v>115</v>
      </c>
      <c r="C102" s="133">
        <v>23006</v>
      </c>
      <c r="D102" s="133">
        <v>22415</v>
      </c>
      <c r="E102" s="133">
        <f t="shared" si="14"/>
        <v>-591</v>
      </c>
      <c r="F102" s="114">
        <f t="shared" si="15"/>
        <v>-2.5688950708510825E-2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448</v>
      </c>
      <c r="D104" s="133">
        <v>400</v>
      </c>
      <c r="E104" s="133">
        <f t="shared" si="14"/>
        <v>-48</v>
      </c>
      <c r="F104" s="114">
        <f t="shared" si="15"/>
        <v>-0.10714285714285714</v>
      </c>
    </row>
    <row r="105" spans="1:6" x14ac:dyDescent="0.2">
      <c r="A105" s="115">
        <v>6</v>
      </c>
      <c r="B105" s="116" t="s">
        <v>118</v>
      </c>
      <c r="C105" s="133">
        <v>1993</v>
      </c>
      <c r="D105" s="133">
        <v>987</v>
      </c>
      <c r="E105" s="133">
        <f t="shared" si="14"/>
        <v>-1006</v>
      </c>
      <c r="F105" s="114">
        <f t="shared" si="15"/>
        <v>-0.50476668339187158</v>
      </c>
    </row>
    <row r="106" spans="1:6" x14ac:dyDescent="0.2">
      <c r="A106" s="115">
        <v>7</v>
      </c>
      <c r="B106" s="116" t="s">
        <v>119</v>
      </c>
      <c r="C106" s="133">
        <v>25192</v>
      </c>
      <c r="D106" s="133">
        <v>25195</v>
      </c>
      <c r="E106" s="133">
        <f t="shared" si="14"/>
        <v>3</v>
      </c>
      <c r="F106" s="114">
        <f t="shared" si="15"/>
        <v>1.1908542394410924E-4</v>
      </c>
    </row>
    <row r="107" spans="1:6" x14ac:dyDescent="0.2">
      <c r="A107" s="115">
        <v>8</v>
      </c>
      <c r="B107" s="116" t="s">
        <v>120</v>
      </c>
      <c r="C107" s="133">
        <v>346</v>
      </c>
      <c r="D107" s="133">
        <v>334</v>
      </c>
      <c r="E107" s="133">
        <f t="shared" si="14"/>
        <v>-12</v>
      </c>
      <c r="F107" s="114">
        <f t="shared" si="15"/>
        <v>-3.4682080924855488E-2</v>
      </c>
    </row>
    <row r="108" spans="1:6" x14ac:dyDescent="0.2">
      <c r="A108" s="115">
        <v>9</v>
      </c>
      <c r="B108" s="116" t="s">
        <v>121</v>
      </c>
      <c r="C108" s="133">
        <v>885</v>
      </c>
      <c r="D108" s="133">
        <v>952</v>
      </c>
      <c r="E108" s="133">
        <f t="shared" si="14"/>
        <v>67</v>
      </c>
      <c r="F108" s="114">
        <f t="shared" si="15"/>
        <v>7.5706214689265541E-2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80503</v>
      </c>
      <c r="D111" s="134">
        <f>SUM(D100:D110)</f>
        <v>78529</v>
      </c>
      <c r="E111" s="134">
        <f t="shared" si="14"/>
        <v>-1974</v>
      </c>
      <c r="F111" s="120">
        <f t="shared" si="15"/>
        <v>-2.4520825310857981E-2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153017</v>
      </c>
      <c r="D113" s="133">
        <v>142143</v>
      </c>
      <c r="E113" s="133">
        <f t="shared" ref="E113:E124" si="16">D113-C113</f>
        <v>-10874</v>
      </c>
      <c r="F113" s="114">
        <f t="shared" ref="F113:F124" si="17">IF(C113=0,0,E113/C113)</f>
        <v>-7.1063999424900506E-2</v>
      </c>
    </row>
    <row r="114" spans="1:6" x14ac:dyDescent="0.2">
      <c r="A114" s="115">
        <v>2</v>
      </c>
      <c r="B114" s="116" t="s">
        <v>114</v>
      </c>
      <c r="C114" s="133">
        <v>39133</v>
      </c>
      <c r="D114" s="133">
        <v>39579</v>
      </c>
      <c r="E114" s="133">
        <f t="shared" si="16"/>
        <v>446</v>
      </c>
      <c r="F114" s="114">
        <f t="shared" si="17"/>
        <v>1.1397030639102548E-2</v>
      </c>
    </row>
    <row r="115" spans="1:6" x14ac:dyDescent="0.2">
      <c r="A115" s="115">
        <v>3</v>
      </c>
      <c r="B115" s="116" t="s">
        <v>115</v>
      </c>
      <c r="C115" s="133">
        <v>132732</v>
      </c>
      <c r="D115" s="133">
        <v>120382</v>
      </c>
      <c r="E115" s="133">
        <f t="shared" si="16"/>
        <v>-12350</v>
      </c>
      <c r="F115" s="114">
        <f t="shared" si="17"/>
        <v>-9.3044631287104843E-2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2097</v>
      </c>
      <c r="D117" s="133">
        <v>1625</v>
      </c>
      <c r="E117" s="133">
        <f t="shared" si="16"/>
        <v>-472</v>
      </c>
      <c r="F117" s="114">
        <f t="shared" si="17"/>
        <v>-0.22508345255126372</v>
      </c>
    </row>
    <row r="118" spans="1:6" x14ac:dyDescent="0.2">
      <c r="A118" s="115">
        <v>6</v>
      </c>
      <c r="B118" s="116" t="s">
        <v>118</v>
      </c>
      <c r="C118" s="133">
        <v>10648</v>
      </c>
      <c r="D118" s="133">
        <v>4519</v>
      </c>
      <c r="E118" s="133">
        <f t="shared" si="16"/>
        <v>-6129</v>
      </c>
      <c r="F118" s="114">
        <f t="shared" si="17"/>
        <v>-0.5756010518407213</v>
      </c>
    </row>
    <row r="119" spans="1:6" x14ac:dyDescent="0.2">
      <c r="A119" s="115">
        <v>7</v>
      </c>
      <c r="B119" s="116" t="s">
        <v>119</v>
      </c>
      <c r="C119" s="133">
        <v>119212</v>
      </c>
      <c r="D119" s="133">
        <v>112844</v>
      </c>
      <c r="E119" s="133">
        <f t="shared" si="16"/>
        <v>-6368</v>
      </c>
      <c r="F119" s="114">
        <f t="shared" si="17"/>
        <v>-5.3417441197194916E-2</v>
      </c>
    </row>
    <row r="120" spans="1:6" x14ac:dyDescent="0.2">
      <c r="A120" s="115">
        <v>8</v>
      </c>
      <c r="B120" s="116" t="s">
        <v>120</v>
      </c>
      <c r="C120" s="133">
        <v>1430</v>
      </c>
      <c r="D120" s="133">
        <v>1087</v>
      </c>
      <c r="E120" s="133">
        <f t="shared" si="16"/>
        <v>-343</v>
      </c>
      <c r="F120" s="114">
        <f t="shared" si="17"/>
        <v>-0.23986013986013985</v>
      </c>
    </row>
    <row r="121" spans="1:6" x14ac:dyDescent="0.2">
      <c r="A121" s="115">
        <v>9</v>
      </c>
      <c r="B121" s="116" t="s">
        <v>121</v>
      </c>
      <c r="C121" s="133">
        <v>3950</v>
      </c>
      <c r="D121" s="133">
        <v>4336</v>
      </c>
      <c r="E121" s="133">
        <f t="shared" si="16"/>
        <v>386</v>
      </c>
      <c r="F121" s="114">
        <f t="shared" si="17"/>
        <v>9.7721518987341771E-2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462219</v>
      </c>
      <c r="D124" s="134">
        <f>SUM(D113:D123)</f>
        <v>426515</v>
      </c>
      <c r="E124" s="134">
        <f t="shared" si="16"/>
        <v>-35704</v>
      </c>
      <c r="F124" s="120">
        <f t="shared" si="17"/>
        <v>-7.7244769254401047E-2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230796</v>
      </c>
      <c r="D126" s="133">
        <v>270084</v>
      </c>
      <c r="E126" s="133">
        <f t="shared" ref="E126:E137" si="18">D126-C126</f>
        <v>39288</v>
      </c>
      <c r="F126" s="114">
        <f t="shared" ref="F126:F137" si="19">IF(C126=0,0,E126/C126)</f>
        <v>0.17022825352259138</v>
      </c>
    </row>
    <row r="127" spans="1:6" x14ac:dyDescent="0.2">
      <c r="A127" s="115">
        <v>2</v>
      </c>
      <c r="B127" s="116" t="s">
        <v>114</v>
      </c>
      <c r="C127" s="133">
        <v>71834</v>
      </c>
      <c r="D127" s="133">
        <v>79977</v>
      </c>
      <c r="E127" s="133">
        <f t="shared" si="18"/>
        <v>8143</v>
      </c>
      <c r="F127" s="114">
        <f t="shared" si="19"/>
        <v>0.11335857671854553</v>
      </c>
    </row>
    <row r="128" spans="1:6" x14ac:dyDescent="0.2">
      <c r="A128" s="115">
        <v>3</v>
      </c>
      <c r="B128" s="116" t="s">
        <v>115</v>
      </c>
      <c r="C128" s="133">
        <v>297513</v>
      </c>
      <c r="D128" s="133">
        <v>314914</v>
      </c>
      <c r="E128" s="133">
        <f t="shared" si="18"/>
        <v>17401</v>
      </c>
      <c r="F128" s="114">
        <f t="shared" si="19"/>
        <v>5.848820051560772E-2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4541</v>
      </c>
      <c r="D130" s="133">
        <v>5215</v>
      </c>
      <c r="E130" s="133">
        <f t="shared" si="18"/>
        <v>674</v>
      </c>
      <c r="F130" s="114">
        <f t="shared" si="19"/>
        <v>0.14842545694780884</v>
      </c>
    </row>
    <row r="131" spans="1:6" x14ac:dyDescent="0.2">
      <c r="A131" s="115">
        <v>6</v>
      </c>
      <c r="B131" s="116" t="s">
        <v>118</v>
      </c>
      <c r="C131" s="133">
        <v>33895</v>
      </c>
      <c r="D131" s="133">
        <v>16111</v>
      </c>
      <c r="E131" s="133">
        <f t="shared" si="18"/>
        <v>-17784</v>
      </c>
      <c r="F131" s="114">
        <f t="shared" si="19"/>
        <v>-0.5246791562177312</v>
      </c>
    </row>
    <row r="132" spans="1:6" x14ac:dyDescent="0.2">
      <c r="A132" s="115">
        <v>7</v>
      </c>
      <c r="B132" s="116" t="s">
        <v>119</v>
      </c>
      <c r="C132" s="133">
        <v>399113</v>
      </c>
      <c r="D132" s="133">
        <v>456425</v>
      </c>
      <c r="E132" s="133">
        <f t="shared" si="18"/>
        <v>57312</v>
      </c>
      <c r="F132" s="114">
        <f t="shared" si="19"/>
        <v>0.14359842951745497</v>
      </c>
    </row>
    <row r="133" spans="1:6" x14ac:dyDescent="0.2">
      <c r="A133" s="115">
        <v>8</v>
      </c>
      <c r="B133" s="116" t="s">
        <v>120</v>
      </c>
      <c r="C133" s="133">
        <v>5677</v>
      </c>
      <c r="D133" s="133">
        <v>6369</v>
      </c>
      <c r="E133" s="133">
        <f t="shared" si="18"/>
        <v>692</v>
      </c>
      <c r="F133" s="114">
        <f t="shared" si="19"/>
        <v>0.12189536727144619</v>
      </c>
    </row>
    <row r="134" spans="1:6" x14ac:dyDescent="0.2">
      <c r="A134" s="115">
        <v>9</v>
      </c>
      <c r="B134" s="116" t="s">
        <v>121</v>
      </c>
      <c r="C134" s="133">
        <v>57165</v>
      </c>
      <c r="D134" s="133">
        <v>38310</v>
      </c>
      <c r="E134" s="133">
        <f t="shared" si="18"/>
        <v>-18855</v>
      </c>
      <c r="F134" s="114">
        <f t="shared" si="19"/>
        <v>-0.32983468905799002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1100534</v>
      </c>
      <c r="D137" s="134">
        <f>SUM(D126:D136)</f>
        <v>1187405</v>
      </c>
      <c r="E137" s="134">
        <f t="shared" si="18"/>
        <v>86871</v>
      </c>
      <c r="F137" s="120">
        <f t="shared" si="19"/>
        <v>7.8935316855272081E-2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137569426</v>
      </c>
      <c r="D142" s="113">
        <v>170022591</v>
      </c>
      <c r="E142" s="113">
        <f t="shared" ref="E142:E153" si="20">D142-C142</f>
        <v>32453165</v>
      </c>
      <c r="F142" s="114">
        <f t="shared" ref="F142:F153" si="21">IF(C142=0,0,E142/C142)</f>
        <v>0.23590390643921128</v>
      </c>
    </row>
    <row r="143" spans="1:6" x14ac:dyDescent="0.2">
      <c r="A143" s="115">
        <v>2</v>
      </c>
      <c r="B143" s="116" t="s">
        <v>114</v>
      </c>
      <c r="C143" s="113">
        <v>35772142</v>
      </c>
      <c r="D143" s="113">
        <v>44013361</v>
      </c>
      <c r="E143" s="113">
        <f t="shared" si="20"/>
        <v>8241219</v>
      </c>
      <c r="F143" s="114">
        <f t="shared" si="21"/>
        <v>0.23038092043803249</v>
      </c>
    </row>
    <row r="144" spans="1:6" x14ac:dyDescent="0.2">
      <c r="A144" s="115">
        <v>3</v>
      </c>
      <c r="B144" s="116" t="s">
        <v>115</v>
      </c>
      <c r="C144" s="113">
        <v>193201647</v>
      </c>
      <c r="D144" s="113">
        <v>214936851</v>
      </c>
      <c r="E144" s="113">
        <f t="shared" si="20"/>
        <v>21735204</v>
      </c>
      <c r="F144" s="114">
        <f t="shared" si="21"/>
        <v>0.11250009685476439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1261371</v>
      </c>
      <c r="D146" s="113">
        <v>1186195</v>
      </c>
      <c r="E146" s="113">
        <f t="shared" si="20"/>
        <v>-75176</v>
      </c>
      <c r="F146" s="114">
        <f t="shared" si="21"/>
        <v>-5.9598643063777428E-2</v>
      </c>
    </row>
    <row r="147" spans="1:6" x14ac:dyDescent="0.2">
      <c r="A147" s="115">
        <v>6</v>
      </c>
      <c r="B147" s="116" t="s">
        <v>118</v>
      </c>
      <c r="C147" s="113">
        <v>16803969</v>
      </c>
      <c r="D147" s="113">
        <v>9766288</v>
      </c>
      <c r="E147" s="113">
        <f t="shared" si="20"/>
        <v>-7037681</v>
      </c>
      <c r="F147" s="114">
        <f t="shared" si="21"/>
        <v>-0.41881063931979401</v>
      </c>
    </row>
    <row r="148" spans="1:6" x14ac:dyDescent="0.2">
      <c r="A148" s="115">
        <v>7</v>
      </c>
      <c r="B148" s="116" t="s">
        <v>119</v>
      </c>
      <c r="C148" s="113">
        <v>136026672</v>
      </c>
      <c r="D148" s="113">
        <v>161212403</v>
      </c>
      <c r="E148" s="113">
        <f t="shared" si="20"/>
        <v>25185731</v>
      </c>
      <c r="F148" s="114">
        <f t="shared" si="21"/>
        <v>0.18515288678091013</v>
      </c>
    </row>
    <row r="149" spans="1:6" x14ac:dyDescent="0.2">
      <c r="A149" s="115">
        <v>8</v>
      </c>
      <c r="B149" s="116" t="s">
        <v>120</v>
      </c>
      <c r="C149" s="113">
        <v>5195486</v>
      </c>
      <c r="D149" s="113">
        <v>4808996</v>
      </c>
      <c r="E149" s="113">
        <f t="shared" si="20"/>
        <v>-386490</v>
      </c>
      <c r="F149" s="114">
        <f t="shared" si="21"/>
        <v>-7.438957587413382E-2</v>
      </c>
    </row>
    <row r="150" spans="1:6" x14ac:dyDescent="0.2">
      <c r="A150" s="115">
        <v>9</v>
      </c>
      <c r="B150" s="116" t="s">
        <v>121</v>
      </c>
      <c r="C150" s="113">
        <v>36359265</v>
      </c>
      <c r="D150" s="113">
        <v>29710592</v>
      </c>
      <c r="E150" s="113">
        <f t="shared" si="20"/>
        <v>-6648673</v>
      </c>
      <c r="F150" s="114">
        <f t="shared" si="21"/>
        <v>-0.18286048961660803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562189978</v>
      </c>
      <c r="D153" s="119">
        <f>SUM(D142:D152)</f>
        <v>635657277</v>
      </c>
      <c r="E153" s="119">
        <f t="shared" si="20"/>
        <v>73467299</v>
      </c>
      <c r="F153" s="120">
        <f t="shared" si="21"/>
        <v>0.13068055617313051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16966652</v>
      </c>
      <c r="D155" s="113">
        <v>21301154</v>
      </c>
      <c r="E155" s="113">
        <f t="shared" ref="E155:E166" si="22">D155-C155</f>
        <v>4334502</v>
      </c>
      <c r="F155" s="114">
        <f t="shared" ref="F155:F166" si="23">IF(C155=0,0,E155/C155)</f>
        <v>0.25547185148843743</v>
      </c>
    </row>
    <row r="156" spans="1:6" x14ac:dyDescent="0.2">
      <c r="A156" s="115">
        <v>2</v>
      </c>
      <c r="B156" s="116" t="s">
        <v>114</v>
      </c>
      <c r="C156" s="113">
        <v>4853358</v>
      </c>
      <c r="D156" s="113">
        <v>4150515</v>
      </c>
      <c r="E156" s="113">
        <f t="shared" si="22"/>
        <v>-702843</v>
      </c>
      <c r="F156" s="114">
        <f t="shared" si="23"/>
        <v>-0.14481581618335182</v>
      </c>
    </row>
    <row r="157" spans="1:6" x14ac:dyDescent="0.2">
      <c r="A157" s="115">
        <v>3</v>
      </c>
      <c r="B157" s="116" t="s">
        <v>115</v>
      </c>
      <c r="C157" s="113">
        <v>29734859</v>
      </c>
      <c r="D157" s="113">
        <v>32226422</v>
      </c>
      <c r="E157" s="113">
        <f t="shared" si="22"/>
        <v>2491563</v>
      </c>
      <c r="F157" s="114">
        <f t="shared" si="23"/>
        <v>8.3792662342875079E-2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190939</v>
      </c>
      <c r="D159" s="113">
        <v>262200</v>
      </c>
      <c r="E159" s="113">
        <f t="shared" si="22"/>
        <v>71261</v>
      </c>
      <c r="F159" s="114">
        <f t="shared" si="23"/>
        <v>0.3732134346571418</v>
      </c>
    </row>
    <row r="160" spans="1:6" x14ac:dyDescent="0.2">
      <c r="A160" s="115">
        <v>6</v>
      </c>
      <c r="B160" s="116" t="s">
        <v>118</v>
      </c>
      <c r="C160" s="113">
        <v>6054121</v>
      </c>
      <c r="D160" s="113">
        <v>5316006</v>
      </c>
      <c r="E160" s="113">
        <f t="shared" si="22"/>
        <v>-738115</v>
      </c>
      <c r="F160" s="114">
        <f t="shared" si="23"/>
        <v>-0.12191943306055496</v>
      </c>
    </row>
    <row r="161" spans="1:6" x14ac:dyDescent="0.2">
      <c r="A161" s="115">
        <v>7</v>
      </c>
      <c r="B161" s="116" t="s">
        <v>119</v>
      </c>
      <c r="C161" s="113">
        <v>48688785</v>
      </c>
      <c r="D161" s="113">
        <v>60095768</v>
      </c>
      <c r="E161" s="113">
        <f t="shared" si="22"/>
        <v>11406983</v>
      </c>
      <c r="F161" s="114">
        <f t="shared" si="23"/>
        <v>0.2342835829647423</v>
      </c>
    </row>
    <row r="162" spans="1:6" x14ac:dyDescent="0.2">
      <c r="A162" s="115">
        <v>8</v>
      </c>
      <c r="B162" s="116" t="s">
        <v>120</v>
      </c>
      <c r="C162" s="113">
        <v>2653714</v>
      </c>
      <c r="D162" s="113">
        <v>2544006</v>
      </c>
      <c r="E162" s="113">
        <f t="shared" si="22"/>
        <v>-109708</v>
      </c>
      <c r="F162" s="114">
        <f t="shared" si="23"/>
        <v>-4.1341305053973411E-2</v>
      </c>
    </row>
    <row r="163" spans="1:6" x14ac:dyDescent="0.2">
      <c r="A163" s="115">
        <v>9</v>
      </c>
      <c r="B163" s="116" t="s">
        <v>121</v>
      </c>
      <c r="C163" s="113">
        <v>2115053</v>
      </c>
      <c r="D163" s="113">
        <v>622652</v>
      </c>
      <c r="E163" s="113">
        <f t="shared" si="22"/>
        <v>-1492401</v>
      </c>
      <c r="F163" s="114">
        <f t="shared" si="23"/>
        <v>-0.70560926842022398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111257481</v>
      </c>
      <c r="D166" s="119">
        <f>SUM(D155:D165)</f>
        <v>126518723</v>
      </c>
      <c r="E166" s="119">
        <f t="shared" si="22"/>
        <v>15261242</v>
      </c>
      <c r="F166" s="120">
        <f t="shared" si="23"/>
        <v>0.13717047934960885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21508</v>
      </c>
      <c r="D168" s="133">
        <v>19064</v>
      </c>
      <c r="E168" s="133">
        <f t="shared" ref="E168:E179" si="24">D168-C168</f>
        <v>-2444</v>
      </c>
      <c r="F168" s="114">
        <f t="shared" ref="F168:F179" si="25">IF(C168=0,0,E168/C168)</f>
        <v>-0.11363213687930072</v>
      </c>
    </row>
    <row r="169" spans="1:6" x14ac:dyDescent="0.2">
      <c r="A169" s="115">
        <v>2</v>
      </c>
      <c r="B169" s="116" t="s">
        <v>114</v>
      </c>
      <c r="C169" s="133">
        <v>5897</v>
      </c>
      <c r="D169" s="133">
        <v>5604</v>
      </c>
      <c r="E169" s="133">
        <f t="shared" si="24"/>
        <v>-293</v>
      </c>
      <c r="F169" s="114">
        <f t="shared" si="25"/>
        <v>-4.9686281159911819E-2</v>
      </c>
    </row>
    <row r="170" spans="1:6" x14ac:dyDescent="0.2">
      <c r="A170" s="115">
        <v>3</v>
      </c>
      <c r="B170" s="116" t="s">
        <v>115</v>
      </c>
      <c r="C170" s="133">
        <v>72847</v>
      </c>
      <c r="D170" s="133">
        <v>65998</v>
      </c>
      <c r="E170" s="133">
        <f t="shared" si="24"/>
        <v>-6849</v>
      </c>
      <c r="F170" s="114">
        <f t="shared" si="25"/>
        <v>-9.4018971268549148E-2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470</v>
      </c>
      <c r="D172" s="133">
        <v>386</v>
      </c>
      <c r="E172" s="133">
        <f t="shared" si="24"/>
        <v>-84</v>
      </c>
      <c r="F172" s="114">
        <f t="shared" si="25"/>
        <v>-0.17872340425531916</v>
      </c>
    </row>
    <row r="173" spans="1:6" x14ac:dyDescent="0.2">
      <c r="A173" s="115">
        <v>6</v>
      </c>
      <c r="B173" s="116" t="s">
        <v>118</v>
      </c>
      <c r="C173" s="133">
        <v>4818</v>
      </c>
      <c r="D173" s="133">
        <v>2362</v>
      </c>
      <c r="E173" s="133">
        <f t="shared" si="24"/>
        <v>-2456</v>
      </c>
      <c r="F173" s="114">
        <f t="shared" si="25"/>
        <v>-0.50975508509755085</v>
      </c>
    </row>
    <row r="174" spans="1:6" x14ac:dyDescent="0.2">
      <c r="A174" s="115">
        <v>7</v>
      </c>
      <c r="B174" s="116" t="s">
        <v>119</v>
      </c>
      <c r="C174" s="133">
        <v>39738</v>
      </c>
      <c r="D174" s="133">
        <v>36423</v>
      </c>
      <c r="E174" s="133">
        <f t="shared" si="24"/>
        <v>-3315</v>
      </c>
      <c r="F174" s="114">
        <f t="shared" si="25"/>
        <v>-8.3421410237052698E-2</v>
      </c>
    </row>
    <row r="175" spans="1:6" x14ac:dyDescent="0.2">
      <c r="A175" s="115">
        <v>8</v>
      </c>
      <c r="B175" s="116" t="s">
        <v>120</v>
      </c>
      <c r="C175" s="133">
        <v>2060</v>
      </c>
      <c r="D175" s="133">
        <v>1694</v>
      </c>
      <c r="E175" s="133">
        <f t="shared" si="24"/>
        <v>-366</v>
      </c>
      <c r="F175" s="114">
        <f t="shared" si="25"/>
        <v>-0.17766990291262136</v>
      </c>
    </row>
    <row r="176" spans="1:6" x14ac:dyDescent="0.2">
      <c r="A176" s="115">
        <v>9</v>
      </c>
      <c r="B176" s="116" t="s">
        <v>121</v>
      </c>
      <c r="C176" s="133">
        <v>16447</v>
      </c>
      <c r="D176" s="133">
        <v>10989</v>
      </c>
      <c r="E176" s="133">
        <f t="shared" si="24"/>
        <v>-5458</v>
      </c>
      <c r="F176" s="114">
        <f t="shared" si="25"/>
        <v>-0.331853833525871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163785</v>
      </c>
      <c r="D179" s="134">
        <f>SUM(D168:D178)</f>
        <v>142520</v>
      </c>
      <c r="E179" s="134">
        <f t="shared" si="24"/>
        <v>-21265</v>
      </c>
      <c r="F179" s="120">
        <f t="shared" si="25"/>
        <v>-0.12983484446072596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FILING&amp;RYALE-NEW HAVEN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332073000</v>
      </c>
      <c r="D15" s="157">
        <v>328622000</v>
      </c>
      <c r="E15" s="157">
        <f>+D15-C15</f>
        <v>-3451000</v>
      </c>
      <c r="F15" s="161">
        <f>IF(C15=0,0,E15/C15)</f>
        <v>-1.0392293260819157E-2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458209000</v>
      </c>
      <c r="D17" s="157">
        <v>480062000</v>
      </c>
      <c r="E17" s="157">
        <f>+D17-C17</f>
        <v>21853000</v>
      </c>
      <c r="F17" s="161">
        <f>IF(C17=0,0,E17/C17)</f>
        <v>4.7692210323236776E-2</v>
      </c>
    </row>
    <row r="18" spans="1:6" ht="15.75" customHeight="1" x14ac:dyDescent="0.25">
      <c r="A18" s="147"/>
      <c r="B18" s="162" t="s">
        <v>159</v>
      </c>
      <c r="C18" s="158">
        <f>SUM(C15:C17)</f>
        <v>790282000</v>
      </c>
      <c r="D18" s="158">
        <f>SUM(D15:D17)</f>
        <v>808684000</v>
      </c>
      <c r="E18" s="158">
        <f>+D18-C18</f>
        <v>18402000</v>
      </c>
      <c r="F18" s="159">
        <f>IF(C18=0,0,E18/C18)</f>
        <v>2.3285358897203783E-2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98908000</v>
      </c>
      <c r="D21" s="157">
        <v>91823000</v>
      </c>
      <c r="E21" s="157">
        <f>+D21-C21</f>
        <v>-7085000</v>
      </c>
      <c r="F21" s="161">
        <f>IF(C21=0,0,E21/C21)</f>
        <v>-7.1632223884822266E-2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136462000</v>
      </c>
      <c r="D23" s="157">
        <v>134138000</v>
      </c>
      <c r="E23" s="157">
        <f>+D23-C23</f>
        <v>-2324000</v>
      </c>
      <c r="F23" s="161">
        <f>IF(C23=0,0,E23/C23)</f>
        <v>-1.7030382084389794E-2</v>
      </c>
    </row>
    <row r="24" spans="1:6" ht="15.75" customHeight="1" x14ac:dyDescent="0.25">
      <c r="A24" s="147"/>
      <c r="B24" s="162" t="s">
        <v>164</v>
      </c>
      <c r="C24" s="158">
        <f>SUM(C21:C23)</f>
        <v>235370000</v>
      </c>
      <c r="D24" s="158">
        <f>SUM(D21:D23)</f>
        <v>225961000</v>
      </c>
      <c r="E24" s="158">
        <f>+D24-C24</f>
        <v>-9409000</v>
      </c>
      <c r="F24" s="159">
        <f>IF(C24=0,0,E24/C24)</f>
        <v>-3.9975357947062071E-2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5073000</v>
      </c>
      <c r="D27" s="157">
        <v>4283000</v>
      </c>
      <c r="E27" s="157">
        <f>+D27-C27</f>
        <v>-790000</v>
      </c>
      <c r="F27" s="161">
        <f>IF(C27=0,0,E27/C27)</f>
        <v>-0.15572639463828108</v>
      </c>
    </row>
    <row r="28" spans="1:6" ht="15" customHeight="1" x14ac:dyDescent="0.2">
      <c r="A28" s="147">
        <v>2</v>
      </c>
      <c r="B28" s="160" t="s">
        <v>167</v>
      </c>
      <c r="C28" s="157">
        <v>81204000</v>
      </c>
      <c r="D28" s="157">
        <v>86460000</v>
      </c>
      <c r="E28" s="157">
        <f>+D28-C28</f>
        <v>5256000</v>
      </c>
      <c r="F28" s="161">
        <f>IF(C28=0,0,E28/C28)</f>
        <v>6.4725875572631889E-2</v>
      </c>
    </row>
    <row r="29" spans="1:6" ht="15" customHeight="1" x14ac:dyDescent="0.2">
      <c r="A29" s="147">
        <v>3</v>
      </c>
      <c r="B29" s="160" t="s">
        <v>168</v>
      </c>
      <c r="C29" s="157">
        <v>37083000</v>
      </c>
      <c r="D29" s="157">
        <v>165763000</v>
      </c>
      <c r="E29" s="157">
        <f>+D29-C29</f>
        <v>128680000</v>
      </c>
      <c r="F29" s="161">
        <f>IF(C29=0,0,E29/C29)</f>
        <v>3.470053663403716</v>
      </c>
    </row>
    <row r="30" spans="1:6" ht="15.75" customHeight="1" x14ac:dyDescent="0.25">
      <c r="A30" s="147"/>
      <c r="B30" s="162" t="s">
        <v>169</v>
      </c>
      <c r="C30" s="158">
        <f>SUM(C27:C29)</f>
        <v>123360000</v>
      </c>
      <c r="D30" s="158">
        <f>SUM(D27:D29)</f>
        <v>256506000</v>
      </c>
      <c r="E30" s="158">
        <f>+D30-C30</f>
        <v>133146000</v>
      </c>
      <c r="F30" s="159">
        <f>IF(C30=0,0,E30/C30)</f>
        <v>1.079328793774319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223966000</v>
      </c>
      <c r="D33" s="157">
        <v>210740000</v>
      </c>
      <c r="E33" s="157">
        <f>+D33-C33</f>
        <v>-13226000</v>
      </c>
      <c r="F33" s="161">
        <f>IF(C33=0,0,E33/C33)</f>
        <v>-5.9053606350963989E-2</v>
      </c>
    </row>
    <row r="34" spans="1:6" ht="15" customHeight="1" x14ac:dyDescent="0.2">
      <c r="A34" s="147">
        <v>2</v>
      </c>
      <c r="B34" s="160" t="s">
        <v>173</v>
      </c>
      <c r="C34" s="157">
        <v>153493000</v>
      </c>
      <c r="D34" s="157">
        <v>165269000</v>
      </c>
      <c r="E34" s="157">
        <f>+D34-C34</f>
        <v>11776000</v>
      </c>
      <c r="F34" s="161">
        <f>IF(C34=0,0,E34/C34)</f>
        <v>7.6720111014834558E-2</v>
      </c>
    </row>
    <row r="35" spans="1:6" ht="15.75" customHeight="1" x14ac:dyDescent="0.25">
      <c r="A35" s="147"/>
      <c r="B35" s="162" t="s">
        <v>174</v>
      </c>
      <c r="C35" s="158">
        <f>SUM(C33:C34)</f>
        <v>377459000</v>
      </c>
      <c r="D35" s="158">
        <f>SUM(D33:D34)</f>
        <v>376009000</v>
      </c>
      <c r="E35" s="158">
        <f>+D35-C35</f>
        <v>-1450000</v>
      </c>
      <c r="F35" s="159">
        <f>IF(C35=0,0,E35/C35)</f>
        <v>-3.8414768226482875E-3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41726000</v>
      </c>
      <c r="D38" s="157">
        <v>47480000</v>
      </c>
      <c r="E38" s="157">
        <f>+D38-C38</f>
        <v>5754000</v>
      </c>
      <c r="F38" s="161">
        <f>IF(C38=0,0,E38/C38)</f>
        <v>0.13789963092556201</v>
      </c>
    </row>
    <row r="39" spans="1:6" ht="15" customHeight="1" x14ac:dyDescent="0.2">
      <c r="A39" s="147">
        <v>2</v>
      </c>
      <c r="B39" s="160" t="s">
        <v>178</v>
      </c>
      <c r="C39" s="157">
        <v>66231000</v>
      </c>
      <c r="D39" s="157">
        <v>75063000</v>
      </c>
      <c r="E39" s="157">
        <f>+D39-C39</f>
        <v>8832000</v>
      </c>
      <c r="F39" s="161">
        <f>IF(C39=0,0,E39/C39)</f>
        <v>0.13335145173710197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107957000</v>
      </c>
      <c r="D41" s="158">
        <f>SUM(D38:D40)</f>
        <v>122543000</v>
      </c>
      <c r="E41" s="158">
        <f>+D41-C41</f>
        <v>14586000</v>
      </c>
      <c r="F41" s="159">
        <f>IF(C41=0,0,E41/C41)</f>
        <v>0.13510934909269431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23920000</v>
      </c>
      <c r="D47" s="157">
        <v>23742000</v>
      </c>
      <c r="E47" s="157">
        <f>+D47-C47</f>
        <v>-178000</v>
      </c>
      <c r="F47" s="161">
        <f>IF(C47=0,0,E47/C47)</f>
        <v>-7.4414715719063546E-3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16165000</v>
      </c>
      <c r="D50" s="157">
        <v>12248000</v>
      </c>
      <c r="E50" s="157">
        <f>+D50-C50</f>
        <v>-3917000</v>
      </c>
      <c r="F50" s="161">
        <f>IF(C50=0,0,E50/C50)</f>
        <v>-0.24231364058150326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1399000</v>
      </c>
      <c r="D53" s="157">
        <v>1589000</v>
      </c>
      <c r="E53" s="157">
        <f t="shared" ref="E53:E59" si="0">+D53-C53</f>
        <v>190000</v>
      </c>
      <c r="F53" s="161">
        <f t="shared" ref="F53:F59" si="1">IF(C53=0,0,E53/C53)</f>
        <v>0.13581129378127232</v>
      </c>
    </row>
    <row r="54" spans="1:6" ht="15" customHeight="1" x14ac:dyDescent="0.2">
      <c r="A54" s="147">
        <v>2</v>
      </c>
      <c r="B54" s="160" t="s">
        <v>189</v>
      </c>
      <c r="C54" s="157">
        <v>1685000</v>
      </c>
      <c r="D54" s="157">
        <v>1873000</v>
      </c>
      <c r="E54" s="157">
        <f t="shared" si="0"/>
        <v>188000</v>
      </c>
      <c r="F54" s="161">
        <f t="shared" si="1"/>
        <v>0.11157270029673591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20047000</v>
      </c>
      <c r="D56" s="157">
        <v>19096000</v>
      </c>
      <c r="E56" s="157">
        <f t="shared" si="0"/>
        <v>-951000</v>
      </c>
      <c r="F56" s="161">
        <f t="shared" si="1"/>
        <v>-4.7438519479223826E-2</v>
      </c>
    </row>
    <row r="57" spans="1:6" ht="15" customHeight="1" x14ac:dyDescent="0.2">
      <c r="A57" s="147">
        <v>5</v>
      </c>
      <c r="B57" s="160" t="s">
        <v>192</v>
      </c>
      <c r="C57" s="157">
        <v>4681000</v>
      </c>
      <c r="D57" s="157">
        <v>3945000</v>
      </c>
      <c r="E57" s="157">
        <f t="shared" si="0"/>
        <v>-736000</v>
      </c>
      <c r="F57" s="161">
        <f t="shared" si="1"/>
        <v>-0.15723136082033753</v>
      </c>
    </row>
    <row r="58" spans="1:6" ht="15" customHeight="1" x14ac:dyDescent="0.2">
      <c r="A58" s="147">
        <v>6</v>
      </c>
      <c r="B58" s="160" t="s">
        <v>193</v>
      </c>
      <c r="C58" s="157">
        <v>1036000</v>
      </c>
      <c r="D58" s="157">
        <v>1225000</v>
      </c>
      <c r="E58" s="157">
        <f t="shared" si="0"/>
        <v>189000</v>
      </c>
      <c r="F58" s="161">
        <f t="shared" si="1"/>
        <v>0.18243243243243243</v>
      </c>
    </row>
    <row r="59" spans="1:6" ht="15.75" customHeight="1" x14ac:dyDescent="0.25">
      <c r="A59" s="147"/>
      <c r="B59" s="162" t="s">
        <v>194</v>
      </c>
      <c r="C59" s="158">
        <f>SUM(C53:C58)</f>
        <v>28848000</v>
      </c>
      <c r="D59" s="158">
        <f>SUM(D53:D58)</f>
        <v>27728000</v>
      </c>
      <c r="E59" s="158">
        <f t="shared" si="0"/>
        <v>-1120000</v>
      </c>
      <c r="F59" s="159">
        <f t="shared" si="1"/>
        <v>-3.8824181919023849E-2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1358000</v>
      </c>
      <c r="D62" s="157">
        <v>1372000</v>
      </c>
      <c r="E62" s="157">
        <f t="shared" ref="E62:E90" si="2">+D62-C62</f>
        <v>14000</v>
      </c>
      <c r="F62" s="161">
        <f t="shared" ref="F62:F90" si="3">IF(C62=0,0,E62/C62)</f>
        <v>1.0309278350515464E-2</v>
      </c>
    </row>
    <row r="63" spans="1:6" ht="15" customHeight="1" x14ac:dyDescent="0.2">
      <c r="A63" s="147">
        <v>2</v>
      </c>
      <c r="B63" s="160" t="s">
        <v>198</v>
      </c>
      <c r="C63" s="157">
        <v>3921000</v>
      </c>
      <c r="D63" s="157">
        <v>4093000</v>
      </c>
      <c r="E63" s="157">
        <f t="shared" si="2"/>
        <v>172000</v>
      </c>
      <c r="F63" s="161">
        <f t="shared" si="3"/>
        <v>4.3866360622290233E-2</v>
      </c>
    </row>
    <row r="64" spans="1:6" ht="15" customHeight="1" x14ac:dyDescent="0.2">
      <c r="A64" s="147">
        <v>3</v>
      </c>
      <c r="B64" s="160" t="s">
        <v>199</v>
      </c>
      <c r="C64" s="157">
        <v>1152000</v>
      </c>
      <c r="D64" s="157">
        <v>236000</v>
      </c>
      <c r="E64" s="157">
        <f t="shared" si="2"/>
        <v>-916000</v>
      </c>
      <c r="F64" s="161">
        <f t="shared" si="3"/>
        <v>-0.79513888888888884</v>
      </c>
    </row>
    <row r="65" spans="1:6" ht="15" customHeight="1" x14ac:dyDescent="0.2">
      <c r="A65" s="147">
        <v>4</v>
      </c>
      <c r="B65" s="160" t="s">
        <v>200</v>
      </c>
      <c r="C65" s="157">
        <v>1780000</v>
      </c>
      <c r="D65" s="157">
        <v>1840000</v>
      </c>
      <c r="E65" s="157">
        <f t="shared" si="2"/>
        <v>60000</v>
      </c>
      <c r="F65" s="161">
        <f t="shared" si="3"/>
        <v>3.3707865168539325E-2</v>
      </c>
    </row>
    <row r="66" spans="1:6" ht="15" customHeight="1" x14ac:dyDescent="0.2">
      <c r="A66" s="147">
        <v>5</v>
      </c>
      <c r="B66" s="160" t="s">
        <v>201</v>
      </c>
      <c r="C66" s="157">
        <v>7064000</v>
      </c>
      <c r="D66" s="157">
        <v>6760000</v>
      </c>
      <c r="E66" s="157">
        <f t="shared" si="2"/>
        <v>-304000</v>
      </c>
      <c r="F66" s="161">
        <f t="shared" si="3"/>
        <v>-4.3035107587768968E-2</v>
      </c>
    </row>
    <row r="67" spans="1:6" ht="15" customHeight="1" x14ac:dyDescent="0.2">
      <c r="A67" s="147">
        <v>6</v>
      </c>
      <c r="B67" s="160" t="s">
        <v>202</v>
      </c>
      <c r="C67" s="157">
        <v>15216000</v>
      </c>
      <c r="D67" s="157">
        <v>18706000</v>
      </c>
      <c r="E67" s="157">
        <f t="shared" si="2"/>
        <v>3490000</v>
      </c>
      <c r="F67" s="161">
        <f t="shared" si="3"/>
        <v>0.22936382754994741</v>
      </c>
    </row>
    <row r="68" spans="1:6" ht="15" customHeight="1" x14ac:dyDescent="0.2">
      <c r="A68" s="147">
        <v>7</v>
      </c>
      <c r="B68" s="160" t="s">
        <v>203</v>
      </c>
      <c r="C68" s="157">
        <v>31831000</v>
      </c>
      <c r="D68" s="157">
        <v>37095000</v>
      </c>
      <c r="E68" s="157">
        <f t="shared" si="2"/>
        <v>5264000</v>
      </c>
      <c r="F68" s="161">
        <f t="shared" si="3"/>
        <v>0.1653733781533725</v>
      </c>
    </row>
    <row r="69" spans="1:6" ht="15" customHeight="1" x14ac:dyDescent="0.2">
      <c r="A69" s="147">
        <v>8</v>
      </c>
      <c r="B69" s="160" t="s">
        <v>204</v>
      </c>
      <c r="C69" s="157">
        <v>2452000</v>
      </c>
      <c r="D69" s="157">
        <v>2561000</v>
      </c>
      <c r="E69" s="157">
        <f t="shared" si="2"/>
        <v>109000</v>
      </c>
      <c r="F69" s="161">
        <f t="shared" si="3"/>
        <v>4.4453507340946163E-2</v>
      </c>
    </row>
    <row r="70" spans="1:6" ht="15" customHeight="1" x14ac:dyDescent="0.2">
      <c r="A70" s="147">
        <v>9</v>
      </c>
      <c r="B70" s="160" t="s">
        <v>205</v>
      </c>
      <c r="C70" s="157">
        <v>15000</v>
      </c>
      <c r="D70" s="157">
        <v>6000</v>
      </c>
      <c r="E70" s="157">
        <f t="shared" si="2"/>
        <v>-9000</v>
      </c>
      <c r="F70" s="161">
        <f t="shared" si="3"/>
        <v>-0.6</v>
      </c>
    </row>
    <row r="71" spans="1:6" ht="15" customHeight="1" x14ac:dyDescent="0.2">
      <c r="A71" s="147">
        <v>10</v>
      </c>
      <c r="B71" s="160" t="s">
        <v>206</v>
      </c>
      <c r="C71" s="157">
        <v>3329000</v>
      </c>
      <c r="D71" s="157">
        <v>2927000</v>
      </c>
      <c r="E71" s="157">
        <f t="shared" si="2"/>
        <v>-402000</v>
      </c>
      <c r="F71" s="161">
        <f t="shared" si="3"/>
        <v>-0.12075698407930309</v>
      </c>
    </row>
    <row r="72" spans="1:6" ht="15" customHeight="1" x14ac:dyDescent="0.2">
      <c r="A72" s="147">
        <v>11</v>
      </c>
      <c r="B72" s="160" t="s">
        <v>207</v>
      </c>
      <c r="C72" s="157">
        <v>4474000</v>
      </c>
      <c r="D72" s="157">
        <v>4203000</v>
      </c>
      <c r="E72" s="157">
        <f t="shared" si="2"/>
        <v>-271000</v>
      </c>
      <c r="F72" s="161">
        <f t="shared" si="3"/>
        <v>-6.057219490388914E-2</v>
      </c>
    </row>
    <row r="73" spans="1:6" ht="15" customHeight="1" x14ac:dyDescent="0.2">
      <c r="A73" s="147">
        <v>12</v>
      </c>
      <c r="B73" s="160" t="s">
        <v>208</v>
      </c>
      <c r="C73" s="157">
        <v>16586000</v>
      </c>
      <c r="D73" s="157">
        <v>20416000</v>
      </c>
      <c r="E73" s="157">
        <f t="shared" si="2"/>
        <v>3830000</v>
      </c>
      <c r="F73" s="161">
        <f t="shared" si="3"/>
        <v>0.23091764138430002</v>
      </c>
    </row>
    <row r="74" spans="1:6" ht="15" customHeight="1" x14ac:dyDescent="0.2">
      <c r="A74" s="147">
        <v>13</v>
      </c>
      <c r="B74" s="160" t="s">
        <v>209</v>
      </c>
      <c r="C74" s="157">
        <v>1798000</v>
      </c>
      <c r="D74" s="157">
        <v>1639000</v>
      </c>
      <c r="E74" s="157">
        <f t="shared" si="2"/>
        <v>-159000</v>
      </c>
      <c r="F74" s="161">
        <f t="shared" si="3"/>
        <v>-8.8431590656284767E-2</v>
      </c>
    </row>
    <row r="75" spans="1:6" ht="15" customHeight="1" x14ac:dyDescent="0.2">
      <c r="A75" s="147">
        <v>14</v>
      </c>
      <c r="B75" s="160" t="s">
        <v>210</v>
      </c>
      <c r="C75" s="157">
        <v>1061000</v>
      </c>
      <c r="D75" s="157">
        <v>867000</v>
      </c>
      <c r="E75" s="157">
        <f t="shared" si="2"/>
        <v>-194000</v>
      </c>
      <c r="F75" s="161">
        <f t="shared" si="3"/>
        <v>-0.18284637134778511</v>
      </c>
    </row>
    <row r="76" spans="1:6" ht="15" customHeight="1" x14ac:dyDescent="0.2">
      <c r="A76" s="147">
        <v>15</v>
      </c>
      <c r="B76" s="160" t="s">
        <v>211</v>
      </c>
      <c r="C76" s="157">
        <v>87000</v>
      </c>
      <c r="D76" s="157">
        <v>72000</v>
      </c>
      <c r="E76" s="157">
        <f t="shared" si="2"/>
        <v>-15000</v>
      </c>
      <c r="F76" s="161">
        <f t="shared" si="3"/>
        <v>-0.17241379310344829</v>
      </c>
    </row>
    <row r="77" spans="1:6" ht="15" customHeight="1" x14ac:dyDescent="0.2">
      <c r="A77" s="147">
        <v>16</v>
      </c>
      <c r="B77" s="160" t="s">
        <v>212</v>
      </c>
      <c r="C77" s="157">
        <v>24417000</v>
      </c>
      <c r="D77" s="157">
        <v>28104000</v>
      </c>
      <c r="E77" s="157">
        <f t="shared" si="2"/>
        <v>3687000</v>
      </c>
      <c r="F77" s="161">
        <f t="shared" si="3"/>
        <v>0.15100135151738542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984000</v>
      </c>
      <c r="D79" s="157">
        <v>893000</v>
      </c>
      <c r="E79" s="157">
        <f t="shared" si="2"/>
        <v>-91000</v>
      </c>
      <c r="F79" s="161">
        <f t="shared" si="3"/>
        <v>-9.2479674796747971E-2</v>
      </c>
    </row>
    <row r="80" spans="1:6" ht="15" customHeight="1" x14ac:dyDescent="0.2">
      <c r="A80" s="147">
        <v>19</v>
      </c>
      <c r="B80" s="160" t="s">
        <v>215</v>
      </c>
      <c r="C80" s="157">
        <v>3156000</v>
      </c>
      <c r="D80" s="157">
        <v>3067000</v>
      </c>
      <c r="E80" s="157">
        <f t="shared" si="2"/>
        <v>-89000</v>
      </c>
      <c r="F80" s="161">
        <f t="shared" si="3"/>
        <v>-2.8200253485424587E-2</v>
      </c>
    </row>
    <row r="81" spans="1:6" ht="15" customHeight="1" x14ac:dyDescent="0.2">
      <c r="A81" s="147">
        <v>20</v>
      </c>
      <c r="B81" s="160" t="s">
        <v>216</v>
      </c>
      <c r="C81" s="157">
        <v>16189000</v>
      </c>
      <c r="D81" s="157">
        <v>16288000</v>
      </c>
      <c r="E81" s="157">
        <f t="shared" si="2"/>
        <v>99000</v>
      </c>
      <c r="F81" s="161">
        <f t="shared" si="3"/>
        <v>6.1152634504910743E-3</v>
      </c>
    </row>
    <row r="82" spans="1:6" ht="15" customHeight="1" x14ac:dyDescent="0.2">
      <c r="A82" s="147">
        <v>21</v>
      </c>
      <c r="B82" s="160" t="s">
        <v>217</v>
      </c>
      <c r="C82" s="157">
        <v>640000</v>
      </c>
      <c r="D82" s="157">
        <v>1015000</v>
      </c>
      <c r="E82" s="157">
        <f t="shared" si="2"/>
        <v>375000</v>
      </c>
      <c r="F82" s="161">
        <f t="shared" si="3"/>
        <v>0.5859375</v>
      </c>
    </row>
    <row r="83" spans="1:6" ht="15" customHeight="1" x14ac:dyDescent="0.2">
      <c r="A83" s="147">
        <v>22</v>
      </c>
      <c r="B83" s="160" t="s">
        <v>218</v>
      </c>
      <c r="C83" s="157">
        <v>664000</v>
      </c>
      <c r="D83" s="157">
        <v>682000</v>
      </c>
      <c r="E83" s="157">
        <f t="shared" si="2"/>
        <v>18000</v>
      </c>
      <c r="F83" s="161">
        <f t="shared" si="3"/>
        <v>2.710843373493976E-2</v>
      </c>
    </row>
    <row r="84" spans="1:6" ht="15" customHeight="1" x14ac:dyDescent="0.2">
      <c r="A84" s="147">
        <v>23</v>
      </c>
      <c r="B84" s="160" t="s">
        <v>219</v>
      </c>
      <c r="C84" s="157">
        <v>6160000</v>
      </c>
      <c r="D84" s="157">
        <v>5894000</v>
      </c>
      <c r="E84" s="157">
        <f t="shared" si="2"/>
        <v>-266000</v>
      </c>
      <c r="F84" s="161">
        <f t="shared" si="3"/>
        <v>-4.3181818181818182E-2</v>
      </c>
    </row>
    <row r="85" spans="1:6" ht="15" customHeight="1" x14ac:dyDescent="0.2">
      <c r="A85" s="147">
        <v>24</v>
      </c>
      <c r="B85" s="160" t="s">
        <v>220</v>
      </c>
      <c r="C85" s="157">
        <v>4786000</v>
      </c>
      <c r="D85" s="157">
        <v>4956000</v>
      </c>
      <c r="E85" s="157">
        <f t="shared" si="2"/>
        <v>170000</v>
      </c>
      <c r="F85" s="161">
        <f t="shared" si="3"/>
        <v>3.55202674467196E-2</v>
      </c>
    </row>
    <row r="86" spans="1:6" ht="15" customHeight="1" x14ac:dyDescent="0.2">
      <c r="A86" s="147">
        <v>25</v>
      </c>
      <c r="B86" s="160" t="s">
        <v>221</v>
      </c>
      <c r="C86" s="157">
        <v>1328000</v>
      </c>
      <c r="D86" s="157">
        <v>1680000</v>
      </c>
      <c r="E86" s="157">
        <f t="shared" si="2"/>
        <v>352000</v>
      </c>
      <c r="F86" s="161">
        <f t="shared" si="3"/>
        <v>0.26506024096385544</v>
      </c>
    </row>
    <row r="87" spans="1:6" ht="15" customHeight="1" x14ac:dyDescent="0.2">
      <c r="A87" s="147">
        <v>26</v>
      </c>
      <c r="B87" s="160" t="s">
        <v>222</v>
      </c>
      <c r="C87" s="157">
        <v>121768000</v>
      </c>
      <c r="D87" s="157">
        <v>133544000</v>
      </c>
      <c r="E87" s="157">
        <f t="shared" si="2"/>
        <v>11776000</v>
      </c>
      <c r="F87" s="161">
        <f t="shared" si="3"/>
        <v>9.6708494842651593E-2</v>
      </c>
    </row>
    <row r="88" spans="1:6" ht="15" customHeight="1" x14ac:dyDescent="0.2">
      <c r="A88" s="147">
        <v>27</v>
      </c>
      <c r="B88" s="160" t="s">
        <v>223</v>
      </c>
      <c r="C88" s="157">
        <v>140085000</v>
      </c>
      <c r="D88" s="157">
        <v>112249000</v>
      </c>
      <c r="E88" s="157">
        <f t="shared" si="2"/>
        <v>-27836000</v>
      </c>
      <c r="F88" s="161">
        <f t="shared" si="3"/>
        <v>-0.19870792732983547</v>
      </c>
    </row>
    <row r="89" spans="1:6" ht="15" customHeight="1" x14ac:dyDescent="0.2">
      <c r="A89" s="147">
        <v>28</v>
      </c>
      <c r="B89" s="160" t="s">
        <v>224</v>
      </c>
      <c r="C89" s="157">
        <v>121011000</v>
      </c>
      <c r="D89" s="157">
        <v>2772000</v>
      </c>
      <c r="E89" s="157">
        <f t="shared" si="2"/>
        <v>-118239000</v>
      </c>
      <c r="F89" s="161">
        <f t="shared" si="3"/>
        <v>-0.97709299154622309</v>
      </c>
    </row>
    <row r="90" spans="1:6" ht="15.75" customHeight="1" x14ac:dyDescent="0.25">
      <c r="A90" s="147"/>
      <c r="B90" s="162" t="s">
        <v>225</v>
      </c>
      <c r="C90" s="158">
        <f>SUM(C62:C89)</f>
        <v>533312000</v>
      </c>
      <c r="D90" s="158">
        <f>SUM(D62:D89)</f>
        <v>413937000</v>
      </c>
      <c r="E90" s="158">
        <f t="shared" si="2"/>
        <v>-119375000</v>
      </c>
      <c r="F90" s="159">
        <f t="shared" si="3"/>
        <v>-0.22383707848313933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2236673000</v>
      </c>
      <c r="D95" s="158">
        <f>+D93+D90+D59+D50+D47+D44+D41+D35+D30+D24+D18</f>
        <v>2267358000</v>
      </c>
      <c r="E95" s="158">
        <f>+D95-C95</f>
        <v>30685000</v>
      </c>
      <c r="F95" s="159">
        <f>IF(C95=0,0,E95/C95)</f>
        <v>1.3719037159209236E-2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62721270</v>
      </c>
      <c r="D103" s="157">
        <v>75441333</v>
      </c>
      <c r="E103" s="157">
        <f t="shared" ref="E103:E121" si="4">D103-C103</f>
        <v>12720063</v>
      </c>
      <c r="F103" s="161">
        <f t="shared" ref="F103:F121" si="5">IF(C103=0,0,E103/C103)</f>
        <v>0.2028030204107793</v>
      </c>
    </row>
    <row r="104" spans="1:6" ht="15" customHeight="1" x14ac:dyDescent="0.2">
      <c r="A104" s="147">
        <v>2</v>
      </c>
      <c r="B104" s="169" t="s">
        <v>234</v>
      </c>
      <c r="C104" s="157">
        <v>5395950</v>
      </c>
      <c r="D104" s="157">
        <v>5939855</v>
      </c>
      <c r="E104" s="157">
        <f t="shared" si="4"/>
        <v>543905</v>
      </c>
      <c r="F104" s="161">
        <f t="shared" si="5"/>
        <v>0.10079874720855457</v>
      </c>
    </row>
    <row r="105" spans="1:6" ht="15" customHeight="1" x14ac:dyDescent="0.2">
      <c r="A105" s="147">
        <v>3</v>
      </c>
      <c r="B105" s="169" t="s">
        <v>235</v>
      </c>
      <c r="C105" s="157">
        <v>28954137</v>
      </c>
      <c r="D105" s="157">
        <v>33733020</v>
      </c>
      <c r="E105" s="157">
        <f t="shared" si="4"/>
        <v>4778883</v>
      </c>
      <c r="F105" s="161">
        <f t="shared" si="5"/>
        <v>0.16505009284165506</v>
      </c>
    </row>
    <row r="106" spans="1:6" ht="15" customHeight="1" x14ac:dyDescent="0.2">
      <c r="A106" s="147">
        <v>4</v>
      </c>
      <c r="B106" s="169" t="s">
        <v>236</v>
      </c>
      <c r="C106" s="157">
        <v>15328578</v>
      </c>
      <c r="D106" s="157">
        <v>13799808</v>
      </c>
      <c r="E106" s="157">
        <f t="shared" si="4"/>
        <v>-1528770</v>
      </c>
      <c r="F106" s="161">
        <f t="shared" si="5"/>
        <v>-9.9733321642751213E-2</v>
      </c>
    </row>
    <row r="107" spans="1:6" ht="15" customHeight="1" x14ac:dyDescent="0.2">
      <c r="A107" s="147">
        <v>5</v>
      </c>
      <c r="B107" s="169" t="s">
        <v>237</v>
      </c>
      <c r="C107" s="157">
        <v>0</v>
      </c>
      <c r="D107" s="157">
        <v>0</v>
      </c>
      <c r="E107" s="157">
        <f t="shared" si="4"/>
        <v>0</v>
      </c>
      <c r="F107" s="161">
        <f t="shared" si="5"/>
        <v>0</v>
      </c>
    </row>
    <row r="108" spans="1:6" ht="15" customHeight="1" x14ac:dyDescent="0.2">
      <c r="A108" s="147">
        <v>6</v>
      </c>
      <c r="B108" s="169" t="s">
        <v>238</v>
      </c>
      <c r="C108" s="157">
        <v>5668103</v>
      </c>
      <c r="D108" s="157">
        <v>7074250</v>
      </c>
      <c r="E108" s="157">
        <f t="shared" si="4"/>
        <v>1406147</v>
      </c>
      <c r="F108" s="161">
        <f t="shared" si="5"/>
        <v>0.24808070707254262</v>
      </c>
    </row>
    <row r="109" spans="1:6" ht="15" customHeight="1" x14ac:dyDescent="0.2">
      <c r="A109" s="147">
        <v>7</v>
      </c>
      <c r="B109" s="169" t="s">
        <v>239</v>
      </c>
      <c r="C109" s="157">
        <v>3940430</v>
      </c>
      <c r="D109" s="157">
        <v>3988465</v>
      </c>
      <c r="E109" s="157">
        <f t="shared" si="4"/>
        <v>48035</v>
      </c>
      <c r="F109" s="161">
        <f t="shared" si="5"/>
        <v>1.2190293952690442E-2</v>
      </c>
    </row>
    <row r="110" spans="1:6" ht="15" customHeight="1" x14ac:dyDescent="0.2">
      <c r="A110" s="147">
        <v>8</v>
      </c>
      <c r="B110" s="169" t="s">
        <v>240</v>
      </c>
      <c r="C110" s="157">
        <v>1215733</v>
      </c>
      <c r="D110" s="157">
        <v>1203681</v>
      </c>
      <c r="E110" s="157">
        <f t="shared" si="4"/>
        <v>-12052</v>
      </c>
      <c r="F110" s="161">
        <f t="shared" si="5"/>
        <v>-9.9133609106604823E-3</v>
      </c>
    </row>
    <row r="111" spans="1:6" ht="15" customHeight="1" x14ac:dyDescent="0.2">
      <c r="A111" s="147">
        <v>9</v>
      </c>
      <c r="B111" s="169" t="s">
        <v>241</v>
      </c>
      <c r="C111" s="157">
        <v>3578303</v>
      </c>
      <c r="D111" s="157">
        <v>4116140</v>
      </c>
      <c r="E111" s="157">
        <f t="shared" si="4"/>
        <v>537837</v>
      </c>
      <c r="F111" s="161">
        <f t="shared" si="5"/>
        <v>0.1503050468336527</v>
      </c>
    </row>
    <row r="112" spans="1:6" ht="15" customHeight="1" x14ac:dyDescent="0.2">
      <c r="A112" s="147">
        <v>10</v>
      </c>
      <c r="B112" s="169" t="s">
        <v>242</v>
      </c>
      <c r="C112" s="157">
        <v>27199717</v>
      </c>
      <c r="D112" s="157">
        <v>30247701</v>
      </c>
      <c r="E112" s="157">
        <f t="shared" si="4"/>
        <v>3047984</v>
      </c>
      <c r="F112" s="161">
        <f t="shared" si="5"/>
        <v>0.11205940120626991</v>
      </c>
    </row>
    <row r="113" spans="1:6" ht="15" customHeight="1" x14ac:dyDescent="0.2">
      <c r="A113" s="147">
        <v>11</v>
      </c>
      <c r="B113" s="169" t="s">
        <v>243</v>
      </c>
      <c r="C113" s="157">
        <v>26988620</v>
      </c>
      <c r="D113" s="157">
        <v>26844377</v>
      </c>
      <c r="E113" s="157">
        <f t="shared" si="4"/>
        <v>-144243</v>
      </c>
      <c r="F113" s="161">
        <f t="shared" si="5"/>
        <v>-5.3445859773489715E-3</v>
      </c>
    </row>
    <row r="114" spans="1:6" ht="15" customHeight="1" x14ac:dyDescent="0.2">
      <c r="A114" s="147">
        <v>12</v>
      </c>
      <c r="B114" s="169" t="s">
        <v>244</v>
      </c>
      <c r="C114" s="157">
        <v>630338</v>
      </c>
      <c r="D114" s="157">
        <v>259642</v>
      </c>
      <c r="E114" s="157">
        <f t="shared" si="4"/>
        <v>-370696</v>
      </c>
      <c r="F114" s="161">
        <f t="shared" si="5"/>
        <v>-0.58809083380662441</v>
      </c>
    </row>
    <row r="115" spans="1:6" ht="15" customHeight="1" x14ac:dyDescent="0.2">
      <c r="A115" s="147">
        <v>13</v>
      </c>
      <c r="B115" s="169" t="s">
        <v>245</v>
      </c>
      <c r="C115" s="157">
        <v>32606161</v>
      </c>
      <c r="D115" s="157">
        <v>31787858</v>
      </c>
      <c r="E115" s="157">
        <f t="shared" si="4"/>
        <v>-818303</v>
      </c>
      <c r="F115" s="161">
        <f t="shared" si="5"/>
        <v>-2.5096576073460473E-2</v>
      </c>
    </row>
    <row r="116" spans="1:6" ht="15" customHeight="1" x14ac:dyDescent="0.2">
      <c r="A116" s="147">
        <v>14</v>
      </c>
      <c r="B116" s="169" t="s">
        <v>246</v>
      </c>
      <c r="C116" s="157">
        <v>10285731</v>
      </c>
      <c r="D116" s="157">
        <v>9481819</v>
      </c>
      <c r="E116" s="157">
        <f t="shared" si="4"/>
        <v>-803912</v>
      </c>
      <c r="F116" s="161">
        <f t="shared" si="5"/>
        <v>-7.8157984104386943E-2</v>
      </c>
    </row>
    <row r="117" spans="1:6" ht="15" customHeight="1" x14ac:dyDescent="0.2">
      <c r="A117" s="147">
        <v>15</v>
      </c>
      <c r="B117" s="169" t="s">
        <v>203</v>
      </c>
      <c r="C117" s="157">
        <v>23216912</v>
      </c>
      <c r="D117" s="157">
        <v>26526956</v>
      </c>
      <c r="E117" s="157">
        <f t="shared" si="4"/>
        <v>3310044</v>
      </c>
      <c r="F117" s="161">
        <f t="shared" si="5"/>
        <v>0.14257038145296841</v>
      </c>
    </row>
    <row r="118" spans="1:6" ht="15" customHeight="1" x14ac:dyDescent="0.2">
      <c r="A118" s="147">
        <v>16</v>
      </c>
      <c r="B118" s="169" t="s">
        <v>247</v>
      </c>
      <c r="C118" s="157">
        <v>11388395</v>
      </c>
      <c r="D118" s="157">
        <v>10348691</v>
      </c>
      <c r="E118" s="157">
        <f t="shared" si="4"/>
        <v>-1039704</v>
      </c>
      <c r="F118" s="161">
        <f t="shared" si="5"/>
        <v>-9.1295042014261002E-2</v>
      </c>
    </row>
    <row r="119" spans="1:6" ht="15" customHeight="1" x14ac:dyDescent="0.2">
      <c r="A119" s="147">
        <v>17</v>
      </c>
      <c r="B119" s="169" t="s">
        <v>248</v>
      </c>
      <c r="C119" s="157">
        <v>57067003</v>
      </c>
      <c r="D119" s="157">
        <v>61967523</v>
      </c>
      <c r="E119" s="157">
        <f t="shared" si="4"/>
        <v>4900520</v>
      </c>
      <c r="F119" s="161">
        <f t="shared" si="5"/>
        <v>8.5873092021320971E-2</v>
      </c>
    </row>
    <row r="120" spans="1:6" ht="15" customHeight="1" x14ac:dyDescent="0.2">
      <c r="A120" s="147">
        <v>18</v>
      </c>
      <c r="B120" s="169" t="s">
        <v>249</v>
      </c>
      <c r="C120" s="157">
        <v>487232237</v>
      </c>
      <c r="D120" s="157">
        <v>462125104</v>
      </c>
      <c r="E120" s="157">
        <f t="shared" si="4"/>
        <v>-25107133</v>
      </c>
      <c r="F120" s="161">
        <f t="shared" si="5"/>
        <v>-5.1530114580657357E-2</v>
      </c>
    </row>
    <row r="121" spans="1:6" ht="15.75" customHeight="1" x14ac:dyDescent="0.25">
      <c r="A121" s="147"/>
      <c r="B121" s="165" t="s">
        <v>250</v>
      </c>
      <c r="C121" s="158">
        <f>SUM(C103:C120)</f>
        <v>803417618</v>
      </c>
      <c r="D121" s="158">
        <f>SUM(D103:D120)</f>
        <v>804886223</v>
      </c>
      <c r="E121" s="158">
        <f t="shared" si="4"/>
        <v>1468605</v>
      </c>
      <c r="F121" s="159">
        <f t="shared" si="5"/>
        <v>1.8279472183543777E-3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52151125</v>
      </c>
      <c r="D124" s="157">
        <v>48015009</v>
      </c>
      <c r="E124" s="157">
        <f t="shared" ref="E124:E130" si="6">D124-C124</f>
        <v>-4136116</v>
      </c>
      <c r="F124" s="161">
        <f t="shared" ref="F124:F130" si="7">IF(C124=0,0,E124/C124)</f>
        <v>-7.9310197047522943E-2</v>
      </c>
    </row>
    <row r="125" spans="1:6" ht="15" customHeight="1" x14ac:dyDescent="0.2">
      <c r="A125" s="147">
        <v>2</v>
      </c>
      <c r="B125" s="169" t="s">
        <v>253</v>
      </c>
      <c r="C125" s="157">
        <v>66068752</v>
      </c>
      <c r="D125" s="157">
        <v>72942628</v>
      </c>
      <c r="E125" s="157">
        <f t="shared" si="6"/>
        <v>6873876</v>
      </c>
      <c r="F125" s="161">
        <f t="shared" si="7"/>
        <v>0.1040412569015985</v>
      </c>
    </row>
    <row r="126" spans="1:6" ht="15" customHeight="1" x14ac:dyDescent="0.2">
      <c r="A126" s="147">
        <v>3</v>
      </c>
      <c r="B126" s="169" t="s">
        <v>254</v>
      </c>
      <c r="C126" s="157">
        <v>18299375</v>
      </c>
      <c r="D126" s="157">
        <v>16593282</v>
      </c>
      <c r="E126" s="157">
        <f t="shared" si="6"/>
        <v>-1706093</v>
      </c>
      <c r="F126" s="161">
        <f t="shared" si="7"/>
        <v>-9.3232309846647765E-2</v>
      </c>
    </row>
    <row r="127" spans="1:6" ht="15" customHeight="1" x14ac:dyDescent="0.2">
      <c r="A127" s="147">
        <v>4</v>
      </c>
      <c r="B127" s="169" t="s">
        <v>255</v>
      </c>
      <c r="C127" s="157">
        <v>13082778</v>
      </c>
      <c r="D127" s="157">
        <v>4736709</v>
      </c>
      <c r="E127" s="157">
        <f t="shared" si="6"/>
        <v>-8346069</v>
      </c>
      <c r="F127" s="161">
        <f t="shared" si="7"/>
        <v>-0.63794317995765115</v>
      </c>
    </row>
    <row r="128" spans="1:6" ht="15" customHeight="1" x14ac:dyDescent="0.2">
      <c r="A128" s="147">
        <v>5</v>
      </c>
      <c r="B128" s="169" t="s">
        <v>256</v>
      </c>
      <c r="C128" s="157">
        <v>7682075</v>
      </c>
      <c r="D128" s="157">
        <v>6553678</v>
      </c>
      <c r="E128" s="157">
        <f t="shared" si="6"/>
        <v>-1128397</v>
      </c>
      <c r="F128" s="161">
        <f t="shared" si="7"/>
        <v>-0.14688700644031724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157284105</v>
      </c>
      <c r="D130" s="158">
        <f>SUM(D124:D129)</f>
        <v>148841306</v>
      </c>
      <c r="E130" s="158">
        <f t="shared" si="6"/>
        <v>-8442799</v>
      </c>
      <c r="F130" s="159">
        <f t="shared" si="7"/>
        <v>-5.3678653669421969E-2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142606666</v>
      </c>
      <c r="D133" s="157">
        <v>150499810</v>
      </c>
      <c r="E133" s="157">
        <f t="shared" ref="E133:E167" si="8">D133-C133</f>
        <v>7893144</v>
      </c>
      <c r="F133" s="161">
        <f t="shared" ref="F133:F167" si="9">IF(C133=0,0,E133/C133)</f>
        <v>5.5349053598939053E-2</v>
      </c>
    </row>
    <row r="134" spans="1:6" ht="15" customHeight="1" x14ac:dyDescent="0.2">
      <c r="A134" s="147">
        <v>2</v>
      </c>
      <c r="B134" s="169" t="s">
        <v>261</v>
      </c>
      <c r="C134" s="157">
        <v>11467125</v>
      </c>
      <c r="D134" s="157">
        <v>11171001</v>
      </c>
      <c r="E134" s="157">
        <f t="shared" si="8"/>
        <v>-296124</v>
      </c>
      <c r="F134" s="161">
        <f t="shared" si="9"/>
        <v>-2.5823735243140716E-2</v>
      </c>
    </row>
    <row r="135" spans="1:6" ht="15" customHeight="1" x14ac:dyDescent="0.2">
      <c r="A135" s="147">
        <v>3</v>
      </c>
      <c r="B135" s="169" t="s">
        <v>262</v>
      </c>
      <c r="C135" s="157">
        <v>20001438</v>
      </c>
      <c r="D135" s="157">
        <v>21991514</v>
      </c>
      <c r="E135" s="157">
        <f t="shared" si="8"/>
        <v>1990076</v>
      </c>
      <c r="F135" s="161">
        <f t="shared" si="9"/>
        <v>9.9496646191138863E-2</v>
      </c>
    </row>
    <row r="136" spans="1:6" ht="15" customHeight="1" x14ac:dyDescent="0.2">
      <c r="A136" s="147">
        <v>4</v>
      </c>
      <c r="B136" s="169" t="s">
        <v>263</v>
      </c>
      <c r="C136" s="157">
        <v>12467329</v>
      </c>
      <c r="D136" s="157">
        <v>12693400</v>
      </c>
      <c r="E136" s="157">
        <f t="shared" si="8"/>
        <v>226071</v>
      </c>
      <c r="F136" s="161">
        <f t="shared" si="9"/>
        <v>1.8133074052990823E-2</v>
      </c>
    </row>
    <row r="137" spans="1:6" ht="15" customHeight="1" x14ac:dyDescent="0.2">
      <c r="A137" s="147">
        <v>5</v>
      </c>
      <c r="B137" s="169" t="s">
        <v>264</v>
      </c>
      <c r="C137" s="157">
        <v>36698324</v>
      </c>
      <c r="D137" s="157">
        <v>37037409</v>
      </c>
      <c r="E137" s="157">
        <f t="shared" si="8"/>
        <v>339085</v>
      </c>
      <c r="F137" s="161">
        <f t="shared" si="9"/>
        <v>9.2397952560449356E-3</v>
      </c>
    </row>
    <row r="138" spans="1:6" ht="15" customHeight="1" x14ac:dyDescent="0.2">
      <c r="A138" s="147">
        <v>6</v>
      </c>
      <c r="B138" s="169" t="s">
        <v>265</v>
      </c>
      <c r="C138" s="157">
        <v>6467464</v>
      </c>
      <c r="D138" s="157">
        <v>3750695</v>
      </c>
      <c r="E138" s="157">
        <f t="shared" si="8"/>
        <v>-2716769</v>
      </c>
      <c r="F138" s="161">
        <f t="shared" si="9"/>
        <v>-0.42006712368248206</v>
      </c>
    </row>
    <row r="139" spans="1:6" ht="15" customHeight="1" x14ac:dyDescent="0.2">
      <c r="A139" s="147">
        <v>7</v>
      </c>
      <c r="B139" s="169" t="s">
        <v>266</v>
      </c>
      <c r="C139" s="157">
        <v>18576883</v>
      </c>
      <c r="D139" s="157">
        <v>17012192</v>
      </c>
      <c r="E139" s="157">
        <f t="shared" si="8"/>
        <v>-1564691</v>
      </c>
      <c r="F139" s="161">
        <f t="shared" si="9"/>
        <v>-8.4227854586800169E-2</v>
      </c>
    </row>
    <row r="140" spans="1:6" ht="15" customHeight="1" x14ac:dyDescent="0.2">
      <c r="A140" s="147">
        <v>8</v>
      </c>
      <c r="B140" s="169" t="s">
        <v>267</v>
      </c>
      <c r="C140" s="157">
        <v>36625486</v>
      </c>
      <c r="D140" s="157">
        <v>37361446</v>
      </c>
      <c r="E140" s="157">
        <f t="shared" si="8"/>
        <v>735960</v>
      </c>
      <c r="F140" s="161">
        <f t="shared" si="9"/>
        <v>2.0094204347213304E-2</v>
      </c>
    </row>
    <row r="141" spans="1:6" ht="15" customHeight="1" x14ac:dyDescent="0.2">
      <c r="A141" s="147">
        <v>9</v>
      </c>
      <c r="B141" s="169" t="s">
        <v>268</v>
      </c>
      <c r="C141" s="157">
        <v>5699029</v>
      </c>
      <c r="D141" s="157">
        <v>6133284</v>
      </c>
      <c r="E141" s="157">
        <f t="shared" si="8"/>
        <v>434255</v>
      </c>
      <c r="F141" s="161">
        <f t="shared" si="9"/>
        <v>7.6198068127044105E-2</v>
      </c>
    </row>
    <row r="142" spans="1:6" ht="15" customHeight="1" x14ac:dyDescent="0.2">
      <c r="A142" s="147">
        <v>10</v>
      </c>
      <c r="B142" s="169" t="s">
        <v>269</v>
      </c>
      <c r="C142" s="157">
        <v>70002945</v>
      </c>
      <c r="D142" s="157">
        <v>70795323</v>
      </c>
      <c r="E142" s="157">
        <f t="shared" si="8"/>
        <v>792378</v>
      </c>
      <c r="F142" s="161">
        <f t="shared" si="9"/>
        <v>1.1319209498971793E-2</v>
      </c>
    </row>
    <row r="143" spans="1:6" ht="15" customHeight="1" x14ac:dyDescent="0.2">
      <c r="A143" s="147">
        <v>11</v>
      </c>
      <c r="B143" s="169" t="s">
        <v>270</v>
      </c>
      <c r="C143" s="157">
        <v>22315749</v>
      </c>
      <c r="D143" s="157">
        <v>21711671</v>
      </c>
      <c r="E143" s="157">
        <f t="shared" si="8"/>
        <v>-604078</v>
      </c>
      <c r="F143" s="161">
        <f t="shared" si="9"/>
        <v>-2.7069582114407183E-2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11168933</v>
      </c>
      <c r="E144" s="157">
        <f t="shared" si="8"/>
        <v>11168933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19416864</v>
      </c>
      <c r="D145" s="157">
        <v>21139010</v>
      </c>
      <c r="E145" s="157">
        <f t="shared" si="8"/>
        <v>1722146</v>
      </c>
      <c r="F145" s="161">
        <f t="shared" si="9"/>
        <v>8.8693313194138867E-2</v>
      </c>
    </row>
    <row r="146" spans="1:6" ht="15" customHeight="1" x14ac:dyDescent="0.2">
      <c r="A146" s="147">
        <v>14</v>
      </c>
      <c r="B146" s="169" t="s">
        <v>273</v>
      </c>
      <c r="C146" s="157">
        <v>6829348</v>
      </c>
      <c r="D146" s="157">
        <v>4331223</v>
      </c>
      <c r="E146" s="157">
        <f t="shared" si="8"/>
        <v>-2498125</v>
      </c>
      <c r="F146" s="161">
        <f t="shared" si="9"/>
        <v>-0.36579260567773086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15635790</v>
      </c>
      <c r="D150" s="157">
        <v>16062363</v>
      </c>
      <c r="E150" s="157">
        <f t="shared" si="8"/>
        <v>426573</v>
      </c>
      <c r="F150" s="161">
        <f t="shared" si="9"/>
        <v>2.7281832257915972E-2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2803130</v>
      </c>
      <c r="E151" s="157">
        <f t="shared" si="8"/>
        <v>2803130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1122447</v>
      </c>
      <c r="E152" s="157">
        <f t="shared" si="8"/>
        <v>1122447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6301283</v>
      </c>
      <c r="D154" s="157">
        <v>7347636</v>
      </c>
      <c r="E154" s="157">
        <f t="shared" si="8"/>
        <v>1046353</v>
      </c>
      <c r="F154" s="161">
        <f t="shared" si="9"/>
        <v>0.16605396075688078</v>
      </c>
    </row>
    <row r="155" spans="1:6" ht="15" customHeight="1" x14ac:dyDescent="0.2">
      <c r="A155" s="147">
        <v>23</v>
      </c>
      <c r="B155" s="169" t="s">
        <v>282</v>
      </c>
      <c r="C155" s="157">
        <v>3882776</v>
      </c>
      <c r="D155" s="157">
        <v>3782301</v>
      </c>
      <c r="E155" s="157">
        <f t="shared" si="8"/>
        <v>-100475</v>
      </c>
      <c r="F155" s="161">
        <f t="shared" si="9"/>
        <v>-2.5877104422196904E-2</v>
      </c>
    </row>
    <row r="156" spans="1:6" ht="15" customHeight="1" x14ac:dyDescent="0.2">
      <c r="A156" s="147">
        <v>24</v>
      </c>
      <c r="B156" s="169" t="s">
        <v>283</v>
      </c>
      <c r="C156" s="157">
        <v>67237087</v>
      </c>
      <c r="D156" s="157">
        <v>65604860</v>
      </c>
      <c r="E156" s="157">
        <f t="shared" si="8"/>
        <v>-1632227</v>
      </c>
      <c r="F156" s="161">
        <f t="shared" si="9"/>
        <v>-2.4275694751618254E-2</v>
      </c>
    </row>
    <row r="157" spans="1:6" ht="15" customHeight="1" x14ac:dyDescent="0.2">
      <c r="A157" s="147">
        <v>25</v>
      </c>
      <c r="B157" s="169" t="s">
        <v>284</v>
      </c>
      <c r="C157" s="157">
        <v>7876965</v>
      </c>
      <c r="D157" s="157">
        <v>7500370</v>
      </c>
      <c r="E157" s="157">
        <f t="shared" si="8"/>
        <v>-376595</v>
      </c>
      <c r="F157" s="161">
        <f t="shared" si="9"/>
        <v>-4.7809657653677527E-2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2775834</v>
      </c>
      <c r="D160" s="157">
        <v>2224330</v>
      </c>
      <c r="E160" s="157">
        <f t="shared" si="8"/>
        <v>-551504</v>
      </c>
      <c r="F160" s="161">
        <f t="shared" si="9"/>
        <v>-0.19868046864473884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5105156</v>
      </c>
      <c r="D163" s="157">
        <v>6469743</v>
      </c>
      <c r="E163" s="157">
        <f t="shared" si="8"/>
        <v>1364587</v>
      </c>
      <c r="F163" s="161">
        <f t="shared" si="9"/>
        <v>0.26729584757057373</v>
      </c>
    </row>
    <row r="164" spans="1:6" ht="15" customHeight="1" x14ac:dyDescent="0.2">
      <c r="A164" s="147">
        <v>32</v>
      </c>
      <c r="B164" s="169" t="s">
        <v>291</v>
      </c>
      <c r="C164" s="157">
        <v>8863644</v>
      </c>
      <c r="D164" s="157">
        <v>9247336</v>
      </c>
      <c r="E164" s="157">
        <f t="shared" si="8"/>
        <v>383692</v>
      </c>
      <c r="F164" s="161">
        <f t="shared" si="9"/>
        <v>4.3288290910600651E-2</v>
      </c>
    </row>
    <row r="165" spans="1:6" ht="15" customHeight="1" x14ac:dyDescent="0.2">
      <c r="A165" s="147">
        <v>33</v>
      </c>
      <c r="B165" s="169" t="s">
        <v>292</v>
      </c>
      <c r="C165" s="157">
        <v>4225639</v>
      </c>
      <c r="D165" s="157">
        <v>4056430</v>
      </c>
      <c r="E165" s="157">
        <f t="shared" si="8"/>
        <v>-169209</v>
      </c>
      <c r="F165" s="161">
        <f t="shared" si="9"/>
        <v>-4.0043411185858517E-2</v>
      </c>
    </row>
    <row r="166" spans="1:6" ht="15" customHeight="1" x14ac:dyDescent="0.2">
      <c r="A166" s="147">
        <v>34</v>
      </c>
      <c r="B166" s="169" t="s">
        <v>293</v>
      </c>
      <c r="C166" s="157">
        <v>4721122</v>
      </c>
      <c r="D166" s="157">
        <v>5365596</v>
      </c>
      <c r="E166" s="157">
        <f t="shared" si="8"/>
        <v>644474</v>
      </c>
      <c r="F166" s="161">
        <f t="shared" si="9"/>
        <v>0.13650865196874812</v>
      </c>
    </row>
    <row r="167" spans="1:6" ht="15.75" customHeight="1" x14ac:dyDescent="0.25">
      <c r="A167" s="147"/>
      <c r="B167" s="165" t="s">
        <v>294</v>
      </c>
      <c r="C167" s="158">
        <f>SUM(C133:C166)</f>
        <v>535799946</v>
      </c>
      <c r="D167" s="158">
        <f>SUM(D133:D166)</f>
        <v>558383453</v>
      </c>
      <c r="E167" s="158">
        <f t="shared" si="8"/>
        <v>22583507</v>
      </c>
      <c r="F167" s="159">
        <f t="shared" si="9"/>
        <v>4.2149140119547533E-2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220229180</v>
      </c>
      <c r="D170" s="157">
        <v>211549331</v>
      </c>
      <c r="E170" s="157">
        <f t="shared" ref="E170:E183" si="10">D170-C170</f>
        <v>-8679849</v>
      </c>
      <c r="F170" s="161">
        <f t="shared" ref="F170:F183" si="11">IF(C170=0,0,E170/C170)</f>
        <v>-3.9412801700483106E-2</v>
      </c>
    </row>
    <row r="171" spans="1:6" ht="15" customHeight="1" x14ac:dyDescent="0.2">
      <c r="A171" s="147">
        <v>2</v>
      </c>
      <c r="B171" s="169" t="s">
        <v>297</v>
      </c>
      <c r="C171" s="157">
        <v>57763763</v>
      </c>
      <c r="D171" s="157">
        <v>55379591</v>
      </c>
      <c r="E171" s="157">
        <f t="shared" si="10"/>
        <v>-2384172</v>
      </c>
      <c r="F171" s="161">
        <f t="shared" si="11"/>
        <v>-4.1274527076776493E-2</v>
      </c>
    </row>
    <row r="172" spans="1:6" ht="15" customHeight="1" x14ac:dyDescent="0.2">
      <c r="A172" s="147">
        <v>3</v>
      </c>
      <c r="B172" s="169" t="s">
        <v>298</v>
      </c>
      <c r="C172" s="157">
        <v>10858604</v>
      </c>
      <c r="D172" s="157">
        <v>9832208</v>
      </c>
      <c r="E172" s="157">
        <f t="shared" si="10"/>
        <v>-1026396</v>
      </c>
      <c r="F172" s="161">
        <f t="shared" si="11"/>
        <v>-9.4523752777060474E-2</v>
      </c>
    </row>
    <row r="173" spans="1:6" ht="15" customHeight="1" x14ac:dyDescent="0.2">
      <c r="A173" s="147">
        <v>4</v>
      </c>
      <c r="B173" s="169" t="s">
        <v>299</v>
      </c>
      <c r="C173" s="157">
        <v>22959848</v>
      </c>
      <c r="D173" s="157">
        <v>26347540</v>
      </c>
      <c r="E173" s="157">
        <f t="shared" si="10"/>
        <v>3387692</v>
      </c>
      <c r="F173" s="161">
        <f t="shared" si="11"/>
        <v>0.14754853777777624</v>
      </c>
    </row>
    <row r="174" spans="1:6" ht="15" customHeight="1" x14ac:dyDescent="0.2">
      <c r="A174" s="147">
        <v>5</v>
      </c>
      <c r="B174" s="169" t="s">
        <v>300</v>
      </c>
      <c r="C174" s="157">
        <v>16076947</v>
      </c>
      <c r="D174" s="157">
        <v>15805949</v>
      </c>
      <c r="E174" s="157">
        <f t="shared" si="10"/>
        <v>-270998</v>
      </c>
      <c r="F174" s="161">
        <f t="shared" si="11"/>
        <v>-1.6856309845395396E-2</v>
      </c>
    </row>
    <row r="175" spans="1:6" ht="15" customHeight="1" x14ac:dyDescent="0.2">
      <c r="A175" s="147">
        <v>6</v>
      </c>
      <c r="B175" s="169" t="s">
        <v>301</v>
      </c>
      <c r="C175" s="157">
        <v>7944400</v>
      </c>
      <c r="D175" s="157">
        <v>8589773</v>
      </c>
      <c r="E175" s="157">
        <f t="shared" si="10"/>
        <v>645373</v>
      </c>
      <c r="F175" s="161">
        <f t="shared" si="11"/>
        <v>8.123621670610745E-2</v>
      </c>
    </row>
    <row r="176" spans="1:6" ht="15" customHeight="1" x14ac:dyDescent="0.2">
      <c r="A176" s="147">
        <v>7</v>
      </c>
      <c r="B176" s="169" t="s">
        <v>302</v>
      </c>
      <c r="C176" s="157">
        <v>7672660</v>
      </c>
      <c r="D176" s="157">
        <v>4927946</v>
      </c>
      <c r="E176" s="157">
        <f t="shared" si="10"/>
        <v>-2744714</v>
      </c>
      <c r="F176" s="161">
        <f t="shared" si="11"/>
        <v>-0.35772652509038588</v>
      </c>
    </row>
    <row r="177" spans="1:6" ht="15" customHeight="1" x14ac:dyDescent="0.2">
      <c r="A177" s="147">
        <v>8</v>
      </c>
      <c r="B177" s="169" t="s">
        <v>303</v>
      </c>
      <c r="C177" s="157">
        <v>19502683</v>
      </c>
      <c r="D177" s="157">
        <v>19736886</v>
      </c>
      <c r="E177" s="157">
        <f t="shared" si="10"/>
        <v>234203</v>
      </c>
      <c r="F177" s="161">
        <f t="shared" si="11"/>
        <v>1.2008757974479716E-2</v>
      </c>
    </row>
    <row r="178" spans="1:6" ht="15" customHeight="1" x14ac:dyDescent="0.2">
      <c r="A178" s="147">
        <v>9</v>
      </c>
      <c r="B178" s="169" t="s">
        <v>304</v>
      </c>
      <c r="C178" s="157">
        <v>1712909</v>
      </c>
      <c r="D178" s="157">
        <v>1539963</v>
      </c>
      <c r="E178" s="157">
        <f t="shared" si="10"/>
        <v>-172946</v>
      </c>
      <c r="F178" s="161">
        <f t="shared" si="11"/>
        <v>-0.1009662509800579</v>
      </c>
    </row>
    <row r="179" spans="1:6" ht="15" customHeight="1" x14ac:dyDescent="0.2">
      <c r="A179" s="147">
        <v>10</v>
      </c>
      <c r="B179" s="169" t="s">
        <v>305</v>
      </c>
      <c r="C179" s="157">
        <v>10253989</v>
      </c>
      <c r="D179" s="157">
        <v>10284386</v>
      </c>
      <c r="E179" s="157">
        <f t="shared" si="10"/>
        <v>30397</v>
      </c>
      <c r="F179" s="161">
        <f t="shared" si="11"/>
        <v>2.9644073150458814E-3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199679009</v>
      </c>
      <c r="D181" s="157">
        <v>213406479</v>
      </c>
      <c r="E181" s="157">
        <f t="shared" si="10"/>
        <v>13727470</v>
      </c>
      <c r="F181" s="161">
        <f t="shared" si="11"/>
        <v>6.8747686943899045E-2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574653992</v>
      </c>
      <c r="D183" s="158">
        <f>SUM(D170:D182)</f>
        <v>577400052</v>
      </c>
      <c r="E183" s="158">
        <f t="shared" si="10"/>
        <v>2746060</v>
      </c>
      <c r="F183" s="159">
        <f t="shared" si="11"/>
        <v>4.7786320781358117E-3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165517339</v>
      </c>
      <c r="D186" s="157">
        <v>177846966</v>
      </c>
      <c r="E186" s="157">
        <f>D186-C186</f>
        <v>12329627</v>
      </c>
      <c r="F186" s="161">
        <f>IF(C186=0,0,E186/C186)</f>
        <v>7.4491452523895399E-2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2236673000</v>
      </c>
      <c r="D188" s="158">
        <f>+D186+D183+D167+D130+D121</f>
        <v>2267358000</v>
      </c>
      <c r="E188" s="158">
        <f>D188-C188</f>
        <v>30685000</v>
      </c>
      <c r="F188" s="159">
        <f>IF(C188=0,0,E188/C188)</f>
        <v>1.3719037159209236E-2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FILING&amp;RYALE-NEW HAVEN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1713271000</v>
      </c>
      <c r="D11" s="183">
        <v>2282916000</v>
      </c>
      <c r="E11" s="76">
        <v>2338353000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47560000</v>
      </c>
      <c r="D12" s="185">
        <v>58633000</v>
      </c>
      <c r="E12" s="185">
        <v>63551000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1760831000</v>
      </c>
      <c r="D13" s="76">
        <f>+D11+D12</f>
        <v>2341549000</v>
      </c>
      <c r="E13" s="76">
        <f>+E11+E12</f>
        <v>2401904000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1654251000</v>
      </c>
      <c r="D14" s="185">
        <v>2236673000</v>
      </c>
      <c r="E14" s="185">
        <v>2267358000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106580000</v>
      </c>
      <c r="D15" s="76">
        <f>+D13-D14</f>
        <v>104876000</v>
      </c>
      <c r="E15" s="76">
        <f>+E13-E14</f>
        <v>134546000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24029000</v>
      </c>
      <c r="D16" s="185">
        <v>73846000</v>
      </c>
      <c r="E16" s="185">
        <v>30156000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130609000</v>
      </c>
      <c r="D17" s="76">
        <f>D15+D16</f>
        <v>178722000</v>
      </c>
      <c r="E17" s="76">
        <f>E15+E16</f>
        <v>164702000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5.9713366874712862E-2</v>
      </c>
      <c r="D20" s="189">
        <f>IF(+D27=0,0,+D24/+D27)</f>
        <v>4.3419813322458645E-2</v>
      </c>
      <c r="E20" s="189">
        <f>IF(+E27=0,0,+E24/+E27)</f>
        <v>5.5321825941794196E-2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1.3462680546373385E-2</v>
      </c>
      <c r="D21" s="189">
        <f>IF(D27=0,0,+D26/D27)</f>
        <v>3.0573053268720025E-2</v>
      </c>
      <c r="E21" s="189">
        <f>IF(E27=0,0,+E26/E27)</f>
        <v>1.2399365147241433E-2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7.3176047421086243E-2</v>
      </c>
      <c r="D22" s="189">
        <f>IF(D27=0,0,+D28/D27)</f>
        <v>7.3992866591178666E-2</v>
      </c>
      <c r="E22" s="189">
        <f>IF(E27=0,0,+E28/E27)</f>
        <v>6.7721191089035626E-2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106580000</v>
      </c>
      <c r="D24" s="76">
        <f>+D15</f>
        <v>104876000</v>
      </c>
      <c r="E24" s="76">
        <f>+E15</f>
        <v>134546000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1760831000</v>
      </c>
      <c r="D25" s="76">
        <f>+D13</f>
        <v>2341549000</v>
      </c>
      <c r="E25" s="76">
        <f>+E13</f>
        <v>2401904000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24029000</v>
      </c>
      <c r="D26" s="76">
        <f>+D16</f>
        <v>73846000</v>
      </c>
      <c r="E26" s="76">
        <f>+E16</f>
        <v>30156000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1784860000</v>
      </c>
      <c r="D27" s="76">
        <f>+D25+D26</f>
        <v>2415395000</v>
      </c>
      <c r="E27" s="76">
        <f>+E25+E26</f>
        <v>2432060000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130609000</v>
      </c>
      <c r="D28" s="76">
        <f>+D17</f>
        <v>178722000</v>
      </c>
      <c r="E28" s="76">
        <f>+E17</f>
        <v>164702000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676008000</v>
      </c>
      <c r="D31" s="76">
        <v>930988000</v>
      </c>
      <c r="E31" s="76">
        <v>1020378000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748778000</v>
      </c>
      <c r="D32" s="76">
        <v>1018125000</v>
      </c>
      <c r="E32" s="76">
        <v>1120602000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74691000</v>
      </c>
      <c r="D33" s="76">
        <f>+D32-C32</f>
        <v>269347000</v>
      </c>
      <c r="E33" s="76">
        <f>+E32-D32</f>
        <v>102477000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1.1108</v>
      </c>
      <c r="D34" s="193">
        <f>IF(C32=0,0,+D33/C32)</f>
        <v>0.35971542967341458</v>
      </c>
      <c r="E34" s="193">
        <f>IF(D32=0,0,+E33/D32)</f>
        <v>0.10065267034990792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0.28802948956627128</v>
      </c>
      <c r="D38" s="195">
        <f>IF((D40+D41)=0,0,+D39/(D40+D41))</f>
        <v>0.27123322994865828</v>
      </c>
      <c r="E38" s="195">
        <f>IF((E40+E41)=0,0,+E39/(E40+E41))</f>
        <v>0.27030087686059229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1654251000</v>
      </c>
      <c r="D39" s="76">
        <v>2236673000</v>
      </c>
      <c r="E39" s="196">
        <v>2267358000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5740304076</v>
      </c>
      <c r="D40" s="76">
        <v>8243052871</v>
      </c>
      <c r="E40" s="196">
        <v>8384978567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3034922</v>
      </c>
      <c r="D41" s="76">
        <v>3256036</v>
      </c>
      <c r="E41" s="196">
        <v>3296108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1.4013613229890949</v>
      </c>
      <c r="D43" s="197">
        <f>IF(D38=0,0,IF((D46-D47)=0,0,((+D44-D45)/(D46-D47)/D38)))</f>
        <v>1.4691565950810439</v>
      </c>
      <c r="E43" s="197">
        <f>IF(E38=0,0,IF((E46-E47)=0,0,((+E44-E45)/(E46-E47)/E38)))</f>
        <v>1.6024629477231116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910703894</v>
      </c>
      <c r="D44" s="76">
        <v>1220973590</v>
      </c>
      <c r="E44" s="196">
        <v>1311882701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11106305</v>
      </c>
      <c r="D45" s="76">
        <v>12519061</v>
      </c>
      <c r="E45" s="196">
        <v>22681195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2345778878</v>
      </c>
      <c r="D46" s="76">
        <v>3193811532</v>
      </c>
      <c r="E46" s="196">
        <v>3136982541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117029674</v>
      </c>
      <c r="D47" s="76">
        <v>161182216</v>
      </c>
      <c r="E47" s="76">
        <v>160623269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0.82984287397877288</v>
      </c>
      <c r="D49" s="198">
        <f>IF(D38=0,0,IF(D51=0,0,(D50/D51)/D38))</f>
        <v>0.8250935681544922</v>
      </c>
      <c r="E49" s="198">
        <f>IF(E38=0,0,IF(E51=0,0,(E50/E51)/E38))</f>
        <v>0.84413999169709486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482971170</v>
      </c>
      <c r="D50" s="199">
        <v>715953635</v>
      </c>
      <c r="E50" s="199">
        <v>777221051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2020637383</v>
      </c>
      <c r="D51" s="199">
        <v>3199180920</v>
      </c>
      <c r="E51" s="199">
        <v>3406297883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0.65955425408107382</v>
      </c>
      <c r="D53" s="198">
        <f>IF(D38=0,0,IF(D55=0,0,(D54/D55)/D38))</f>
        <v>0.68684343739115905</v>
      </c>
      <c r="E53" s="198">
        <f>IF(E38=0,0,IF(E55=0,0,(E54/E55)/E38))</f>
        <v>0.43973051785215833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254834152</v>
      </c>
      <c r="D54" s="199">
        <v>337078611</v>
      </c>
      <c r="E54" s="199">
        <v>213273241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1341436594</v>
      </c>
      <c r="D55" s="199">
        <v>1809383172</v>
      </c>
      <c r="E55" s="199">
        <v>1794329953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31889608.916738365</v>
      </c>
      <c r="D57" s="88">
        <f>+D60*D38</f>
        <v>41003683.537488416</v>
      </c>
      <c r="E57" s="88">
        <f>+E60*E38</f>
        <v>54368588.672616392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35745214</v>
      </c>
      <c r="D58" s="199">
        <v>32480929</v>
      </c>
      <c r="E58" s="199">
        <v>43211397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74971258</v>
      </c>
      <c r="D59" s="199">
        <v>118694071</v>
      </c>
      <c r="E59" s="199">
        <v>157929603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110716472</v>
      </c>
      <c r="D60" s="76">
        <v>151175000</v>
      </c>
      <c r="E60" s="201">
        <v>201141000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1.9277370191547936E-2</v>
      </c>
      <c r="D62" s="202">
        <f>IF(D63=0,0,+D57/D63)</f>
        <v>1.8332444455442711E-2</v>
      </c>
      <c r="E62" s="202">
        <f>IF(E63=0,0,+E57/E63)</f>
        <v>2.3978828518750189E-2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1654251000</v>
      </c>
      <c r="D63" s="199">
        <v>2236673000</v>
      </c>
      <c r="E63" s="199">
        <v>2267358000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2.2697835752551687</v>
      </c>
      <c r="D67" s="203">
        <f>IF(D69=0,0,D68/D69)</f>
        <v>2.9393992942468614</v>
      </c>
      <c r="E67" s="203">
        <f>IF(E69=0,0,E68/E69)</f>
        <v>3.4012409645934576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956682000</v>
      </c>
      <c r="D68" s="204">
        <v>1081211000</v>
      </c>
      <c r="E68" s="204">
        <v>1332579000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421486000</v>
      </c>
      <c r="D69" s="204">
        <v>367834000</v>
      </c>
      <c r="E69" s="204">
        <v>391792000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146.77794643139489</v>
      </c>
      <c r="D71" s="203">
        <f>IF((D77/365)=0,0,+D74/(D77/365))</f>
        <v>121.79200748244482</v>
      </c>
      <c r="E71" s="203">
        <f>IF((E77/365)=0,0,+E74/(E77/365))</f>
        <v>161.15229518629812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64528000</v>
      </c>
      <c r="D72" s="183">
        <v>38914000</v>
      </c>
      <c r="E72" s="183">
        <v>20955000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571302000</v>
      </c>
      <c r="D73" s="206">
        <v>671389000</v>
      </c>
      <c r="E73" s="206">
        <v>926009000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635830000</v>
      </c>
      <c r="D74" s="204">
        <f>+D72+D73</f>
        <v>710303000</v>
      </c>
      <c r="E74" s="204">
        <f>+E72+E73</f>
        <v>946964000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1654251000</v>
      </c>
      <c r="D75" s="204">
        <f>+D14</f>
        <v>2236673000</v>
      </c>
      <c r="E75" s="204">
        <f>+E14</f>
        <v>2267358000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73101000</v>
      </c>
      <c r="D76" s="204">
        <v>107957000</v>
      </c>
      <c r="E76" s="204">
        <v>122543000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1581150000</v>
      </c>
      <c r="D77" s="204">
        <f>+D75-D76</f>
        <v>2128716000</v>
      </c>
      <c r="E77" s="204">
        <f>+E75-E76</f>
        <v>2144815000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43.228295465224129</v>
      </c>
      <c r="D79" s="203">
        <f>IF((D84/365)=0,0,+D83/(D84/365))</f>
        <v>37.384218254197705</v>
      </c>
      <c r="E79" s="203">
        <f>IF((E84/365)=0,0,+E83/(E84/365))</f>
        <v>40.518717661533564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202909000</v>
      </c>
      <c r="D80" s="212">
        <v>233822000</v>
      </c>
      <c r="E80" s="212">
        <v>259581000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202909000</v>
      </c>
      <c r="D83" s="212">
        <f>+D80+D81-D82</f>
        <v>233822000</v>
      </c>
      <c r="E83" s="212">
        <f>+E80+E81-E82</f>
        <v>259581000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1713271000</v>
      </c>
      <c r="D84" s="204">
        <f>+D11</f>
        <v>2282916000</v>
      </c>
      <c r="E84" s="204">
        <f>+E11</f>
        <v>2338353000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97.297783259020349</v>
      </c>
      <c r="D86" s="203">
        <f>IF((D90/365)=0,0,+D87/(D90/365))</f>
        <v>63.070606882270816</v>
      </c>
      <c r="E86" s="203">
        <f>IF((E90/365)=0,0,+E87/(E90/365))</f>
        <v>66.674319230329885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421486000</v>
      </c>
      <c r="D87" s="76">
        <f>+D69</f>
        <v>367834000</v>
      </c>
      <c r="E87" s="76">
        <f>+E69</f>
        <v>391792000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1654251000</v>
      </c>
      <c r="D88" s="76">
        <f t="shared" si="0"/>
        <v>2236673000</v>
      </c>
      <c r="E88" s="76">
        <f t="shared" si="0"/>
        <v>2267358000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73101000</v>
      </c>
      <c r="D89" s="201">
        <f t="shared" si="0"/>
        <v>107957000</v>
      </c>
      <c r="E89" s="201">
        <f t="shared" si="0"/>
        <v>122543000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1581150000</v>
      </c>
      <c r="D90" s="76">
        <f>+D88-D89</f>
        <v>2128716000</v>
      </c>
      <c r="E90" s="76">
        <f>+E88-E89</f>
        <v>2144815000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30.204657898399162</v>
      </c>
      <c r="D94" s="214">
        <f>IF(D96=0,0,(D95/D96)*100)</f>
        <v>38.87906848329532</v>
      </c>
      <c r="E94" s="214">
        <f>IF(E96=0,0,(E95/E96)*100)</f>
        <v>38.105021550075236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748778000</v>
      </c>
      <c r="D95" s="76">
        <f>+D32</f>
        <v>1018125000</v>
      </c>
      <c r="E95" s="76">
        <f>+E32</f>
        <v>1120602000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2479015000</v>
      </c>
      <c r="D96" s="76">
        <v>2618697000</v>
      </c>
      <c r="E96" s="76">
        <v>2940825000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17.73408363599642</v>
      </c>
      <c r="D98" s="214">
        <f>IF(D104=0,0,(D101/D104)*100)</f>
        <v>26.156652141225244</v>
      </c>
      <c r="E98" s="214">
        <f>IF(E104=0,0,(E101/E104)*100)</f>
        <v>23.11330585169086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130609000</v>
      </c>
      <c r="D99" s="76">
        <f>+D28</f>
        <v>178722000</v>
      </c>
      <c r="E99" s="76">
        <f>+E28</f>
        <v>164702000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73101000</v>
      </c>
      <c r="D100" s="201">
        <f>+D76</f>
        <v>107957000</v>
      </c>
      <c r="E100" s="201">
        <f>+E76</f>
        <v>122543000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203710000</v>
      </c>
      <c r="D101" s="76">
        <f>+D99+D100</f>
        <v>286679000</v>
      </c>
      <c r="E101" s="76">
        <f>+E99+E100</f>
        <v>287245000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421486000</v>
      </c>
      <c r="D102" s="204">
        <f>+D69</f>
        <v>367834000</v>
      </c>
      <c r="E102" s="204">
        <f>+E69</f>
        <v>391792000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727206000</v>
      </c>
      <c r="D103" s="216">
        <v>728174000</v>
      </c>
      <c r="E103" s="216">
        <v>850977000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1148692000</v>
      </c>
      <c r="D104" s="204">
        <f>+D102+D103</f>
        <v>1096008000</v>
      </c>
      <c r="E104" s="204">
        <f>+E102+E103</f>
        <v>1242769000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49.269233270821367</v>
      </c>
      <c r="D106" s="214">
        <f>IF(D109=0,0,(D107/D109)*100)</f>
        <v>41.69812844192203</v>
      </c>
      <c r="E106" s="214">
        <f>IF(E109=0,0,(E107/E109)*100)</f>
        <v>43.162206535979536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727206000</v>
      </c>
      <c r="D107" s="204">
        <f>+D103</f>
        <v>728174000</v>
      </c>
      <c r="E107" s="204">
        <f>+E103</f>
        <v>850977000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748778000</v>
      </c>
      <c r="D108" s="204">
        <f>+D32</f>
        <v>1018125000</v>
      </c>
      <c r="E108" s="204">
        <f>+E32</f>
        <v>1120602000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1475984000</v>
      </c>
      <c r="D109" s="204">
        <f>+D107+D108</f>
        <v>1746299000</v>
      </c>
      <c r="E109" s="204">
        <f>+E107+E108</f>
        <v>1971579000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7.9351370722092813</v>
      </c>
      <c r="D111" s="214">
        <f>IF((+D113+D115)=0,0,((+D112+D113+D114)/(+D113+D115)))</f>
        <v>8.9872395833333325</v>
      </c>
      <c r="E111" s="214">
        <f>IF((+E113+E115)=0,0,((+E112+E113+E114)/(+E113+E115)))</f>
        <v>0.61230087084243123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130609000</v>
      </c>
      <c r="D112" s="76">
        <f>+D17</f>
        <v>178722000</v>
      </c>
      <c r="E112" s="76">
        <f>+E17</f>
        <v>164702000</v>
      </c>
    </row>
    <row r="113" spans="1:8" ht="24" customHeight="1" x14ac:dyDescent="0.2">
      <c r="A113" s="85">
        <v>17</v>
      </c>
      <c r="B113" s="75" t="s">
        <v>88</v>
      </c>
      <c r="C113" s="218">
        <v>17720000</v>
      </c>
      <c r="D113" s="76">
        <v>23920000</v>
      </c>
      <c r="E113" s="76">
        <v>23742000</v>
      </c>
    </row>
    <row r="114" spans="1:8" ht="24" customHeight="1" x14ac:dyDescent="0.2">
      <c r="A114" s="85">
        <v>18</v>
      </c>
      <c r="B114" s="75" t="s">
        <v>374</v>
      </c>
      <c r="C114" s="218">
        <v>73101000</v>
      </c>
      <c r="D114" s="76">
        <v>107957000</v>
      </c>
      <c r="E114" s="76">
        <v>122543000</v>
      </c>
    </row>
    <row r="115" spans="1:8" ht="24" customHeight="1" x14ac:dyDescent="0.2">
      <c r="A115" s="85">
        <v>19</v>
      </c>
      <c r="B115" s="75" t="s">
        <v>104</v>
      </c>
      <c r="C115" s="218">
        <v>10185000</v>
      </c>
      <c r="D115" s="76">
        <v>10640000</v>
      </c>
      <c r="E115" s="76">
        <v>484157000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8.2306671591359901</v>
      </c>
      <c r="D119" s="214">
        <f>IF(+D121=0,0,(+D120)/(+D121))</f>
        <v>6.2794168048389638</v>
      </c>
      <c r="E119" s="214">
        <f>IF(+E121=0,0,(+E120)/(+E121))</f>
        <v>6.0010853333115719</v>
      </c>
    </row>
    <row r="120" spans="1:8" ht="24" customHeight="1" x14ac:dyDescent="0.2">
      <c r="A120" s="85">
        <v>21</v>
      </c>
      <c r="B120" s="75" t="s">
        <v>378</v>
      </c>
      <c r="C120" s="218">
        <v>601670000</v>
      </c>
      <c r="D120" s="218">
        <v>677907000</v>
      </c>
      <c r="E120" s="218">
        <v>735391000</v>
      </c>
    </row>
    <row r="121" spans="1:8" ht="24" customHeight="1" x14ac:dyDescent="0.2">
      <c r="A121" s="85">
        <v>22</v>
      </c>
      <c r="B121" s="75" t="s">
        <v>374</v>
      </c>
      <c r="C121" s="218">
        <v>73101000</v>
      </c>
      <c r="D121" s="218">
        <v>107957000</v>
      </c>
      <c r="E121" s="218">
        <v>122543000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311547</v>
      </c>
      <c r="D124" s="218">
        <v>462219</v>
      </c>
      <c r="E124" s="218">
        <v>426515</v>
      </c>
    </row>
    <row r="125" spans="1:8" ht="24" customHeight="1" x14ac:dyDescent="0.2">
      <c r="A125" s="85">
        <v>2</v>
      </c>
      <c r="B125" s="75" t="s">
        <v>381</v>
      </c>
      <c r="C125" s="218">
        <v>59426</v>
      </c>
      <c r="D125" s="218">
        <v>80503</v>
      </c>
      <c r="E125" s="218">
        <v>78529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5.2426042472991616</v>
      </c>
      <c r="D126" s="219">
        <f>IF(D125=0,0,D124/D125)</f>
        <v>5.7416369576289084</v>
      </c>
      <c r="E126" s="219">
        <f>IF(E125=0,0,E124/E125)</f>
        <v>5.4313056323141771</v>
      </c>
    </row>
    <row r="127" spans="1:8" ht="24" customHeight="1" x14ac:dyDescent="0.2">
      <c r="A127" s="85">
        <v>4</v>
      </c>
      <c r="B127" s="75" t="s">
        <v>383</v>
      </c>
      <c r="C127" s="218">
        <v>859</v>
      </c>
      <c r="D127" s="218">
        <v>1572</v>
      </c>
      <c r="E127" s="218">
        <v>1426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1618</v>
      </c>
      <c r="E128" s="218">
        <v>1521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1001</v>
      </c>
      <c r="D129" s="218">
        <v>1541</v>
      </c>
      <c r="E129" s="218">
        <v>1541</v>
      </c>
    </row>
    <row r="130" spans="1:7" ht="24" customHeight="1" x14ac:dyDescent="0.2">
      <c r="A130" s="85">
        <v>7</v>
      </c>
      <c r="B130" s="75" t="s">
        <v>386</v>
      </c>
      <c r="C130" s="193">
        <v>0.99360000000000004</v>
      </c>
      <c r="D130" s="193">
        <v>0.80549999999999999</v>
      </c>
      <c r="E130" s="193">
        <v>0.81940000000000002</v>
      </c>
    </row>
    <row r="131" spans="1:7" ht="24" customHeight="1" x14ac:dyDescent="0.2">
      <c r="A131" s="85">
        <v>8</v>
      </c>
      <c r="B131" s="75" t="s">
        <v>387</v>
      </c>
      <c r="C131" s="193">
        <v>0.85270000000000001</v>
      </c>
      <c r="D131" s="193">
        <v>0.78259999999999996</v>
      </c>
      <c r="E131" s="193">
        <v>0.76819999999999999</v>
      </c>
    </row>
    <row r="132" spans="1:7" ht="24" customHeight="1" x14ac:dyDescent="0.2">
      <c r="A132" s="85">
        <v>9</v>
      </c>
      <c r="B132" s="75" t="s">
        <v>388</v>
      </c>
      <c r="C132" s="219">
        <v>8150.6</v>
      </c>
      <c r="D132" s="219">
        <v>11071.7</v>
      </c>
      <c r="E132" s="219">
        <v>10878.6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0.38826326523682225</v>
      </c>
      <c r="D135" s="227">
        <f>IF(D149=0,0,D143/D149)</f>
        <v>0.36790123313040196</v>
      </c>
      <c r="E135" s="227">
        <f>IF(E149=0,0,E143/E149)</f>
        <v>0.35496325342008472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0.35200877100713368</v>
      </c>
      <c r="D136" s="227">
        <f>IF(D149=0,0,D144/D149)</f>
        <v>0.3881063205666293</v>
      </c>
      <c r="E136" s="227">
        <f>IF(E149=0,0,E144/E149)</f>
        <v>0.40623811447841474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0.23368737548390459</v>
      </c>
      <c r="D137" s="227">
        <f>IF(D149=0,0,D145/D149)</f>
        <v>0.21950401147681781</v>
      </c>
      <c r="E137" s="227">
        <f>IF(E149=0,0,E145/E149)</f>
        <v>0.21399338575077362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2.0387364928853988E-2</v>
      </c>
      <c r="D139" s="227">
        <f>IF(D149=0,0,D147/D149)</f>
        <v>1.9553704012630735E-2</v>
      </c>
      <c r="E139" s="227">
        <f>IF(E149=0,0,E147/E149)</f>
        <v>1.9156073890534489E-2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5.6532233432854823E-3</v>
      </c>
      <c r="D140" s="227">
        <f>IF(D149=0,0,D148/D149)</f>
        <v>4.9347308135202182E-3</v>
      </c>
      <c r="E140" s="227">
        <f>IF(E149=0,0,E148/E149)</f>
        <v>5.6491724601924077E-3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2228749204</v>
      </c>
      <c r="D143" s="229">
        <f>+D46-D147</f>
        <v>3032629316</v>
      </c>
      <c r="E143" s="229">
        <f>+E46-E147</f>
        <v>2976359272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2020637383</v>
      </c>
      <c r="D144" s="229">
        <f>+D51</f>
        <v>3199180920</v>
      </c>
      <c r="E144" s="229">
        <f>+E51</f>
        <v>3406297883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1341436594</v>
      </c>
      <c r="D145" s="229">
        <f>+D55</f>
        <v>1809383172</v>
      </c>
      <c r="E145" s="229">
        <f>+E55</f>
        <v>1794329953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117029674</v>
      </c>
      <c r="D147" s="229">
        <f>+D47</f>
        <v>161182216</v>
      </c>
      <c r="E147" s="229">
        <f>+E47</f>
        <v>160623269</v>
      </c>
    </row>
    <row r="148" spans="1:7" ht="20.100000000000001" customHeight="1" x14ac:dyDescent="0.2">
      <c r="A148" s="226">
        <v>13</v>
      </c>
      <c r="B148" s="224" t="s">
        <v>402</v>
      </c>
      <c r="C148" s="230">
        <v>32451221</v>
      </c>
      <c r="D148" s="229">
        <v>40677247</v>
      </c>
      <c r="E148" s="229">
        <v>47368190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5740304076</v>
      </c>
      <c r="D149" s="229">
        <f>SUM(D143:D148)</f>
        <v>8243052871</v>
      </c>
      <c r="E149" s="229">
        <f>SUM(E143:E148)</f>
        <v>8384978567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0.54362799351617574</v>
      </c>
      <c r="D152" s="227">
        <f>IF(D166=0,0,D160/D166)</f>
        <v>0.52984410596191578</v>
      </c>
      <c r="E152" s="227">
        <f>IF(E166=0,0,E160/E166)</f>
        <v>0.55887887717275886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0.29186010643394444</v>
      </c>
      <c r="D153" s="227">
        <f>IF(D166=0,0,D161/D166)</f>
        <v>0.31390822289413484</v>
      </c>
      <c r="E153" s="227">
        <f>IF(E166=0,0,E161/E166)</f>
        <v>0.33693136897244019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0.15399660962314579</v>
      </c>
      <c r="D154" s="227">
        <f>IF(D166=0,0,D162/D166)</f>
        <v>0.14779134092200449</v>
      </c>
      <c r="E154" s="227">
        <f>IF(E166=0,0,E162/E166)</f>
        <v>9.2455608301992787E-2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6.7115545621239661E-3</v>
      </c>
      <c r="D156" s="227">
        <f>IF(D166=0,0,D164/D166)</f>
        <v>5.4889534722639835E-3</v>
      </c>
      <c r="E156" s="227">
        <f>IF(E166=0,0,E164/E166)</f>
        <v>9.8324743925147055E-3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3.8037358646099968E-3</v>
      </c>
      <c r="D157" s="227">
        <f>IF(D166=0,0,D165/D166)</f>
        <v>2.9673767496809465E-3</v>
      </c>
      <c r="E157" s="227">
        <f>IF(E166=0,0,E165/E166)</f>
        <v>1.901671160293389E-3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899597589</v>
      </c>
      <c r="D160" s="229">
        <f>+D44-D164</f>
        <v>1208454529</v>
      </c>
      <c r="E160" s="229">
        <f>+E44-E164</f>
        <v>1289201506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482971170</v>
      </c>
      <c r="D161" s="229">
        <f>+D50</f>
        <v>715953635</v>
      </c>
      <c r="E161" s="229">
        <f>+E50</f>
        <v>777221051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254834152</v>
      </c>
      <c r="D162" s="229">
        <f>+D54</f>
        <v>337078611</v>
      </c>
      <c r="E162" s="229">
        <f>+E54</f>
        <v>213273241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11106305</v>
      </c>
      <c r="D164" s="229">
        <f>+D45</f>
        <v>12519061</v>
      </c>
      <c r="E164" s="229">
        <f>+E45</f>
        <v>22681195</v>
      </c>
    </row>
    <row r="165" spans="1:6" ht="20.100000000000001" customHeight="1" x14ac:dyDescent="0.2">
      <c r="A165" s="226">
        <v>13</v>
      </c>
      <c r="B165" s="224" t="s">
        <v>417</v>
      </c>
      <c r="C165" s="230">
        <v>6294436</v>
      </c>
      <c r="D165" s="229">
        <v>6767915</v>
      </c>
      <c r="E165" s="229">
        <v>4386706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1654803652</v>
      </c>
      <c r="D166" s="229">
        <f>SUM(D160:D165)</f>
        <v>2280773751</v>
      </c>
      <c r="E166" s="229">
        <f>SUM(E160:E165)</f>
        <v>2306763699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23650</v>
      </c>
      <c r="D169" s="218">
        <v>28416</v>
      </c>
      <c r="E169" s="218">
        <v>27468</v>
      </c>
    </row>
    <row r="170" spans="1:6" ht="20.100000000000001" customHeight="1" x14ac:dyDescent="0.2">
      <c r="A170" s="226">
        <v>2</v>
      </c>
      <c r="B170" s="224" t="s">
        <v>420</v>
      </c>
      <c r="C170" s="218">
        <v>18100</v>
      </c>
      <c r="D170" s="218">
        <v>28633</v>
      </c>
      <c r="E170" s="218">
        <v>28246</v>
      </c>
    </row>
    <row r="171" spans="1:6" ht="20.100000000000001" customHeight="1" x14ac:dyDescent="0.2">
      <c r="A171" s="226">
        <v>3</v>
      </c>
      <c r="B171" s="224" t="s">
        <v>421</v>
      </c>
      <c r="C171" s="218">
        <v>17294</v>
      </c>
      <c r="D171" s="218">
        <v>23006</v>
      </c>
      <c r="E171" s="218">
        <v>22415</v>
      </c>
    </row>
    <row r="172" spans="1:6" ht="20.100000000000001" customHeight="1" x14ac:dyDescent="0.2">
      <c r="A172" s="226">
        <v>4</v>
      </c>
      <c r="B172" s="224" t="s">
        <v>422</v>
      </c>
      <c r="C172" s="218">
        <v>17294</v>
      </c>
      <c r="D172" s="218">
        <v>23006</v>
      </c>
      <c r="E172" s="218">
        <v>22415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382</v>
      </c>
      <c r="D174" s="218">
        <v>448</v>
      </c>
      <c r="E174" s="218">
        <v>400</v>
      </c>
    </row>
    <row r="175" spans="1:6" ht="20.100000000000001" customHeight="1" x14ac:dyDescent="0.2">
      <c r="A175" s="226">
        <v>7</v>
      </c>
      <c r="B175" s="224" t="s">
        <v>425</v>
      </c>
      <c r="C175" s="218">
        <v>977</v>
      </c>
      <c r="D175" s="218">
        <v>885</v>
      </c>
      <c r="E175" s="218">
        <v>952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59426</v>
      </c>
      <c r="D176" s="218">
        <f>+D169+D170+D171+D174</f>
        <v>80503</v>
      </c>
      <c r="E176" s="218">
        <f>+E169+E170+E171+E174</f>
        <v>78529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1.3531299999999999</v>
      </c>
      <c r="D179" s="231">
        <v>1.3871500000000001</v>
      </c>
      <c r="E179" s="231">
        <v>1.4374499999999999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1.7742500000000001</v>
      </c>
      <c r="D180" s="231">
        <v>1.7250099999999999</v>
      </c>
      <c r="E180" s="231">
        <v>1.7915000000000001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1.1750799999999999</v>
      </c>
      <c r="D181" s="231">
        <v>1.1861299999999999</v>
      </c>
      <c r="E181" s="231">
        <v>1.2309300000000001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1.1750799999999999</v>
      </c>
      <c r="D182" s="231">
        <v>1.1861299999999999</v>
      </c>
      <c r="E182" s="231">
        <v>1.2309300000000001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1.4587699999999999</v>
      </c>
      <c r="D184" s="231">
        <v>1.3638300000000001</v>
      </c>
      <c r="E184" s="231">
        <v>1.4174100000000001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1.2179</v>
      </c>
      <c r="D185" s="231">
        <v>1.42665</v>
      </c>
      <c r="E185" s="231">
        <v>1.55003</v>
      </c>
    </row>
    <row r="186" spans="1:6" ht="20.100000000000001" customHeight="1" x14ac:dyDescent="0.2">
      <c r="A186" s="226">
        <v>8</v>
      </c>
      <c r="B186" s="224" t="s">
        <v>429</v>
      </c>
      <c r="C186" s="231">
        <v>1.430258</v>
      </c>
      <c r="D186" s="231">
        <v>1.4497409999999999</v>
      </c>
      <c r="E186" s="231">
        <v>1.5057469999999999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26732</v>
      </c>
      <c r="D189" s="218">
        <v>40919</v>
      </c>
      <c r="E189" s="218">
        <v>54292</v>
      </c>
    </row>
    <row r="190" spans="1:6" ht="20.100000000000001" customHeight="1" x14ac:dyDescent="0.2">
      <c r="A190" s="226">
        <v>2</v>
      </c>
      <c r="B190" s="224" t="s">
        <v>433</v>
      </c>
      <c r="C190" s="218">
        <v>114396</v>
      </c>
      <c r="D190" s="218">
        <v>163785</v>
      </c>
      <c r="E190" s="218">
        <v>142520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141128</v>
      </c>
      <c r="D191" s="218">
        <f>+D190+D189</f>
        <v>204704</v>
      </c>
      <c r="E191" s="218">
        <f>+E190+E189</f>
        <v>196812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FILING&amp;RYALE-NEW HAVEN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33107961</v>
      </c>
      <c r="D14" s="258">
        <v>13044759</v>
      </c>
      <c r="E14" s="258">
        <f t="shared" ref="E14:E24" si="0">D14-C14</f>
        <v>-20063202</v>
      </c>
      <c r="F14" s="259">
        <f t="shared" ref="F14:F24" si="1">IF(C14=0,0,E14/C14)</f>
        <v>-0.60599328360934102</v>
      </c>
    </row>
    <row r="15" spans="1:7" ht="20.25" customHeight="1" x14ac:dyDescent="0.3">
      <c r="A15" s="256">
        <v>2</v>
      </c>
      <c r="B15" s="257" t="s">
        <v>442</v>
      </c>
      <c r="C15" s="258">
        <v>9001256</v>
      </c>
      <c r="D15" s="258">
        <v>4011099</v>
      </c>
      <c r="E15" s="258">
        <f t="shared" si="0"/>
        <v>-4990157</v>
      </c>
      <c r="F15" s="259">
        <f t="shared" si="1"/>
        <v>-0.55438452144900663</v>
      </c>
    </row>
    <row r="16" spans="1:7" ht="20.25" customHeight="1" x14ac:dyDescent="0.3">
      <c r="A16" s="256">
        <v>3</v>
      </c>
      <c r="B16" s="257" t="s">
        <v>443</v>
      </c>
      <c r="C16" s="258">
        <v>16683329</v>
      </c>
      <c r="D16" s="258">
        <v>11993200</v>
      </c>
      <c r="E16" s="258">
        <f t="shared" si="0"/>
        <v>-4690129</v>
      </c>
      <c r="F16" s="259">
        <f t="shared" si="1"/>
        <v>-0.28112668640653193</v>
      </c>
    </row>
    <row r="17" spans="1:6" ht="20.25" customHeight="1" x14ac:dyDescent="0.3">
      <c r="A17" s="256">
        <v>4</v>
      </c>
      <c r="B17" s="257" t="s">
        <v>444</v>
      </c>
      <c r="C17" s="258">
        <v>5235166</v>
      </c>
      <c r="D17" s="258">
        <v>2371444</v>
      </c>
      <c r="E17" s="258">
        <f t="shared" si="0"/>
        <v>-2863722</v>
      </c>
      <c r="F17" s="259">
        <f t="shared" si="1"/>
        <v>-0.54701646518945146</v>
      </c>
    </row>
    <row r="18" spans="1:6" ht="20.25" customHeight="1" x14ac:dyDescent="0.3">
      <c r="A18" s="256">
        <v>5</v>
      </c>
      <c r="B18" s="257" t="s">
        <v>381</v>
      </c>
      <c r="C18" s="260">
        <v>484</v>
      </c>
      <c r="D18" s="260">
        <v>209</v>
      </c>
      <c r="E18" s="260">
        <f t="shared" si="0"/>
        <v>-275</v>
      </c>
      <c r="F18" s="259">
        <f t="shared" si="1"/>
        <v>-0.56818181818181823</v>
      </c>
    </row>
    <row r="19" spans="1:6" ht="20.25" customHeight="1" x14ac:dyDescent="0.3">
      <c r="A19" s="256">
        <v>6</v>
      </c>
      <c r="B19" s="257" t="s">
        <v>380</v>
      </c>
      <c r="C19" s="260">
        <v>3470</v>
      </c>
      <c r="D19" s="260">
        <v>1159</v>
      </c>
      <c r="E19" s="260">
        <f t="shared" si="0"/>
        <v>-2311</v>
      </c>
      <c r="F19" s="259">
        <f t="shared" si="1"/>
        <v>-0.66599423631123922</v>
      </c>
    </row>
    <row r="20" spans="1:6" ht="20.25" customHeight="1" x14ac:dyDescent="0.3">
      <c r="A20" s="256">
        <v>7</v>
      </c>
      <c r="B20" s="257" t="s">
        <v>445</v>
      </c>
      <c r="C20" s="260">
        <v>4480</v>
      </c>
      <c r="D20" s="260">
        <v>2576</v>
      </c>
      <c r="E20" s="260">
        <f t="shared" si="0"/>
        <v>-1904</v>
      </c>
      <c r="F20" s="259">
        <f t="shared" si="1"/>
        <v>-0.42499999999999999</v>
      </c>
    </row>
    <row r="21" spans="1:6" ht="20.25" customHeight="1" x14ac:dyDescent="0.3">
      <c r="A21" s="256">
        <v>8</v>
      </c>
      <c r="B21" s="257" t="s">
        <v>446</v>
      </c>
      <c r="C21" s="260">
        <v>346</v>
      </c>
      <c r="D21" s="260">
        <v>158</v>
      </c>
      <c r="E21" s="260">
        <f t="shared" si="0"/>
        <v>-188</v>
      </c>
      <c r="F21" s="259">
        <f t="shared" si="1"/>
        <v>-0.54335260115606931</v>
      </c>
    </row>
    <row r="22" spans="1:6" ht="20.25" customHeight="1" x14ac:dyDescent="0.3">
      <c r="A22" s="256">
        <v>9</v>
      </c>
      <c r="B22" s="257" t="s">
        <v>447</v>
      </c>
      <c r="C22" s="260">
        <v>178</v>
      </c>
      <c r="D22" s="260">
        <v>133</v>
      </c>
      <c r="E22" s="260">
        <f t="shared" si="0"/>
        <v>-45</v>
      </c>
      <c r="F22" s="259">
        <f t="shared" si="1"/>
        <v>-0.25280898876404495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49791290</v>
      </c>
      <c r="D23" s="263">
        <f>+D14+D16</f>
        <v>25037959</v>
      </c>
      <c r="E23" s="263">
        <f t="shared" si="0"/>
        <v>-24753331</v>
      </c>
      <c r="F23" s="264">
        <f t="shared" si="1"/>
        <v>-0.49714178925671537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14236422</v>
      </c>
      <c r="D24" s="263">
        <f>+D15+D17</f>
        <v>6382543</v>
      </c>
      <c r="E24" s="263">
        <f t="shared" si="0"/>
        <v>-7853879</v>
      </c>
      <c r="F24" s="264">
        <f t="shared" si="1"/>
        <v>-0.55167506273697142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118122977</v>
      </c>
      <c r="D40" s="258">
        <v>144323912</v>
      </c>
      <c r="E40" s="258">
        <f t="shared" ref="E40:E50" si="4">D40-C40</f>
        <v>26200935</v>
      </c>
      <c r="F40" s="259">
        <f t="shared" ref="F40:F50" si="5">IF(C40=0,0,E40/C40)</f>
        <v>0.22181065585571891</v>
      </c>
    </row>
    <row r="41" spans="1:6" ht="20.25" customHeight="1" x14ac:dyDescent="0.3">
      <c r="A41" s="256">
        <v>2</v>
      </c>
      <c r="B41" s="257" t="s">
        <v>442</v>
      </c>
      <c r="C41" s="258">
        <v>35765401</v>
      </c>
      <c r="D41" s="258">
        <v>46086564</v>
      </c>
      <c r="E41" s="258">
        <f t="shared" si="4"/>
        <v>10321163</v>
      </c>
      <c r="F41" s="259">
        <f t="shared" si="5"/>
        <v>0.28857954088086418</v>
      </c>
    </row>
    <row r="42" spans="1:6" ht="20.25" customHeight="1" x14ac:dyDescent="0.3">
      <c r="A42" s="256">
        <v>3</v>
      </c>
      <c r="B42" s="257" t="s">
        <v>443</v>
      </c>
      <c r="C42" s="258">
        <v>77435197</v>
      </c>
      <c r="D42" s="258">
        <v>104296001</v>
      </c>
      <c r="E42" s="258">
        <f t="shared" si="4"/>
        <v>26860804</v>
      </c>
      <c r="F42" s="259">
        <f t="shared" si="5"/>
        <v>0.34688107011595776</v>
      </c>
    </row>
    <row r="43" spans="1:6" ht="20.25" customHeight="1" x14ac:dyDescent="0.3">
      <c r="A43" s="256">
        <v>4</v>
      </c>
      <c r="B43" s="257" t="s">
        <v>444</v>
      </c>
      <c r="C43" s="258">
        <v>10958365</v>
      </c>
      <c r="D43" s="258">
        <v>17269275</v>
      </c>
      <c r="E43" s="258">
        <f t="shared" si="4"/>
        <v>6310910</v>
      </c>
      <c r="F43" s="259">
        <f t="shared" si="5"/>
        <v>0.57589886812494384</v>
      </c>
    </row>
    <row r="44" spans="1:6" ht="20.25" customHeight="1" x14ac:dyDescent="0.3">
      <c r="A44" s="256">
        <v>5</v>
      </c>
      <c r="B44" s="257" t="s">
        <v>381</v>
      </c>
      <c r="C44" s="260">
        <v>1632</v>
      </c>
      <c r="D44" s="260">
        <v>2106</v>
      </c>
      <c r="E44" s="260">
        <f t="shared" si="4"/>
        <v>474</v>
      </c>
      <c r="F44" s="259">
        <f t="shared" si="5"/>
        <v>0.29044117647058826</v>
      </c>
    </row>
    <row r="45" spans="1:6" ht="20.25" customHeight="1" x14ac:dyDescent="0.3">
      <c r="A45" s="256">
        <v>6</v>
      </c>
      <c r="B45" s="257" t="s">
        <v>380</v>
      </c>
      <c r="C45" s="260">
        <v>9949</v>
      </c>
      <c r="D45" s="260">
        <v>12124</v>
      </c>
      <c r="E45" s="260">
        <f t="shared" si="4"/>
        <v>2175</v>
      </c>
      <c r="F45" s="259">
        <f t="shared" si="5"/>
        <v>0.2186149361744899</v>
      </c>
    </row>
    <row r="46" spans="1:6" ht="20.25" customHeight="1" x14ac:dyDescent="0.3">
      <c r="A46" s="256">
        <v>7</v>
      </c>
      <c r="B46" s="257" t="s">
        <v>445</v>
      </c>
      <c r="C46" s="260">
        <v>18497</v>
      </c>
      <c r="D46" s="260">
        <v>27528</v>
      </c>
      <c r="E46" s="260">
        <f t="shared" si="4"/>
        <v>9031</v>
      </c>
      <c r="F46" s="259">
        <f t="shared" si="5"/>
        <v>0.48824133643293505</v>
      </c>
    </row>
    <row r="47" spans="1:6" ht="20.25" customHeight="1" x14ac:dyDescent="0.3">
      <c r="A47" s="256">
        <v>8</v>
      </c>
      <c r="B47" s="257" t="s">
        <v>446</v>
      </c>
      <c r="C47" s="260">
        <v>1183</v>
      </c>
      <c r="D47" s="260">
        <v>1319</v>
      </c>
      <c r="E47" s="260">
        <f t="shared" si="4"/>
        <v>136</v>
      </c>
      <c r="F47" s="259">
        <f t="shared" si="5"/>
        <v>0.11496196111580727</v>
      </c>
    </row>
    <row r="48" spans="1:6" ht="20.25" customHeight="1" x14ac:dyDescent="0.3">
      <c r="A48" s="256">
        <v>9</v>
      </c>
      <c r="B48" s="257" t="s">
        <v>447</v>
      </c>
      <c r="C48" s="260">
        <v>522</v>
      </c>
      <c r="D48" s="260">
        <v>1244</v>
      </c>
      <c r="E48" s="260">
        <f t="shared" si="4"/>
        <v>722</v>
      </c>
      <c r="F48" s="259">
        <f t="shared" si="5"/>
        <v>1.3831417624521072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195558174</v>
      </c>
      <c r="D49" s="263">
        <f>+D40+D42</f>
        <v>248619913</v>
      </c>
      <c r="E49" s="263">
        <f t="shared" si="4"/>
        <v>53061739</v>
      </c>
      <c r="F49" s="264">
        <f t="shared" si="5"/>
        <v>0.27133480495681045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46723766</v>
      </c>
      <c r="D50" s="263">
        <f>+D41+D43</f>
        <v>63355839</v>
      </c>
      <c r="E50" s="263">
        <f t="shared" si="4"/>
        <v>16632073</v>
      </c>
      <c r="F50" s="264">
        <f t="shared" si="5"/>
        <v>0.35596601951991624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200990332</v>
      </c>
      <c r="D92" s="258">
        <v>149247073</v>
      </c>
      <c r="E92" s="258">
        <f t="shared" ref="E92:E102" si="12">D92-C92</f>
        <v>-51743259</v>
      </c>
      <c r="F92" s="259">
        <f t="shared" ref="F92:F102" si="13">IF(C92=0,0,E92/C92)</f>
        <v>-0.25744153206334325</v>
      </c>
    </row>
    <row r="93" spans="1:6" ht="20.25" customHeight="1" x14ac:dyDescent="0.3">
      <c r="A93" s="256">
        <v>2</v>
      </c>
      <c r="B93" s="257" t="s">
        <v>442</v>
      </c>
      <c r="C93" s="258">
        <v>57012235</v>
      </c>
      <c r="D93" s="258">
        <v>43482951</v>
      </c>
      <c r="E93" s="258">
        <f t="shared" si="12"/>
        <v>-13529284</v>
      </c>
      <c r="F93" s="259">
        <f t="shared" si="13"/>
        <v>-0.23730492235570136</v>
      </c>
    </row>
    <row r="94" spans="1:6" ht="20.25" customHeight="1" x14ac:dyDescent="0.3">
      <c r="A94" s="256">
        <v>3</v>
      </c>
      <c r="B94" s="257" t="s">
        <v>443</v>
      </c>
      <c r="C94" s="258">
        <v>118917550</v>
      </c>
      <c r="D94" s="258">
        <v>64549453</v>
      </c>
      <c r="E94" s="258">
        <f t="shared" si="12"/>
        <v>-54368097</v>
      </c>
      <c r="F94" s="259">
        <f t="shared" si="13"/>
        <v>-0.45719153312526201</v>
      </c>
    </row>
    <row r="95" spans="1:6" ht="20.25" customHeight="1" x14ac:dyDescent="0.3">
      <c r="A95" s="256">
        <v>4</v>
      </c>
      <c r="B95" s="257" t="s">
        <v>444</v>
      </c>
      <c r="C95" s="258">
        <v>17012500</v>
      </c>
      <c r="D95" s="258">
        <v>9022815</v>
      </c>
      <c r="E95" s="258">
        <f t="shared" si="12"/>
        <v>-7989685</v>
      </c>
      <c r="F95" s="259">
        <f t="shared" si="13"/>
        <v>-0.46963614988978691</v>
      </c>
    </row>
    <row r="96" spans="1:6" ht="20.25" customHeight="1" x14ac:dyDescent="0.3">
      <c r="A96" s="256">
        <v>5</v>
      </c>
      <c r="B96" s="257" t="s">
        <v>381</v>
      </c>
      <c r="C96" s="260">
        <v>3194</v>
      </c>
      <c r="D96" s="260">
        <v>2188</v>
      </c>
      <c r="E96" s="260">
        <f t="shared" si="12"/>
        <v>-1006</v>
      </c>
      <c r="F96" s="259">
        <f t="shared" si="13"/>
        <v>-0.31496556042579837</v>
      </c>
    </row>
    <row r="97" spans="1:6" ht="20.25" customHeight="1" x14ac:dyDescent="0.3">
      <c r="A97" s="256">
        <v>6</v>
      </c>
      <c r="B97" s="257" t="s">
        <v>380</v>
      </c>
      <c r="C97" s="260">
        <v>19591</v>
      </c>
      <c r="D97" s="260">
        <v>13860</v>
      </c>
      <c r="E97" s="260">
        <f t="shared" si="12"/>
        <v>-5731</v>
      </c>
      <c r="F97" s="259">
        <f t="shared" si="13"/>
        <v>-0.29253228523301517</v>
      </c>
    </row>
    <row r="98" spans="1:6" ht="20.25" customHeight="1" x14ac:dyDescent="0.3">
      <c r="A98" s="256">
        <v>7</v>
      </c>
      <c r="B98" s="257" t="s">
        <v>445</v>
      </c>
      <c r="C98" s="260">
        <v>29081</v>
      </c>
      <c r="D98" s="260">
        <v>16451</v>
      </c>
      <c r="E98" s="260">
        <f t="shared" si="12"/>
        <v>-12630</v>
      </c>
      <c r="F98" s="259">
        <f t="shared" si="13"/>
        <v>-0.43430418486296896</v>
      </c>
    </row>
    <row r="99" spans="1:6" ht="20.25" customHeight="1" x14ac:dyDescent="0.3">
      <c r="A99" s="256">
        <v>8</v>
      </c>
      <c r="B99" s="257" t="s">
        <v>446</v>
      </c>
      <c r="C99" s="260">
        <v>2756</v>
      </c>
      <c r="D99" s="260">
        <v>1583</v>
      </c>
      <c r="E99" s="260">
        <f t="shared" si="12"/>
        <v>-1173</v>
      </c>
      <c r="F99" s="259">
        <f t="shared" si="13"/>
        <v>-0.42561683599419448</v>
      </c>
    </row>
    <row r="100" spans="1:6" ht="20.25" customHeight="1" x14ac:dyDescent="0.3">
      <c r="A100" s="256">
        <v>9</v>
      </c>
      <c r="B100" s="257" t="s">
        <v>447</v>
      </c>
      <c r="C100" s="260">
        <v>1267</v>
      </c>
      <c r="D100" s="260">
        <v>1596</v>
      </c>
      <c r="E100" s="260">
        <f t="shared" si="12"/>
        <v>329</v>
      </c>
      <c r="F100" s="259">
        <f t="shared" si="13"/>
        <v>0.25966850828729282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319907882</v>
      </c>
      <c r="D101" s="263">
        <f>+D92+D94</f>
        <v>213796526</v>
      </c>
      <c r="E101" s="263">
        <f t="shared" si="12"/>
        <v>-106111356</v>
      </c>
      <c r="F101" s="264">
        <f t="shared" si="13"/>
        <v>-0.33169347168507712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74024735</v>
      </c>
      <c r="D102" s="263">
        <f>+D93+D95</f>
        <v>52505766</v>
      </c>
      <c r="E102" s="263">
        <f t="shared" si="12"/>
        <v>-21518969</v>
      </c>
      <c r="F102" s="264">
        <f t="shared" si="13"/>
        <v>-0.29069971003611156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27013400</v>
      </c>
      <c r="D105" s="258">
        <v>46375708</v>
      </c>
      <c r="E105" s="258">
        <f t="shared" ref="E105:E115" si="14">D105-C105</f>
        <v>19362308</v>
      </c>
      <c r="F105" s="259">
        <f t="shared" ref="F105:F115" si="15">IF(C105=0,0,E105/C105)</f>
        <v>0.71676678981542497</v>
      </c>
    </row>
    <row r="106" spans="1:6" ht="20.25" customHeight="1" x14ac:dyDescent="0.3">
      <c r="A106" s="256">
        <v>2</v>
      </c>
      <c r="B106" s="257" t="s">
        <v>442</v>
      </c>
      <c r="C106" s="258">
        <v>7840706</v>
      </c>
      <c r="D106" s="258">
        <v>14136802</v>
      </c>
      <c r="E106" s="258">
        <f t="shared" si="14"/>
        <v>6296096</v>
      </c>
      <c r="F106" s="259">
        <f t="shared" si="15"/>
        <v>0.80300115831405994</v>
      </c>
    </row>
    <row r="107" spans="1:6" ht="20.25" customHeight="1" x14ac:dyDescent="0.3">
      <c r="A107" s="256">
        <v>3</v>
      </c>
      <c r="B107" s="257" t="s">
        <v>443</v>
      </c>
      <c r="C107" s="258">
        <v>18443818</v>
      </c>
      <c r="D107" s="258">
        <v>31868022</v>
      </c>
      <c r="E107" s="258">
        <f t="shared" si="14"/>
        <v>13424204</v>
      </c>
      <c r="F107" s="259">
        <f t="shared" si="15"/>
        <v>0.72784300951137126</v>
      </c>
    </row>
    <row r="108" spans="1:6" ht="20.25" customHeight="1" x14ac:dyDescent="0.3">
      <c r="A108" s="256">
        <v>4</v>
      </c>
      <c r="B108" s="257" t="s">
        <v>444</v>
      </c>
      <c r="C108" s="258">
        <v>2632249</v>
      </c>
      <c r="D108" s="258">
        <v>5002225</v>
      </c>
      <c r="E108" s="258">
        <f t="shared" si="14"/>
        <v>2369976</v>
      </c>
      <c r="F108" s="259">
        <f t="shared" si="15"/>
        <v>0.90036162992178936</v>
      </c>
    </row>
    <row r="109" spans="1:6" ht="20.25" customHeight="1" x14ac:dyDescent="0.3">
      <c r="A109" s="256">
        <v>5</v>
      </c>
      <c r="B109" s="257" t="s">
        <v>381</v>
      </c>
      <c r="C109" s="260">
        <v>441</v>
      </c>
      <c r="D109" s="260">
        <v>727</v>
      </c>
      <c r="E109" s="260">
        <f t="shared" si="14"/>
        <v>286</v>
      </c>
      <c r="F109" s="259">
        <f t="shared" si="15"/>
        <v>0.64852607709750565</v>
      </c>
    </row>
    <row r="110" spans="1:6" ht="20.25" customHeight="1" x14ac:dyDescent="0.3">
      <c r="A110" s="256">
        <v>6</v>
      </c>
      <c r="B110" s="257" t="s">
        <v>380</v>
      </c>
      <c r="C110" s="260">
        <v>2817</v>
      </c>
      <c r="D110" s="260">
        <v>4329</v>
      </c>
      <c r="E110" s="260">
        <f t="shared" si="14"/>
        <v>1512</v>
      </c>
      <c r="F110" s="259">
        <f t="shared" si="15"/>
        <v>0.53674121405750796</v>
      </c>
    </row>
    <row r="111" spans="1:6" ht="20.25" customHeight="1" x14ac:dyDescent="0.3">
      <c r="A111" s="256">
        <v>7</v>
      </c>
      <c r="B111" s="257" t="s">
        <v>445</v>
      </c>
      <c r="C111" s="260">
        <v>5655</v>
      </c>
      <c r="D111" s="260">
        <v>8497</v>
      </c>
      <c r="E111" s="260">
        <f t="shared" si="14"/>
        <v>2842</v>
      </c>
      <c r="F111" s="259">
        <f t="shared" si="15"/>
        <v>0.50256410256410255</v>
      </c>
    </row>
    <row r="112" spans="1:6" ht="20.25" customHeight="1" x14ac:dyDescent="0.3">
      <c r="A112" s="256">
        <v>8</v>
      </c>
      <c r="B112" s="257" t="s">
        <v>446</v>
      </c>
      <c r="C112" s="260">
        <v>1033</v>
      </c>
      <c r="D112" s="260">
        <v>1320</v>
      </c>
      <c r="E112" s="260">
        <f t="shared" si="14"/>
        <v>287</v>
      </c>
      <c r="F112" s="259">
        <f t="shared" si="15"/>
        <v>0.27783155856727976</v>
      </c>
    </row>
    <row r="113" spans="1:6" ht="20.25" customHeight="1" x14ac:dyDescent="0.3">
      <c r="A113" s="256">
        <v>9</v>
      </c>
      <c r="B113" s="257" t="s">
        <v>447</v>
      </c>
      <c r="C113" s="260">
        <v>202</v>
      </c>
      <c r="D113" s="260">
        <v>554</v>
      </c>
      <c r="E113" s="260">
        <f t="shared" si="14"/>
        <v>352</v>
      </c>
      <c r="F113" s="259">
        <f t="shared" si="15"/>
        <v>1.7425742574257426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45457218</v>
      </c>
      <c r="D114" s="263">
        <f>+D105+D107</f>
        <v>78243730</v>
      </c>
      <c r="E114" s="263">
        <f t="shared" si="14"/>
        <v>32786512</v>
      </c>
      <c r="F114" s="264">
        <f t="shared" si="15"/>
        <v>0.72126085674666673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10472955</v>
      </c>
      <c r="D115" s="263">
        <f>+D106+D108</f>
        <v>19139027</v>
      </c>
      <c r="E115" s="263">
        <f t="shared" si="14"/>
        <v>8666072</v>
      </c>
      <c r="F115" s="264">
        <f t="shared" si="15"/>
        <v>0.82747152069306129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36086690</v>
      </c>
      <c r="D118" s="258">
        <v>88712119</v>
      </c>
      <c r="E118" s="258">
        <f t="shared" ref="E118:E128" si="16">D118-C118</f>
        <v>52625429</v>
      </c>
      <c r="F118" s="259">
        <f t="shared" ref="F118:F128" si="17">IF(C118=0,0,E118/C118)</f>
        <v>1.458305790860841</v>
      </c>
    </row>
    <row r="119" spans="1:6" ht="20.25" customHeight="1" x14ac:dyDescent="0.3">
      <c r="A119" s="256">
        <v>2</v>
      </c>
      <c r="B119" s="257" t="s">
        <v>442</v>
      </c>
      <c r="C119" s="258">
        <v>10089761</v>
      </c>
      <c r="D119" s="258">
        <v>27756412</v>
      </c>
      <c r="E119" s="258">
        <f t="shared" si="16"/>
        <v>17666651</v>
      </c>
      <c r="F119" s="259">
        <f t="shared" si="17"/>
        <v>1.7509484119594112</v>
      </c>
    </row>
    <row r="120" spans="1:6" ht="20.25" customHeight="1" x14ac:dyDescent="0.3">
      <c r="A120" s="256">
        <v>3</v>
      </c>
      <c r="B120" s="257" t="s">
        <v>443</v>
      </c>
      <c r="C120" s="258">
        <v>39631423</v>
      </c>
      <c r="D120" s="258">
        <v>74699309</v>
      </c>
      <c r="E120" s="258">
        <f t="shared" si="16"/>
        <v>35067886</v>
      </c>
      <c r="F120" s="259">
        <f t="shared" si="17"/>
        <v>0.88485053892715382</v>
      </c>
    </row>
    <row r="121" spans="1:6" ht="20.25" customHeight="1" x14ac:dyDescent="0.3">
      <c r="A121" s="256">
        <v>4</v>
      </c>
      <c r="B121" s="257" t="s">
        <v>444</v>
      </c>
      <c r="C121" s="258">
        <v>6402277</v>
      </c>
      <c r="D121" s="258">
        <v>12929556</v>
      </c>
      <c r="E121" s="258">
        <f t="shared" si="16"/>
        <v>6527279</v>
      </c>
      <c r="F121" s="259">
        <f t="shared" si="17"/>
        <v>1.0195246160077109</v>
      </c>
    </row>
    <row r="122" spans="1:6" ht="20.25" customHeight="1" x14ac:dyDescent="0.3">
      <c r="A122" s="256">
        <v>5</v>
      </c>
      <c r="B122" s="257" t="s">
        <v>381</v>
      </c>
      <c r="C122" s="260">
        <v>520</v>
      </c>
      <c r="D122" s="260">
        <v>1412</v>
      </c>
      <c r="E122" s="260">
        <f t="shared" si="16"/>
        <v>892</v>
      </c>
      <c r="F122" s="259">
        <f t="shared" si="17"/>
        <v>1.7153846153846153</v>
      </c>
    </row>
    <row r="123" spans="1:6" ht="20.25" customHeight="1" x14ac:dyDescent="0.3">
      <c r="A123" s="256">
        <v>6</v>
      </c>
      <c r="B123" s="257" t="s">
        <v>380</v>
      </c>
      <c r="C123" s="260">
        <v>3096</v>
      </c>
      <c r="D123" s="260">
        <v>7745</v>
      </c>
      <c r="E123" s="260">
        <f t="shared" si="16"/>
        <v>4649</v>
      </c>
      <c r="F123" s="259">
        <f t="shared" si="17"/>
        <v>1.5016149870801034</v>
      </c>
    </row>
    <row r="124" spans="1:6" ht="20.25" customHeight="1" x14ac:dyDescent="0.3">
      <c r="A124" s="256">
        <v>7</v>
      </c>
      <c r="B124" s="257" t="s">
        <v>445</v>
      </c>
      <c r="C124" s="260">
        <v>7928</v>
      </c>
      <c r="D124" s="260">
        <v>19061</v>
      </c>
      <c r="E124" s="260">
        <f t="shared" si="16"/>
        <v>11133</v>
      </c>
      <c r="F124" s="259">
        <f t="shared" si="17"/>
        <v>1.404263370332997</v>
      </c>
    </row>
    <row r="125" spans="1:6" ht="20.25" customHeight="1" x14ac:dyDescent="0.3">
      <c r="A125" s="256">
        <v>8</v>
      </c>
      <c r="B125" s="257" t="s">
        <v>446</v>
      </c>
      <c r="C125" s="260">
        <v>532</v>
      </c>
      <c r="D125" s="260">
        <v>1172</v>
      </c>
      <c r="E125" s="260">
        <f t="shared" si="16"/>
        <v>640</v>
      </c>
      <c r="F125" s="259">
        <f t="shared" si="17"/>
        <v>1.2030075187969924</v>
      </c>
    </row>
    <row r="126" spans="1:6" ht="20.25" customHeight="1" x14ac:dyDescent="0.3">
      <c r="A126" s="256">
        <v>9</v>
      </c>
      <c r="B126" s="257" t="s">
        <v>447</v>
      </c>
      <c r="C126" s="260">
        <v>259</v>
      </c>
      <c r="D126" s="260">
        <v>927</v>
      </c>
      <c r="E126" s="260">
        <f t="shared" si="16"/>
        <v>668</v>
      </c>
      <c r="F126" s="259">
        <f t="shared" si="17"/>
        <v>2.5791505791505793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75718113</v>
      </c>
      <c r="D127" s="263">
        <f>+D118+D120</f>
        <v>163411428</v>
      </c>
      <c r="E127" s="263">
        <f t="shared" si="16"/>
        <v>87693315</v>
      </c>
      <c r="F127" s="264">
        <f t="shared" si="17"/>
        <v>1.1581550506944092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16492038</v>
      </c>
      <c r="D128" s="263">
        <f>+D119+D121</f>
        <v>40685968</v>
      </c>
      <c r="E128" s="263">
        <f t="shared" si="16"/>
        <v>24193930</v>
      </c>
      <c r="F128" s="264">
        <f t="shared" si="17"/>
        <v>1.4670066852865606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2096289</v>
      </c>
      <c r="D131" s="258">
        <v>3958713</v>
      </c>
      <c r="E131" s="258">
        <f t="shared" ref="E131:E141" si="18">D131-C131</f>
        <v>1862424</v>
      </c>
      <c r="F131" s="259">
        <f t="shared" ref="F131:F141" si="19">IF(C131=0,0,E131/C131)</f>
        <v>0.88843856930032072</v>
      </c>
    </row>
    <row r="132" spans="1:6" ht="20.25" customHeight="1" x14ac:dyDescent="0.3">
      <c r="A132" s="256">
        <v>2</v>
      </c>
      <c r="B132" s="257" t="s">
        <v>442</v>
      </c>
      <c r="C132" s="258">
        <v>669545</v>
      </c>
      <c r="D132" s="258">
        <v>1062288</v>
      </c>
      <c r="E132" s="258">
        <f t="shared" si="18"/>
        <v>392743</v>
      </c>
      <c r="F132" s="259">
        <f t="shared" si="19"/>
        <v>0.58658193250640356</v>
      </c>
    </row>
    <row r="133" spans="1:6" ht="20.25" customHeight="1" x14ac:dyDescent="0.3">
      <c r="A133" s="256">
        <v>3</v>
      </c>
      <c r="B133" s="257" t="s">
        <v>443</v>
      </c>
      <c r="C133" s="258">
        <v>898931</v>
      </c>
      <c r="D133" s="258">
        <v>810116</v>
      </c>
      <c r="E133" s="258">
        <f t="shared" si="18"/>
        <v>-88815</v>
      </c>
      <c r="F133" s="259">
        <f t="shared" si="19"/>
        <v>-9.8800686593298034E-2</v>
      </c>
    </row>
    <row r="134" spans="1:6" ht="20.25" customHeight="1" x14ac:dyDescent="0.3">
      <c r="A134" s="256">
        <v>4</v>
      </c>
      <c r="B134" s="257" t="s">
        <v>444</v>
      </c>
      <c r="C134" s="258">
        <v>65947</v>
      </c>
      <c r="D134" s="258">
        <v>118295</v>
      </c>
      <c r="E134" s="258">
        <f t="shared" si="18"/>
        <v>52348</v>
      </c>
      <c r="F134" s="259">
        <f t="shared" si="19"/>
        <v>0.79378895173396824</v>
      </c>
    </row>
    <row r="135" spans="1:6" ht="20.25" customHeight="1" x14ac:dyDescent="0.3">
      <c r="A135" s="256">
        <v>5</v>
      </c>
      <c r="B135" s="257" t="s">
        <v>381</v>
      </c>
      <c r="C135" s="260">
        <v>33</v>
      </c>
      <c r="D135" s="260">
        <v>57</v>
      </c>
      <c r="E135" s="260">
        <f t="shared" si="18"/>
        <v>24</v>
      </c>
      <c r="F135" s="259">
        <f t="shared" si="19"/>
        <v>0.72727272727272729</v>
      </c>
    </row>
    <row r="136" spans="1:6" ht="20.25" customHeight="1" x14ac:dyDescent="0.3">
      <c r="A136" s="256">
        <v>6</v>
      </c>
      <c r="B136" s="257" t="s">
        <v>380</v>
      </c>
      <c r="C136" s="260">
        <v>210</v>
      </c>
      <c r="D136" s="260">
        <v>362</v>
      </c>
      <c r="E136" s="260">
        <f t="shared" si="18"/>
        <v>152</v>
      </c>
      <c r="F136" s="259">
        <f t="shared" si="19"/>
        <v>0.72380952380952379</v>
      </c>
    </row>
    <row r="137" spans="1:6" ht="20.25" customHeight="1" x14ac:dyDescent="0.3">
      <c r="A137" s="256">
        <v>7</v>
      </c>
      <c r="B137" s="257" t="s">
        <v>445</v>
      </c>
      <c r="C137" s="260">
        <v>296</v>
      </c>
      <c r="D137" s="260">
        <v>260</v>
      </c>
      <c r="E137" s="260">
        <f t="shared" si="18"/>
        <v>-36</v>
      </c>
      <c r="F137" s="259">
        <f t="shared" si="19"/>
        <v>-0.12162162162162163</v>
      </c>
    </row>
    <row r="138" spans="1:6" ht="20.25" customHeight="1" x14ac:dyDescent="0.3">
      <c r="A138" s="256">
        <v>8</v>
      </c>
      <c r="B138" s="257" t="s">
        <v>446</v>
      </c>
      <c r="C138" s="260">
        <v>47</v>
      </c>
      <c r="D138" s="260">
        <v>52</v>
      </c>
      <c r="E138" s="260">
        <f t="shared" si="18"/>
        <v>5</v>
      </c>
      <c r="F138" s="259">
        <f t="shared" si="19"/>
        <v>0.10638297872340426</v>
      </c>
    </row>
    <row r="139" spans="1:6" ht="20.25" customHeight="1" x14ac:dyDescent="0.3">
      <c r="A139" s="256">
        <v>9</v>
      </c>
      <c r="B139" s="257" t="s">
        <v>447</v>
      </c>
      <c r="C139" s="260">
        <v>18</v>
      </c>
      <c r="D139" s="260">
        <v>44</v>
      </c>
      <c r="E139" s="260">
        <f t="shared" si="18"/>
        <v>26</v>
      </c>
      <c r="F139" s="259">
        <f t="shared" si="19"/>
        <v>1.4444444444444444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2995220</v>
      </c>
      <c r="D140" s="263">
        <f>+D131+D133</f>
        <v>4768829</v>
      </c>
      <c r="E140" s="263">
        <f t="shared" si="18"/>
        <v>1773609</v>
      </c>
      <c r="F140" s="264">
        <f t="shared" si="19"/>
        <v>0.59214648673553194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735492</v>
      </c>
      <c r="D141" s="263">
        <f>+D132+D134</f>
        <v>1180583</v>
      </c>
      <c r="E141" s="263">
        <f t="shared" si="18"/>
        <v>445091</v>
      </c>
      <c r="F141" s="264">
        <f t="shared" si="19"/>
        <v>0.60516089909883453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417417649</v>
      </c>
      <c r="D198" s="263">
        <f t="shared" si="28"/>
        <v>445662284</v>
      </c>
      <c r="E198" s="263">
        <f t="shared" ref="E198:E208" si="29">D198-C198</f>
        <v>28244635</v>
      </c>
      <c r="F198" s="273">
        <f t="shared" ref="F198:F208" si="30">IF(C198=0,0,E198/C198)</f>
        <v>6.7665167171692825E-2</v>
      </c>
    </row>
    <row r="199" spans="1:9" ht="20.25" customHeight="1" x14ac:dyDescent="0.3">
      <c r="A199" s="271"/>
      <c r="B199" s="272" t="s">
        <v>466</v>
      </c>
      <c r="C199" s="263">
        <f t="shared" si="28"/>
        <v>120378904</v>
      </c>
      <c r="D199" s="263">
        <f t="shared" si="28"/>
        <v>136536116</v>
      </c>
      <c r="E199" s="263">
        <f t="shared" si="29"/>
        <v>16157212</v>
      </c>
      <c r="F199" s="273">
        <f t="shared" si="30"/>
        <v>0.13421963037643206</v>
      </c>
    </row>
    <row r="200" spans="1:9" ht="20.25" customHeight="1" x14ac:dyDescent="0.3">
      <c r="A200" s="271"/>
      <c r="B200" s="272" t="s">
        <v>467</v>
      </c>
      <c r="C200" s="263">
        <f t="shared" si="28"/>
        <v>272010248</v>
      </c>
      <c r="D200" s="263">
        <f t="shared" si="28"/>
        <v>288216101</v>
      </c>
      <c r="E200" s="263">
        <f t="shared" si="29"/>
        <v>16205853</v>
      </c>
      <c r="F200" s="273">
        <f t="shared" si="30"/>
        <v>5.9578097219337121E-2</v>
      </c>
    </row>
    <row r="201" spans="1:9" ht="20.25" customHeight="1" x14ac:dyDescent="0.3">
      <c r="A201" s="271"/>
      <c r="B201" s="272" t="s">
        <v>468</v>
      </c>
      <c r="C201" s="263">
        <f t="shared" si="28"/>
        <v>42306504</v>
      </c>
      <c r="D201" s="263">
        <f t="shared" si="28"/>
        <v>46713610</v>
      </c>
      <c r="E201" s="263">
        <f t="shared" si="29"/>
        <v>4407106</v>
      </c>
      <c r="F201" s="273">
        <f t="shared" si="30"/>
        <v>0.10417088587608184</v>
      </c>
    </row>
    <row r="202" spans="1:9" ht="20.25" customHeight="1" x14ac:dyDescent="0.3">
      <c r="A202" s="271"/>
      <c r="B202" s="272" t="s">
        <v>138</v>
      </c>
      <c r="C202" s="274">
        <f t="shared" si="28"/>
        <v>6304</v>
      </c>
      <c r="D202" s="274">
        <f t="shared" si="28"/>
        <v>6699</v>
      </c>
      <c r="E202" s="274">
        <f t="shared" si="29"/>
        <v>395</v>
      </c>
      <c r="F202" s="273">
        <f t="shared" si="30"/>
        <v>6.2658629441624369E-2</v>
      </c>
    </row>
    <row r="203" spans="1:9" ht="20.25" customHeight="1" x14ac:dyDescent="0.3">
      <c r="A203" s="271"/>
      <c r="B203" s="272" t="s">
        <v>140</v>
      </c>
      <c r="C203" s="274">
        <f t="shared" si="28"/>
        <v>39133</v>
      </c>
      <c r="D203" s="274">
        <f t="shared" si="28"/>
        <v>39579</v>
      </c>
      <c r="E203" s="274">
        <f t="shared" si="29"/>
        <v>446</v>
      </c>
      <c r="F203" s="273">
        <f t="shared" si="30"/>
        <v>1.1397030639102548E-2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65937</v>
      </c>
      <c r="D204" s="274">
        <f t="shared" si="28"/>
        <v>74373</v>
      </c>
      <c r="E204" s="274">
        <f t="shared" si="29"/>
        <v>8436</v>
      </c>
      <c r="F204" s="273">
        <f t="shared" si="30"/>
        <v>0.12794030665635378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5897</v>
      </c>
      <c r="D205" s="274">
        <f t="shared" si="28"/>
        <v>5604</v>
      </c>
      <c r="E205" s="274">
        <f t="shared" si="29"/>
        <v>-293</v>
      </c>
      <c r="F205" s="273">
        <f t="shared" si="30"/>
        <v>-4.9686281159911819E-2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2446</v>
      </c>
      <c r="D206" s="274">
        <f t="shared" si="28"/>
        <v>4498</v>
      </c>
      <c r="E206" s="274">
        <f t="shared" si="29"/>
        <v>2052</v>
      </c>
      <c r="F206" s="273">
        <f t="shared" si="30"/>
        <v>0.83892068683565002</v>
      </c>
    </row>
    <row r="207" spans="1:9" ht="20.25" customHeight="1" x14ac:dyDescent="0.3">
      <c r="A207" s="271"/>
      <c r="B207" s="262" t="s">
        <v>471</v>
      </c>
      <c r="C207" s="263">
        <f>+C198+C200</f>
        <v>689427897</v>
      </c>
      <c r="D207" s="263">
        <f>+D198+D200</f>
        <v>733878385</v>
      </c>
      <c r="E207" s="263">
        <f t="shared" si="29"/>
        <v>44450488</v>
      </c>
      <c r="F207" s="273">
        <f t="shared" si="30"/>
        <v>6.4474455114774676E-2</v>
      </c>
    </row>
    <row r="208" spans="1:9" ht="20.25" customHeight="1" x14ac:dyDescent="0.3">
      <c r="A208" s="271"/>
      <c r="B208" s="262" t="s">
        <v>472</v>
      </c>
      <c r="C208" s="263">
        <f>+C199+C201</f>
        <v>162685408</v>
      </c>
      <c r="D208" s="263">
        <f>+D199+D201</f>
        <v>183249726</v>
      </c>
      <c r="E208" s="263">
        <f t="shared" si="29"/>
        <v>20564318</v>
      </c>
      <c r="F208" s="273">
        <f t="shared" si="30"/>
        <v>0.12640542414228079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FILING&amp;RYALE-NEW HAVEN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FILING&amp;RYALE-NEW HAVEN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46312000</v>
      </c>
      <c r="D13" s="22">
        <v>161059000</v>
      </c>
      <c r="E13" s="22">
        <f t="shared" ref="E13:E22" si="0">D13-C13</f>
        <v>114747000</v>
      </c>
      <c r="F13" s="306">
        <f t="shared" ref="F13:F22" si="1">IF(C13=0,0,E13/C13)</f>
        <v>2.4776947659353947</v>
      </c>
    </row>
    <row r="14" spans="1:8" ht="24" customHeight="1" x14ac:dyDescent="0.2">
      <c r="A14" s="304">
        <v>2</v>
      </c>
      <c r="B14" s="305" t="s">
        <v>17</v>
      </c>
      <c r="C14" s="22">
        <v>709453000</v>
      </c>
      <c r="D14" s="22">
        <v>1040882000</v>
      </c>
      <c r="E14" s="22">
        <f t="shared" si="0"/>
        <v>331429000</v>
      </c>
      <c r="F14" s="306">
        <f t="shared" si="1"/>
        <v>0.46716132005925692</v>
      </c>
    </row>
    <row r="15" spans="1:8" ht="35.1" customHeight="1" x14ac:dyDescent="0.2">
      <c r="A15" s="304">
        <v>3</v>
      </c>
      <c r="B15" s="305" t="s">
        <v>18</v>
      </c>
      <c r="C15" s="22">
        <v>238901000</v>
      </c>
      <c r="D15" s="22">
        <v>368342000</v>
      </c>
      <c r="E15" s="22">
        <f t="shared" si="0"/>
        <v>129441000</v>
      </c>
      <c r="F15" s="306">
        <f t="shared" si="1"/>
        <v>0.54181857756978835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29844000</v>
      </c>
      <c r="D19" s="22">
        <v>40473000</v>
      </c>
      <c r="E19" s="22">
        <f t="shared" si="0"/>
        <v>10629000</v>
      </c>
      <c r="F19" s="306">
        <f t="shared" si="1"/>
        <v>0.35615199034981904</v>
      </c>
    </row>
    <row r="20" spans="1:11" ht="24" customHeight="1" x14ac:dyDescent="0.2">
      <c r="A20" s="304">
        <v>8</v>
      </c>
      <c r="B20" s="305" t="s">
        <v>23</v>
      </c>
      <c r="C20" s="22">
        <v>34089000</v>
      </c>
      <c r="D20" s="22">
        <v>13846000</v>
      </c>
      <c r="E20" s="22">
        <f t="shared" si="0"/>
        <v>-20243000</v>
      </c>
      <c r="F20" s="306">
        <f t="shared" si="1"/>
        <v>-0.5938279210302444</v>
      </c>
    </row>
    <row r="21" spans="1:11" ht="24" customHeight="1" x14ac:dyDescent="0.2">
      <c r="A21" s="304">
        <v>9</v>
      </c>
      <c r="B21" s="305" t="s">
        <v>24</v>
      </c>
      <c r="C21" s="22">
        <v>76112000</v>
      </c>
      <c r="D21" s="22">
        <v>58405000</v>
      </c>
      <c r="E21" s="22">
        <f t="shared" si="0"/>
        <v>-17707000</v>
      </c>
      <c r="F21" s="306">
        <f t="shared" si="1"/>
        <v>-0.23264399831826782</v>
      </c>
    </row>
    <row r="22" spans="1:11" ht="24" customHeight="1" x14ac:dyDescent="0.25">
      <c r="A22" s="307"/>
      <c r="B22" s="308" t="s">
        <v>25</v>
      </c>
      <c r="C22" s="309">
        <f>SUM(C13:C21)</f>
        <v>1134711000</v>
      </c>
      <c r="D22" s="309">
        <f>SUM(D13:D21)</f>
        <v>1683007000</v>
      </c>
      <c r="E22" s="309">
        <f t="shared" si="0"/>
        <v>548296000</v>
      </c>
      <c r="F22" s="310">
        <f t="shared" si="1"/>
        <v>0.48320321209541461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12538000</v>
      </c>
      <c r="D25" s="22">
        <v>17796000</v>
      </c>
      <c r="E25" s="22">
        <f>D25-C25</f>
        <v>5258000</v>
      </c>
      <c r="F25" s="306">
        <f>IF(C25=0,0,E25/C25)</f>
        <v>0.41936513000478542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71557000</v>
      </c>
      <c r="D26" s="22">
        <v>107073000</v>
      </c>
      <c r="E26" s="22">
        <f>D26-C26</f>
        <v>35516000</v>
      </c>
      <c r="F26" s="306">
        <f>IF(C26=0,0,E26/C26)</f>
        <v>0.49633159579076819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108681000</v>
      </c>
      <c r="E28" s="22">
        <f>D28-C28</f>
        <v>108681000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84095000</v>
      </c>
      <c r="D29" s="309">
        <f>SUM(D25:D28)</f>
        <v>233550000</v>
      </c>
      <c r="E29" s="309">
        <f>D29-C29</f>
        <v>149455000</v>
      </c>
      <c r="F29" s="310">
        <f>IF(C29=0,0,E29/C29)</f>
        <v>1.7772162435340983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214382000</v>
      </c>
      <c r="D32" s="22">
        <v>394904000</v>
      </c>
      <c r="E32" s="22">
        <f>D32-C32</f>
        <v>180522000</v>
      </c>
      <c r="F32" s="306">
        <f>IF(C32=0,0,E32/C32)</f>
        <v>0.8420576354358108</v>
      </c>
    </row>
    <row r="33" spans="1:8" ht="24" customHeight="1" x14ac:dyDescent="0.2">
      <c r="A33" s="304">
        <v>7</v>
      </c>
      <c r="B33" s="305" t="s">
        <v>35</v>
      </c>
      <c r="C33" s="22">
        <v>294202000</v>
      </c>
      <c r="D33" s="22">
        <v>400099000</v>
      </c>
      <c r="E33" s="22">
        <f>D33-C33</f>
        <v>105897000</v>
      </c>
      <c r="F33" s="306">
        <f>IF(C33=0,0,E33/C33)</f>
        <v>0.35994656732449132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1625294000</v>
      </c>
      <c r="D36" s="22">
        <v>2900150000</v>
      </c>
      <c r="E36" s="22">
        <f>D36-C36</f>
        <v>1274856000</v>
      </c>
      <c r="F36" s="306">
        <f>IF(C36=0,0,E36/C36)</f>
        <v>0.78438485590914631</v>
      </c>
    </row>
    <row r="37" spans="1:8" ht="24" customHeight="1" x14ac:dyDescent="0.2">
      <c r="A37" s="304">
        <v>2</v>
      </c>
      <c r="B37" s="305" t="s">
        <v>39</v>
      </c>
      <c r="C37" s="22">
        <v>695193000</v>
      </c>
      <c r="D37" s="22">
        <v>1444576000</v>
      </c>
      <c r="E37" s="22">
        <f>D37-C37</f>
        <v>749383000</v>
      </c>
      <c r="F37" s="22">
        <f>IF(C37=0,0,E37/C37)</f>
        <v>1.0779495765923994</v>
      </c>
    </row>
    <row r="38" spans="1:8" ht="24" customHeight="1" x14ac:dyDescent="0.25">
      <c r="A38" s="307"/>
      <c r="B38" s="308" t="s">
        <v>40</v>
      </c>
      <c r="C38" s="309">
        <f>C36-C37</f>
        <v>930101000</v>
      </c>
      <c r="D38" s="309">
        <f>D36-D37</f>
        <v>1455574000</v>
      </c>
      <c r="E38" s="309">
        <f>D38-C38</f>
        <v>525473000</v>
      </c>
      <c r="F38" s="310">
        <f>IF(C38=0,0,E38/C38)</f>
        <v>0.56496337494530169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23639000</v>
      </c>
      <c r="D40" s="22">
        <v>66043000</v>
      </c>
      <c r="E40" s="22">
        <f>D40-C40</f>
        <v>42404000</v>
      </c>
      <c r="F40" s="306">
        <f>IF(C40=0,0,E40/C40)</f>
        <v>1.7938153052159567</v>
      </c>
    </row>
    <row r="41" spans="1:8" ht="24" customHeight="1" x14ac:dyDescent="0.25">
      <c r="A41" s="307"/>
      <c r="B41" s="308" t="s">
        <v>42</v>
      </c>
      <c r="C41" s="309">
        <f>+C38+C40</f>
        <v>953740000</v>
      </c>
      <c r="D41" s="309">
        <f>+D38+D40</f>
        <v>1521617000</v>
      </c>
      <c r="E41" s="309">
        <f>D41-C41</f>
        <v>567877000</v>
      </c>
      <c r="F41" s="310">
        <f>IF(C41=0,0,E41/C41)</f>
        <v>0.59542118397047417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2681130000</v>
      </c>
      <c r="D43" s="309">
        <f>D22+D29+D31+D32+D33+D41</f>
        <v>4233177000</v>
      </c>
      <c r="E43" s="309">
        <f>D43-C43</f>
        <v>1552047000</v>
      </c>
      <c r="F43" s="310">
        <f>IF(C43=0,0,E43/C43)</f>
        <v>0.57887793579572788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234110000</v>
      </c>
      <c r="D49" s="22">
        <v>354226000</v>
      </c>
      <c r="E49" s="22">
        <f t="shared" ref="E49:E56" si="2">D49-C49</f>
        <v>120116000</v>
      </c>
      <c r="F49" s="306">
        <f t="shared" ref="F49:F56" si="3">IF(C49=0,0,E49/C49)</f>
        <v>0.51307505019008159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93206000</v>
      </c>
      <c r="D50" s="22">
        <v>115172000</v>
      </c>
      <c r="E50" s="22">
        <f t="shared" si="2"/>
        <v>21966000</v>
      </c>
      <c r="F50" s="306">
        <f t="shared" si="3"/>
        <v>0.23567152329249191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13668000</v>
      </c>
      <c r="D53" s="22">
        <v>57727000</v>
      </c>
      <c r="E53" s="22">
        <f t="shared" si="2"/>
        <v>44059000</v>
      </c>
      <c r="F53" s="306">
        <f t="shared" si="3"/>
        <v>3.2235147790459466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36630000</v>
      </c>
      <c r="D55" s="22">
        <v>40432000</v>
      </c>
      <c r="E55" s="22">
        <f t="shared" si="2"/>
        <v>3802000</v>
      </c>
      <c r="F55" s="306">
        <f t="shared" si="3"/>
        <v>0.10379470379470379</v>
      </c>
    </row>
    <row r="56" spans="1:6" ht="24" customHeight="1" x14ac:dyDescent="0.25">
      <c r="A56" s="307"/>
      <c r="B56" s="308" t="s">
        <v>54</v>
      </c>
      <c r="C56" s="309">
        <f>SUM(C49:C55)</f>
        <v>377614000</v>
      </c>
      <c r="D56" s="309">
        <f>SUM(D49:D55)</f>
        <v>567557000</v>
      </c>
      <c r="E56" s="309">
        <f t="shared" si="2"/>
        <v>189943000</v>
      </c>
      <c r="F56" s="310">
        <f t="shared" si="3"/>
        <v>0.50300836303738738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675929000</v>
      </c>
      <c r="D59" s="22">
        <v>902400000</v>
      </c>
      <c r="E59" s="22">
        <f>D59-C59</f>
        <v>226471000</v>
      </c>
      <c r="F59" s="306">
        <f>IF(C59=0,0,E59/C59)</f>
        <v>0.33505146250567736</v>
      </c>
    </row>
    <row r="60" spans="1:6" ht="24" customHeight="1" x14ac:dyDescent="0.2">
      <c r="A60" s="304">
        <v>2</v>
      </c>
      <c r="B60" s="305" t="s">
        <v>57</v>
      </c>
      <c r="C60" s="22">
        <v>55364000</v>
      </c>
      <c r="D60" s="22">
        <v>85709000</v>
      </c>
      <c r="E60" s="22">
        <f>D60-C60</f>
        <v>30345000</v>
      </c>
      <c r="F60" s="306">
        <f>IF(C60=0,0,E60/C60)</f>
        <v>0.54809984827685865</v>
      </c>
    </row>
    <row r="61" spans="1:6" ht="24" customHeight="1" x14ac:dyDescent="0.25">
      <c r="A61" s="307"/>
      <c r="B61" s="308" t="s">
        <v>58</v>
      </c>
      <c r="C61" s="309">
        <f>SUM(C59:C60)</f>
        <v>731293000</v>
      </c>
      <c r="D61" s="309">
        <f>SUM(D59:D60)</f>
        <v>988109000</v>
      </c>
      <c r="E61" s="309">
        <f>D61-C61</f>
        <v>256816000</v>
      </c>
      <c r="F61" s="310">
        <f>IF(C61=0,0,E61/C61)</f>
        <v>0.35118071689459629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197950000</v>
      </c>
      <c r="D63" s="22">
        <v>321442000</v>
      </c>
      <c r="E63" s="22">
        <f>D63-C63</f>
        <v>123492000</v>
      </c>
      <c r="F63" s="306">
        <f>IF(C63=0,0,E63/C63)</f>
        <v>0.6238545087143218</v>
      </c>
    </row>
    <row r="64" spans="1:6" ht="24" customHeight="1" x14ac:dyDescent="0.2">
      <c r="A64" s="304">
        <v>4</v>
      </c>
      <c r="B64" s="305" t="s">
        <v>60</v>
      </c>
      <c r="C64" s="22">
        <v>345910000</v>
      </c>
      <c r="D64" s="22">
        <v>489445000</v>
      </c>
      <c r="E64" s="22">
        <f>D64-C64</f>
        <v>143535000</v>
      </c>
      <c r="F64" s="306">
        <f>IF(C64=0,0,E64/C64)</f>
        <v>0.41494897516695095</v>
      </c>
    </row>
    <row r="65" spans="1:6" ht="24" customHeight="1" x14ac:dyDescent="0.25">
      <c r="A65" s="307"/>
      <c r="B65" s="308" t="s">
        <v>61</v>
      </c>
      <c r="C65" s="309">
        <f>SUM(C61:C64)</f>
        <v>1275153000</v>
      </c>
      <c r="D65" s="309">
        <f>SUM(D61:D64)</f>
        <v>1798996000</v>
      </c>
      <c r="E65" s="309">
        <f>D65-C65</f>
        <v>523843000</v>
      </c>
      <c r="F65" s="310">
        <f>IF(C65=0,0,E65/C65)</f>
        <v>0.41080795794700714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2383000</v>
      </c>
      <c r="D67" s="22">
        <v>0</v>
      </c>
      <c r="E67" s="22">
        <f>D67-C67</f>
        <v>-2383000</v>
      </c>
      <c r="F67" s="321">
        <f>IF(C67=0,0,E67/C67)</f>
        <v>-1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938843000</v>
      </c>
      <c r="D70" s="22">
        <v>1644056000</v>
      </c>
      <c r="E70" s="22">
        <f>D70-C70</f>
        <v>705213000</v>
      </c>
      <c r="F70" s="306">
        <f>IF(C70=0,0,E70/C70)</f>
        <v>0.75115115093790974</v>
      </c>
    </row>
    <row r="71" spans="1:6" ht="24" customHeight="1" x14ac:dyDescent="0.2">
      <c r="A71" s="304">
        <v>2</v>
      </c>
      <c r="B71" s="305" t="s">
        <v>65</v>
      </c>
      <c r="C71" s="22">
        <v>59982000</v>
      </c>
      <c r="D71" s="22">
        <v>141712000</v>
      </c>
      <c r="E71" s="22">
        <f>D71-C71</f>
        <v>81730000</v>
      </c>
      <c r="F71" s="306">
        <f>IF(C71=0,0,E71/C71)</f>
        <v>1.3625754392984561</v>
      </c>
    </row>
    <row r="72" spans="1:6" ht="24" customHeight="1" x14ac:dyDescent="0.2">
      <c r="A72" s="304">
        <v>3</v>
      </c>
      <c r="B72" s="305" t="s">
        <v>66</v>
      </c>
      <c r="C72" s="22">
        <v>27155000</v>
      </c>
      <c r="D72" s="22">
        <v>80856000</v>
      </c>
      <c r="E72" s="22">
        <f>D72-C72</f>
        <v>53701000</v>
      </c>
      <c r="F72" s="306">
        <f>IF(C72=0,0,E72/C72)</f>
        <v>1.9775731909408949</v>
      </c>
    </row>
    <row r="73" spans="1:6" ht="24" customHeight="1" x14ac:dyDescent="0.25">
      <c r="A73" s="304"/>
      <c r="B73" s="308" t="s">
        <v>67</v>
      </c>
      <c r="C73" s="309">
        <f>SUM(C70:C72)</f>
        <v>1025980000</v>
      </c>
      <c r="D73" s="309">
        <f>SUM(D70:D72)</f>
        <v>1866624000</v>
      </c>
      <c r="E73" s="309">
        <f>D73-C73</f>
        <v>840644000</v>
      </c>
      <c r="F73" s="310">
        <f>IF(C73=0,0,E73/C73)</f>
        <v>0.81935710247763116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2681130000</v>
      </c>
      <c r="D75" s="309">
        <f>D56+D65+D67+D73</f>
        <v>4233177000</v>
      </c>
      <c r="E75" s="309">
        <f>D75-C75</f>
        <v>1552047000</v>
      </c>
      <c r="F75" s="310">
        <f>IF(C75=0,0,E75/C75)</f>
        <v>0.57887793579572788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FILING&amp;RYALE-NEW HAVEN HEALTH SERVICES CORP. (YNHHSC)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8355658000</v>
      </c>
      <c r="D11" s="76">
        <v>11767478000</v>
      </c>
      <c r="E11" s="76">
        <f t="shared" ref="E11:E20" si="0">D11-C11</f>
        <v>3411820000</v>
      </c>
      <c r="F11" s="77">
        <f t="shared" ref="F11:F20" si="1">IF(C11=0,0,E11/C11)</f>
        <v>0.40832451495740968</v>
      </c>
    </row>
    <row r="12" spans="1:7" ht="23.1" customHeight="1" x14ac:dyDescent="0.2">
      <c r="A12" s="74">
        <v>2</v>
      </c>
      <c r="B12" s="75" t="s">
        <v>72</v>
      </c>
      <c r="C12" s="76">
        <v>5885526000</v>
      </c>
      <c r="D12" s="76">
        <v>8106128000</v>
      </c>
      <c r="E12" s="76">
        <f t="shared" si="0"/>
        <v>2220602000</v>
      </c>
      <c r="F12" s="77">
        <f t="shared" si="1"/>
        <v>0.37729881747187932</v>
      </c>
    </row>
    <row r="13" spans="1:7" ht="23.1" customHeight="1" x14ac:dyDescent="0.2">
      <c r="A13" s="74">
        <v>3</v>
      </c>
      <c r="B13" s="75" t="s">
        <v>73</v>
      </c>
      <c r="C13" s="76">
        <v>87167000</v>
      </c>
      <c r="D13" s="76">
        <v>200412000</v>
      </c>
      <c r="E13" s="76">
        <f t="shared" si="0"/>
        <v>113245000</v>
      </c>
      <c r="F13" s="77">
        <f t="shared" si="1"/>
        <v>1.2991728521114643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49503000</v>
      </c>
      <c r="E14" s="76">
        <f t="shared" si="0"/>
        <v>49503000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2382965000</v>
      </c>
      <c r="D15" s="79">
        <f>D11-D12-D13-D14</f>
        <v>3411435000</v>
      </c>
      <c r="E15" s="79">
        <f t="shared" si="0"/>
        <v>1028470000</v>
      </c>
      <c r="F15" s="80">
        <f t="shared" si="1"/>
        <v>0.43159257479652452</v>
      </c>
    </row>
    <row r="16" spans="1:7" ht="23.1" customHeight="1" x14ac:dyDescent="0.2">
      <c r="A16" s="74">
        <v>5</v>
      </c>
      <c r="B16" s="75" t="s">
        <v>76</v>
      </c>
      <c r="C16" s="76">
        <v>65535000</v>
      </c>
      <c r="D16" s="76">
        <v>123743000</v>
      </c>
      <c r="E16" s="76">
        <f t="shared" si="0"/>
        <v>58208000</v>
      </c>
      <c r="F16" s="77">
        <f t="shared" si="1"/>
        <v>0.88819714656290527</v>
      </c>
      <c r="G16" s="65"/>
    </row>
    <row r="17" spans="1:7" ht="31.5" customHeight="1" x14ac:dyDescent="0.25">
      <c r="A17" s="71"/>
      <c r="B17" s="81" t="s">
        <v>77</v>
      </c>
      <c r="C17" s="79">
        <f>C15-C16</f>
        <v>2317430000</v>
      </c>
      <c r="D17" s="79">
        <f>D15-D16</f>
        <v>3287692000</v>
      </c>
      <c r="E17" s="79">
        <f t="shared" si="0"/>
        <v>970262000</v>
      </c>
      <c r="F17" s="80">
        <f t="shared" si="1"/>
        <v>0.41868017588449274</v>
      </c>
    </row>
    <row r="18" spans="1:7" ht="23.1" customHeight="1" x14ac:dyDescent="0.2">
      <c r="A18" s="74">
        <v>6</v>
      </c>
      <c r="B18" s="75" t="s">
        <v>78</v>
      </c>
      <c r="C18" s="76">
        <v>60720000</v>
      </c>
      <c r="D18" s="76">
        <v>103175000</v>
      </c>
      <c r="E18" s="76">
        <f t="shared" si="0"/>
        <v>42455000</v>
      </c>
      <c r="F18" s="77">
        <f t="shared" si="1"/>
        <v>0.69919301712779969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3819000</v>
      </c>
      <c r="E19" s="76">
        <f t="shared" si="0"/>
        <v>3819000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2378150000</v>
      </c>
      <c r="D20" s="79">
        <f>SUM(D17:D19)</f>
        <v>3394686000</v>
      </c>
      <c r="E20" s="79">
        <f t="shared" si="0"/>
        <v>1016536000</v>
      </c>
      <c r="F20" s="80">
        <f t="shared" si="1"/>
        <v>0.42744822656266424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804309000</v>
      </c>
      <c r="D23" s="76">
        <v>1318391000</v>
      </c>
      <c r="E23" s="76">
        <f t="shared" ref="E23:E32" si="2">D23-C23</f>
        <v>514082000</v>
      </c>
      <c r="F23" s="77">
        <f t="shared" ref="F23:F32" si="3">IF(C23=0,0,E23/C23)</f>
        <v>0.63915982539049043</v>
      </c>
    </row>
    <row r="24" spans="1:7" ht="23.1" customHeight="1" x14ac:dyDescent="0.2">
      <c r="A24" s="74">
        <v>2</v>
      </c>
      <c r="B24" s="75" t="s">
        <v>83</v>
      </c>
      <c r="C24" s="76">
        <v>237277000</v>
      </c>
      <c r="D24" s="76">
        <v>425746000</v>
      </c>
      <c r="E24" s="76">
        <f t="shared" si="2"/>
        <v>188469000</v>
      </c>
      <c r="F24" s="77">
        <f t="shared" si="3"/>
        <v>0.7942994896260489</v>
      </c>
    </row>
    <row r="25" spans="1:7" ht="23.1" customHeight="1" x14ac:dyDescent="0.2">
      <c r="A25" s="74">
        <v>3</v>
      </c>
      <c r="B25" s="75" t="s">
        <v>84</v>
      </c>
      <c r="C25" s="76">
        <v>81367000</v>
      </c>
      <c r="D25" s="76">
        <v>121415000</v>
      </c>
      <c r="E25" s="76">
        <f t="shared" si="2"/>
        <v>40048000</v>
      </c>
      <c r="F25" s="77">
        <f t="shared" si="3"/>
        <v>0.4921897083584254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374971000</v>
      </c>
      <c r="D26" s="76">
        <v>493932000</v>
      </c>
      <c r="E26" s="76">
        <f t="shared" si="2"/>
        <v>118961000</v>
      </c>
      <c r="F26" s="77">
        <f t="shared" si="3"/>
        <v>0.31725386763243024</v>
      </c>
    </row>
    <row r="27" spans="1:7" ht="23.1" customHeight="1" x14ac:dyDescent="0.2">
      <c r="A27" s="74">
        <v>5</v>
      </c>
      <c r="B27" s="75" t="s">
        <v>86</v>
      </c>
      <c r="C27" s="76">
        <v>109616000</v>
      </c>
      <c r="D27" s="76">
        <v>192072000</v>
      </c>
      <c r="E27" s="76">
        <f t="shared" si="2"/>
        <v>82456000</v>
      </c>
      <c r="F27" s="77">
        <f t="shared" si="3"/>
        <v>0.75222595241570578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24246000</v>
      </c>
      <c r="D29" s="76">
        <v>26917000</v>
      </c>
      <c r="E29" s="76">
        <f t="shared" si="2"/>
        <v>2671000</v>
      </c>
      <c r="F29" s="77">
        <f t="shared" si="3"/>
        <v>0.11016250103109791</v>
      </c>
    </row>
    <row r="30" spans="1:7" ht="23.1" customHeight="1" x14ac:dyDescent="0.2">
      <c r="A30" s="74">
        <v>8</v>
      </c>
      <c r="B30" s="75" t="s">
        <v>89</v>
      </c>
      <c r="C30" s="76">
        <v>16811000</v>
      </c>
      <c r="D30" s="76">
        <v>58999000</v>
      </c>
      <c r="E30" s="76">
        <f t="shared" si="2"/>
        <v>42188000</v>
      </c>
      <c r="F30" s="77">
        <f t="shared" si="3"/>
        <v>2.5095473202070071</v>
      </c>
    </row>
    <row r="31" spans="1:7" ht="23.1" customHeight="1" x14ac:dyDescent="0.2">
      <c r="A31" s="74">
        <v>9</v>
      </c>
      <c r="B31" s="75" t="s">
        <v>90</v>
      </c>
      <c r="C31" s="76">
        <v>630838000</v>
      </c>
      <c r="D31" s="76">
        <v>587102000</v>
      </c>
      <c r="E31" s="76">
        <f t="shared" si="2"/>
        <v>-43736000</v>
      </c>
      <c r="F31" s="77">
        <f t="shared" si="3"/>
        <v>-6.9330002314381828E-2</v>
      </c>
    </row>
    <row r="32" spans="1:7" ht="23.1" customHeight="1" x14ac:dyDescent="0.25">
      <c r="A32" s="71"/>
      <c r="B32" s="78" t="s">
        <v>91</v>
      </c>
      <c r="C32" s="79">
        <f>SUM(C23:C31)</f>
        <v>2279435000</v>
      </c>
      <c r="D32" s="79">
        <f>SUM(D23:D31)</f>
        <v>3224574000</v>
      </c>
      <c r="E32" s="79">
        <f t="shared" si="2"/>
        <v>945139000</v>
      </c>
      <c r="F32" s="80">
        <f t="shared" si="3"/>
        <v>0.41463739918005998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98715000</v>
      </c>
      <c r="D34" s="79">
        <f>+D20-D32</f>
        <v>170112000</v>
      </c>
      <c r="E34" s="79">
        <f>D34-C34</f>
        <v>71397000</v>
      </c>
      <c r="F34" s="80">
        <f>IF(C34=0,0,E34/C34)</f>
        <v>0.72326394165020513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7993000</v>
      </c>
      <c r="D37" s="76">
        <v>3103000</v>
      </c>
      <c r="E37" s="76">
        <f>D37-C37</f>
        <v>-4890000</v>
      </c>
      <c r="F37" s="77">
        <f>IF(C37=0,0,E37/C37)</f>
        <v>-0.61178531214812959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16263000</v>
      </c>
      <c r="D39" s="76">
        <v>-23196000</v>
      </c>
      <c r="E39" s="76">
        <f>D39-C39</f>
        <v>-39459000</v>
      </c>
      <c r="F39" s="77">
        <f>IF(C39=0,0,E39/C39)</f>
        <v>-2.426305109758347</v>
      </c>
    </row>
    <row r="40" spans="1:6" ht="23.1" customHeight="1" x14ac:dyDescent="0.25">
      <c r="A40" s="83"/>
      <c r="B40" s="78" t="s">
        <v>97</v>
      </c>
      <c r="C40" s="79">
        <f>SUM(C37:C39)</f>
        <v>24256000</v>
      </c>
      <c r="D40" s="79">
        <f>SUM(D37:D39)</f>
        <v>-20093000</v>
      </c>
      <c r="E40" s="79">
        <f>D40-C40</f>
        <v>-44349000</v>
      </c>
      <c r="F40" s="80">
        <f>IF(C40=0,0,E40/C40)</f>
        <v>-1.8283723614775726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122971000</v>
      </c>
      <c r="D42" s="79">
        <f>D34+D40</f>
        <v>150019000</v>
      </c>
      <c r="E42" s="79">
        <f>D42-C42</f>
        <v>27048000</v>
      </c>
      <c r="F42" s="80">
        <f>IF(C42=0,0,E42/C42)</f>
        <v>0.21995429816786072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50283000</v>
      </c>
      <c r="D45" s="76">
        <v>86913000</v>
      </c>
      <c r="E45" s="76">
        <f>D45-C45</f>
        <v>36630000</v>
      </c>
      <c r="F45" s="77">
        <f>IF(C45=0,0,E45/C45)</f>
        <v>0.72847682119205293</v>
      </c>
    </row>
    <row r="46" spans="1:6" ht="23.1" customHeight="1" x14ac:dyDescent="0.2">
      <c r="A46" s="85"/>
      <c r="B46" s="75" t="s">
        <v>101</v>
      </c>
      <c r="C46" s="76">
        <v>-4594000</v>
      </c>
      <c r="D46" s="76">
        <v>-32631000</v>
      </c>
      <c r="E46" s="76">
        <f>D46-C46</f>
        <v>-28037000</v>
      </c>
      <c r="F46" s="77">
        <f>IF(C46=0,0,E46/C46)</f>
        <v>6.1029603831084023</v>
      </c>
    </row>
    <row r="47" spans="1:6" ht="23.1" customHeight="1" x14ac:dyDescent="0.25">
      <c r="A47" s="83"/>
      <c r="B47" s="78" t="s">
        <v>102</v>
      </c>
      <c r="C47" s="79">
        <f>SUM(C45:C46)</f>
        <v>45689000</v>
      </c>
      <c r="D47" s="79">
        <f>SUM(D45:D46)</f>
        <v>54282000</v>
      </c>
      <c r="E47" s="79">
        <f>D47-C47</f>
        <v>8593000</v>
      </c>
      <c r="F47" s="80">
        <f>IF(C47=0,0,E47/C47)</f>
        <v>0.18807590448466807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168660000</v>
      </c>
      <c r="D49" s="79">
        <f>D42+D47</f>
        <v>204301000</v>
      </c>
      <c r="E49" s="79">
        <f>D49-C49</f>
        <v>35641000</v>
      </c>
      <c r="F49" s="80">
        <f>IF(C49=0,0,E49/C49)</f>
        <v>0.21131862919482983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FILING&amp;R&amp;8YALE-NEW HAVEN HEALTH SERVICES CORP. (YNHHSC)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2015-07-07T15:57:44Z</cp:lastPrinted>
  <dcterms:created xsi:type="dcterms:W3CDTF">2015-07-07T15:54:05Z</dcterms:created>
  <dcterms:modified xsi:type="dcterms:W3CDTF">2015-07-07T15:57:51Z</dcterms:modified>
</cp:coreProperties>
</file>