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Report485!$A$11:$F$35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 s="1"/>
  <c r="C96" i="22"/>
  <c r="C98" i="22" s="1"/>
  <c r="E92" i="22"/>
  <c r="D92" i="22"/>
  <c r="C92" i="22"/>
  <c r="E91" i="22"/>
  <c r="E93" i="22"/>
  <c r="D91" i="22"/>
  <c r="D93" i="22" s="1"/>
  <c r="C91" i="22"/>
  <c r="C93" i="22" s="1"/>
  <c r="E87" i="22"/>
  <c r="D87" i="22"/>
  <c r="C87" i="22"/>
  <c r="E86" i="22"/>
  <c r="E88" i="22"/>
  <c r="D86" i="22"/>
  <c r="D88" i="22" s="1"/>
  <c r="C86" i="22"/>
  <c r="E83" i="22"/>
  <c r="D83" i="22"/>
  <c r="D102" i="22"/>
  <c r="C83" i="22"/>
  <c r="C101" i="22" s="1"/>
  <c r="E76" i="22"/>
  <c r="D76" i="22"/>
  <c r="C76" i="22"/>
  <c r="E75" i="22"/>
  <c r="D75" i="22"/>
  <c r="D77" i="22"/>
  <c r="C75" i="22"/>
  <c r="C77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D34" i="22" s="1"/>
  <c r="C12" i="22"/>
  <c r="C33" i="22"/>
  <c r="D21" i="21"/>
  <c r="E21" i="21"/>
  <c r="C21" i="21"/>
  <c r="D19" i="21"/>
  <c r="C19" i="21"/>
  <c r="F17" i="21"/>
  <c r="E17" i="21"/>
  <c r="E15" i="21"/>
  <c r="F15" i="21" s="1"/>
  <c r="D45" i="20"/>
  <c r="E45" i="20" s="1"/>
  <c r="C45" i="20"/>
  <c r="D44" i="20"/>
  <c r="D46" i="20" s="1"/>
  <c r="C44" i="20"/>
  <c r="D43" i="20"/>
  <c r="C43" i="20"/>
  <c r="C46" i="20"/>
  <c r="D36" i="20"/>
  <c r="D40" i="20"/>
  <c r="C36" i="20"/>
  <c r="C40" i="20" s="1"/>
  <c r="F35" i="20"/>
  <c r="E35" i="20"/>
  <c r="E34" i="20"/>
  <c r="F34" i="20" s="1"/>
  <c r="E33" i="20"/>
  <c r="F30" i="20"/>
  <c r="E30" i="20"/>
  <c r="E29" i="20"/>
  <c r="F29" i="20" s="1"/>
  <c r="E28" i="20"/>
  <c r="F28" i="20" s="1"/>
  <c r="E27" i="20"/>
  <c r="F27" i="20" s="1"/>
  <c r="D25" i="20"/>
  <c r="D39" i="20" s="1"/>
  <c r="C25" i="20"/>
  <c r="C39" i="20"/>
  <c r="E24" i="20"/>
  <c r="E23" i="20"/>
  <c r="F23" i="20" s="1"/>
  <c r="F22" i="20"/>
  <c r="E22" i="20"/>
  <c r="D19" i="20"/>
  <c r="D20" i="20" s="1"/>
  <c r="E20" i="20" s="1"/>
  <c r="C19" i="20"/>
  <c r="C20" i="20"/>
  <c r="E18" i="20"/>
  <c r="F18" i="20" s="1"/>
  <c r="D16" i="20"/>
  <c r="E16" i="20"/>
  <c r="F16" i="20" s="1"/>
  <c r="C16" i="20"/>
  <c r="E15" i="20"/>
  <c r="F15" i="20" s="1"/>
  <c r="E13" i="20"/>
  <c r="F13" i="20" s="1"/>
  <c r="E12" i="20"/>
  <c r="F12" i="20" s="1"/>
  <c r="C137" i="19"/>
  <c r="C139" i="19" s="1"/>
  <c r="C143" i="19" s="1"/>
  <c r="C115" i="19"/>
  <c r="C105" i="19"/>
  <c r="C96" i="19"/>
  <c r="C95" i="19"/>
  <c r="C89" i="19"/>
  <c r="C88" i="19"/>
  <c r="C83" i="19"/>
  <c r="C77" i="19"/>
  <c r="C78" i="19" s="1"/>
  <c r="C63" i="19"/>
  <c r="C59" i="19"/>
  <c r="C60" i="19" s="1"/>
  <c r="C48" i="19"/>
  <c r="C36" i="19"/>
  <c r="C32" i="19"/>
  <c r="C33" i="19" s="1"/>
  <c r="C21" i="19"/>
  <c r="E328" i="18"/>
  <c r="E325" i="18"/>
  <c r="D324" i="18"/>
  <c r="D326" i="18" s="1"/>
  <c r="C324" i="18"/>
  <c r="C326" i="18" s="1"/>
  <c r="C330" i="18" s="1"/>
  <c r="E318" i="18"/>
  <c r="E315" i="18"/>
  <c r="D314" i="18"/>
  <c r="D316" i="18"/>
  <c r="C314" i="18"/>
  <c r="E314" i="18" s="1"/>
  <c r="E308" i="18"/>
  <c r="E305" i="18"/>
  <c r="D301" i="18"/>
  <c r="C301" i="18"/>
  <c r="D293" i="18"/>
  <c r="E293" i="18" s="1"/>
  <c r="C293" i="18"/>
  <c r="D292" i="18"/>
  <c r="C292" i="18"/>
  <c r="E292" i="18"/>
  <c r="D291" i="18"/>
  <c r="E291" i="18" s="1"/>
  <c r="C291" i="18"/>
  <c r="D290" i="18"/>
  <c r="E290" i="18" s="1"/>
  <c r="C290" i="18"/>
  <c r="D288" i="18"/>
  <c r="C288" i="18"/>
  <c r="E288" i="18"/>
  <c r="D287" i="18"/>
  <c r="C287" i="18"/>
  <c r="D282" i="18"/>
  <c r="C282" i="18"/>
  <c r="E282" i="18" s="1"/>
  <c r="D281" i="18"/>
  <c r="E281" i="18"/>
  <c r="C281" i="18"/>
  <c r="D280" i="18"/>
  <c r="E280" i="18" s="1"/>
  <c r="C280" i="18"/>
  <c r="D279" i="18"/>
  <c r="E279" i="18" s="1"/>
  <c r="C279" i="18"/>
  <c r="D278" i="18"/>
  <c r="C278" i="18"/>
  <c r="E278" i="18"/>
  <c r="D277" i="18"/>
  <c r="E277" i="18" s="1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33" i="18"/>
  <c r="C233" i="18"/>
  <c r="D232" i="18"/>
  <c r="C232" i="18"/>
  <c r="E232" i="18" s="1"/>
  <c r="D231" i="18"/>
  <c r="C231" i="18"/>
  <c r="D230" i="18"/>
  <c r="C230" i="18"/>
  <c r="E230" i="18" s="1"/>
  <c r="D228" i="18"/>
  <c r="C228" i="18"/>
  <c r="E228" i="18" s="1"/>
  <c r="D227" i="18"/>
  <c r="C227" i="18"/>
  <c r="D221" i="18"/>
  <c r="D245" i="18" s="1"/>
  <c r="C221" i="18"/>
  <c r="C245" i="18"/>
  <c r="D220" i="18"/>
  <c r="D244" i="18" s="1"/>
  <c r="C220" i="18"/>
  <c r="C244" i="18" s="1"/>
  <c r="D219" i="18"/>
  <c r="D243" i="18" s="1"/>
  <c r="C219" i="18"/>
  <c r="C243" i="18"/>
  <c r="D218" i="18"/>
  <c r="C218" i="18"/>
  <c r="C242" i="18" s="1"/>
  <c r="D216" i="18"/>
  <c r="D240" i="18"/>
  <c r="C216" i="18"/>
  <c r="D215" i="18"/>
  <c r="D239" i="18" s="1"/>
  <c r="E239" i="18" s="1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D189" i="18" s="1"/>
  <c r="D261" i="18"/>
  <c r="C188" i="18"/>
  <c r="E186" i="18"/>
  <c r="E185" i="18"/>
  <c r="D179" i="18"/>
  <c r="C179" i="18"/>
  <c r="D178" i="18"/>
  <c r="C178" i="18"/>
  <c r="E178" i="18" s="1"/>
  <c r="D177" i="18"/>
  <c r="E177" i="18" s="1"/>
  <c r="C177" i="18"/>
  <c r="D176" i="18"/>
  <c r="E176" i="18" s="1"/>
  <c r="C176" i="18"/>
  <c r="D174" i="18"/>
  <c r="E174" i="18"/>
  <c r="C174" i="18"/>
  <c r="D173" i="18"/>
  <c r="E173" i="18" s="1"/>
  <c r="C173" i="18"/>
  <c r="D167" i="18"/>
  <c r="C167" i="18"/>
  <c r="E167" i="18" s="1"/>
  <c r="D166" i="18"/>
  <c r="C166" i="18"/>
  <c r="E166" i="18"/>
  <c r="D165" i="18"/>
  <c r="E165" i="18" s="1"/>
  <c r="C165" i="18"/>
  <c r="D164" i="18"/>
  <c r="C164" i="18"/>
  <c r="E164" i="18"/>
  <c r="D162" i="18"/>
  <c r="C162" i="18"/>
  <c r="E162" i="18"/>
  <c r="D161" i="18"/>
  <c r="C161" i="18"/>
  <c r="E161" i="18" s="1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E163" i="18" s="1"/>
  <c r="C139" i="18"/>
  <c r="C175" i="18" s="1"/>
  <c r="C163" i="18"/>
  <c r="E138" i="18"/>
  <c r="E137" i="18"/>
  <c r="D75" i="18"/>
  <c r="C75" i="18"/>
  <c r="E75" i="18"/>
  <c r="D74" i="18"/>
  <c r="C74" i="18"/>
  <c r="E74" i="18" s="1"/>
  <c r="D73" i="18"/>
  <c r="C73" i="18"/>
  <c r="E73" i="18"/>
  <c r="D72" i="18"/>
  <c r="E72" i="18"/>
  <c r="C72" i="18"/>
  <c r="C71" i="18"/>
  <c r="D70" i="18"/>
  <c r="C70" i="18"/>
  <c r="D69" i="18"/>
  <c r="C69" i="18"/>
  <c r="C65" i="18"/>
  <c r="C66" i="18"/>
  <c r="E64" i="18"/>
  <c r="E63" i="18"/>
  <c r="E62" i="18"/>
  <c r="E61" i="18"/>
  <c r="D60" i="18"/>
  <c r="C60" i="18"/>
  <c r="C289" i="18"/>
  <c r="E59" i="18"/>
  <c r="E58" i="18"/>
  <c r="C55" i="18"/>
  <c r="D54" i="18"/>
  <c r="C54" i="18"/>
  <c r="E53" i="18"/>
  <c r="E52" i="18"/>
  <c r="E51" i="18"/>
  <c r="E50" i="18"/>
  <c r="E49" i="18"/>
  <c r="E48" i="18"/>
  <c r="E47" i="18"/>
  <c r="D42" i="18"/>
  <c r="C42" i="18"/>
  <c r="E42" i="18" s="1"/>
  <c r="D41" i="18"/>
  <c r="C41" i="18"/>
  <c r="D40" i="18"/>
  <c r="C40" i="18"/>
  <c r="E40" i="18" s="1"/>
  <c r="D39" i="18"/>
  <c r="C39" i="18"/>
  <c r="D38" i="18"/>
  <c r="E38" i="18" s="1"/>
  <c r="C38" i="18"/>
  <c r="D37" i="18"/>
  <c r="C37" i="18"/>
  <c r="D36" i="18"/>
  <c r="C36" i="18"/>
  <c r="D32" i="18"/>
  <c r="C32" i="18"/>
  <c r="C33" i="18" s="1"/>
  <c r="E31" i="18"/>
  <c r="E30" i="18"/>
  <c r="E29" i="18"/>
  <c r="E28" i="18"/>
  <c r="E27" i="18"/>
  <c r="E26" i="18"/>
  <c r="E25" i="18"/>
  <c r="D21" i="18"/>
  <c r="D22" i="18" s="1"/>
  <c r="C21" i="18"/>
  <c r="E20" i="18"/>
  <c r="E19" i="18"/>
  <c r="E18" i="18"/>
  <c r="E17" i="18"/>
  <c r="E16" i="18"/>
  <c r="E15" i="18"/>
  <c r="E14" i="18"/>
  <c r="F335" i="17"/>
  <c r="E335" i="17"/>
  <c r="E334" i="17"/>
  <c r="F334" i="17" s="1"/>
  <c r="E333" i="17"/>
  <c r="F333" i="17" s="1"/>
  <c r="F332" i="17"/>
  <c r="E332" i="17"/>
  <c r="F331" i="17"/>
  <c r="E331" i="17"/>
  <c r="E330" i="17"/>
  <c r="F330" i="17" s="1"/>
  <c r="F329" i="17"/>
  <c r="E329" i="17"/>
  <c r="F316" i="17"/>
  <c r="E316" i="17"/>
  <c r="F311" i="17"/>
  <c r="D311" i="17"/>
  <c r="E311" i="17" s="1"/>
  <c r="C311" i="17"/>
  <c r="F308" i="17"/>
  <c r="E308" i="17"/>
  <c r="D307" i="17"/>
  <c r="E307" i="17" s="1"/>
  <c r="F307" i="17" s="1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C250" i="17"/>
  <c r="C306" i="17"/>
  <c r="E249" i="17"/>
  <c r="F249" i="17"/>
  <c r="E248" i="17"/>
  <c r="F248" i="17" s="1"/>
  <c r="F245" i="17"/>
  <c r="E245" i="17"/>
  <c r="E244" i="17"/>
  <c r="F244" i="17"/>
  <c r="E243" i="17"/>
  <c r="F243" i="17"/>
  <c r="D238" i="17"/>
  <c r="C238" i="17"/>
  <c r="D237" i="17"/>
  <c r="C237" i="17"/>
  <c r="E234" i="17"/>
  <c r="F234" i="17"/>
  <c r="E233" i="17"/>
  <c r="F233" i="17"/>
  <c r="D230" i="17"/>
  <c r="E230" i="17" s="1"/>
  <c r="C230" i="17"/>
  <c r="D229" i="17"/>
  <c r="C229" i="17"/>
  <c r="E228" i="17"/>
  <c r="F228" i="17"/>
  <c r="D226" i="17"/>
  <c r="D227" i="17"/>
  <c r="E227" i="17" s="1"/>
  <c r="F227" i="17" s="1"/>
  <c r="C226" i="17"/>
  <c r="C227" i="17" s="1"/>
  <c r="E225" i="17"/>
  <c r="F225" i="17" s="1"/>
  <c r="E224" i="17"/>
  <c r="F224" i="17"/>
  <c r="D223" i="17"/>
  <c r="C223" i="17"/>
  <c r="E223" i="17"/>
  <c r="F223" i="17" s="1"/>
  <c r="E222" i="17"/>
  <c r="F222" i="17" s="1"/>
  <c r="E221" i="17"/>
  <c r="F221" i="17"/>
  <c r="D204" i="17"/>
  <c r="C204" i="17"/>
  <c r="D203" i="17"/>
  <c r="C203" i="17"/>
  <c r="D198" i="17"/>
  <c r="C198" i="17"/>
  <c r="C199" i="17" s="1"/>
  <c r="D191" i="17"/>
  <c r="D280" i="17"/>
  <c r="C191" i="17"/>
  <c r="D189" i="17"/>
  <c r="D278" i="17" s="1"/>
  <c r="C189" i="17"/>
  <c r="D188" i="17"/>
  <c r="D277" i="17"/>
  <c r="C188" i="17"/>
  <c r="D180" i="17"/>
  <c r="C180" i="17"/>
  <c r="F180" i="17"/>
  <c r="D179" i="17"/>
  <c r="C179" i="17"/>
  <c r="F179" i="17"/>
  <c r="C172" i="17"/>
  <c r="F172" i="17"/>
  <c r="D171" i="17"/>
  <c r="D172" i="17" s="1"/>
  <c r="C171" i="17"/>
  <c r="F171" i="17"/>
  <c r="D170" i="17"/>
  <c r="C170" i="17"/>
  <c r="F170" i="17"/>
  <c r="F169" i="17"/>
  <c r="E169" i="17"/>
  <c r="F168" i="17"/>
  <c r="E168" i="17"/>
  <c r="D165" i="17"/>
  <c r="C165" i="17"/>
  <c r="F165" i="17" s="1"/>
  <c r="D164" i="17"/>
  <c r="C164" i="17"/>
  <c r="F164" i="17"/>
  <c r="F163" i="17"/>
  <c r="E163" i="17"/>
  <c r="D158" i="17"/>
  <c r="D159" i="17"/>
  <c r="E159" i="17" s="1"/>
  <c r="C158" i="17"/>
  <c r="C159" i="17"/>
  <c r="F159" i="17" s="1"/>
  <c r="F157" i="17"/>
  <c r="E157" i="17"/>
  <c r="F156" i="17"/>
  <c r="E156" i="17"/>
  <c r="D155" i="17"/>
  <c r="C155" i="17"/>
  <c r="E155" i="17" s="1"/>
  <c r="F154" i="17"/>
  <c r="E154" i="17"/>
  <c r="F153" i="17"/>
  <c r="E153" i="17"/>
  <c r="D145" i="17"/>
  <c r="C145" i="17"/>
  <c r="C146" i="17" s="1"/>
  <c r="E145" i="17"/>
  <c r="F145" i="17" s="1"/>
  <c r="D144" i="17"/>
  <c r="D146" i="17" s="1"/>
  <c r="E146" i="17"/>
  <c r="C144" i="17"/>
  <c r="D136" i="17"/>
  <c r="D137" i="17" s="1"/>
  <c r="C136" i="17"/>
  <c r="C137" i="17"/>
  <c r="C138" i="17" s="1"/>
  <c r="D135" i="17"/>
  <c r="C135" i="17"/>
  <c r="E134" i="17"/>
  <c r="F134" i="17"/>
  <c r="E133" i="17"/>
  <c r="F133" i="17"/>
  <c r="D130" i="17"/>
  <c r="C130" i="17"/>
  <c r="E130" i="17" s="1"/>
  <c r="D129" i="17"/>
  <c r="C129" i="17"/>
  <c r="E129" i="17"/>
  <c r="E128" i="17"/>
  <c r="F128" i="17"/>
  <c r="D123" i="17"/>
  <c r="D192" i="17"/>
  <c r="C123" i="17"/>
  <c r="C124" i="17" s="1"/>
  <c r="E122" i="17"/>
  <c r="F122" i="17"/>
  <c r="E121" i="17"/>
  <c r="F121" i="17"/>
  <c r="D120" i="17"/>
  <c r="C120" i="17"/>
  <c r="E119" i="17"/>
  <c r="F119" i="17" s="1"/>
  <c r="E118" i="17"/>
  <c r="F118" i="17"/>
  <c r="D110" i="17"/>
  <c r="C110" i="17"/>
  <c r="D109" i="17"/>
  <c r="D111" i="17"/>
  <c r="C109" i="17"/>
  <c r="D101" i="17"/>
  <c r="D102" i="17"/>
  <c r="C101" i="17"/>
  <c r="C102" i="17"/>
  <c r="D100" i="17"/>
  <c r="C100" i="17"/>
  <c r="E99" i="17"/>
  <c r="F99" i="17" s="1"/>
  <c r="E98" i="17"/>
  <c r="F98" i="17"/>
  <c r="D95" i="17"/>
  <c r="C95" i="17"/>
  <c r="D94" i="17"/>
  <c r="C94" i="17"/>
  <c r="E93" i="17"/>
  <c r="F93" i="17" s="1"/>
  <c r="D88" i="17"/>
  <c r="D89" i="17"/>
  <c r="C88" i="17"/>
  <c r="E87" i="17"/>
  <c r="F87" i="17" s="1"/>
  <c r="E86" i="17"/>
  <c r="F86" i="17"/>
  <c r="D85" i="17"/>
  <c r="C85" i="17"/>
  <c r="E85" i="17"/>
  <c r="F85" i="17" s="1"/>
  <c r="E84" i="17"/>
  <c r="F84" i="17" s="1"/>
  <c r="E83" i="17"/>
  <c r="F83" i="17" s="1"/>
  <c r="D76" i="17"/>
  <c r="D77" i="17"/>
  <c r="C76" i="17"/>
  <c r="C77" i="17" s="1"/>
  <c r="E74" i="17"/>
  <c r="F74" i="17" s="1"/>
  <c r="E73" i="17"/>
  <c r="F73" i="17" s="1"/>
  <c r="D67" i="17"/>
  <c r="E67" i="17" s="1"/>
  <c r="F67" i="17"/>
  <c r="C67" i="17"/>
  <c r="C68" i="17" s="1"/>
  <c r="D66" i="17"/>
  <c r="D68" i="17" s="1"/>
  <c r="E68" i="17" s="1"/>
  <c r="C66" i="17"/>
  <c r="D59" i="17"/>
  <c r="D60" i="17"/>
  <c r="D61" i="17" s="1"/>
  <c r="C59" i="17"/>
  <c r="C60" i="17"/>
  <c r="D58" i="17"/>
  <c r="E58" i="17" s="1"/>
  <c r="C58" i="17"/>
  <c r="F58" i="17" s="1"/>
  <c r="E57" i="17"/>
  <c r="F57" i="17"/>
  <c r="E56" i="17"/>
  <c r="F56" i="17"/>
  <c r="D53" i="17"/>
  <c r="E53" i="17" s="1"/>
  <c r="C53" i="17"/>
  <c r="F53" i="17" s="1"/>
  <c r="D52" i="17"/>
  <c r="C52" i="17"/>
  <c r="E51" i="17"/>
  <c r="F51" i="17" s="1"/>
  <c r="D47" i="17"/>
  <c r="D48" i="17"/>
  <c r="C47" i="17"/>
  <c r="C48" i="17"/>
  <c r="E46" i="17"/>
  <c r="F46" i="17" s="1"/>
  <c r="E45" i="17"/>
  <c r="F45" i="17" s="1"/>
  <c r="D44" i="17"/>
  <c r="C44" i="17"/>
  <c r="E43" i="17"/>
  <c r="F43" i="17" s="1"/>
  <c r="F42" i="17"/>
  <c r="E42" i="17"/>
  <c r="D36" i="17"/>
  <c r="C36" i="17"/>
  <c r="D35" i="17"/>
  <c r="D37" i="17" s="1"/>
  <c r="C35" i="17"/>
  <c r="D30" i="17"/>
  <c r="D31" i="17"/>
  <c r="C30" i="17"/>
  <c r="C31" i="17" s="1"/>
  <c r="D29" i="17"/>
  <c r="E29" i="17"/>
  <c r="F29" i="17"/>
  <c r="C29" i="17"/>
  <c r="E28" i="17"/>
  <c r="F28" i="17" s="1"/>
  <c r="F27" i="17"/>
  <c r="E27" i="17"/>
  <c r="D24" i="17"/>
  <c r="E24" i="17" s="1"/>
  <c r="F24" i="17"/>
  <c r="C24" i="17"/>
  <c r="D23" i="17"/>
  <c r="C23" i="17"/>
  <c r="E23" i="17" s="1"/>
  <c r="F23" i="17" s="1"/>
  <c r="F22" i="17"/>
  <c r="E22" i="17"/>
  <c r="D20" i="17"/>
  <c r="E20" i="17" s="1"/>
  <c r="C20" i="17"/>
  <c r="F19" i="17"/>
  <c r="E19" i="17"/>
  <c r="E18" i="17"/>
  <c r="F18" i="17" s="1"/>
  <c r="D17" i="17"/>
  <c r="E17" i="17"/>
  <c r="C17" i="17"/>
  <c r="F16" i="17"/>
  <c r="E16" i="17"/>
  <c r="F15" i="17"/>
  <c r="E15" i="17"/>
  <c r="D28" i="16"/>
  <c r="E28" i="16" s="1"/>
  <c r="C28" i="16"/>
  <c r="F27" i="16"/>
  <c r="E27" i="16"/>
  <c r="F26" i="16"/>
  <c r="E26" i="16"/>
  <c r="E25" i="16"/>
  <c r="F25" i="16" s="1"/>
  <c r="F24" i="16"/>
  <c r="E24" i="16"/>
  <c r="D21" i="16"/>
  <c r="C21" i="16"/>
  <c r="F20" i="16"/>
  <c r="E20" i="16"/>
  <c r="E19" i="16"/>
  <c r="F19" i="16" s="1"/>
  <c r="F18" i="16"/>
  <c r="E18" i="16"/>
  <c r="D15" i="16"/>
  <c r="C15" i="16"/>
  <c r="E14" i="16"/>
  <c r="F14" i="16" s="1"/>
  <c r="F13" i="16"/>
  <c r="E13" i="16"/>
  <c r="F12" i="16"/>
  <c r="E12" i="16"/>
  <c r="D107" i="15"/>
  <c r="E107" i="15" s="1"/>
  <c r="C107" i="15"/>
  <c r="F107" i="15" s="1"/>
  <c r="F106" i="15"/>
  <c r="E106" i="15"/>
  <c r="F105" i="15"/>
  <c r="E105" i="15"/>
  <c r="E104" i="15"/>
  <c r="F104" i="15" s="1"/>
  <c r="D100" i="15"/>
  <c r="C100" i="15"/>
  <c r="E100" i="15" s="1"/>
  <c r="F100" i="15" s="1"/>
  <c r="E99" i="15"/>
  <c r="F99" i="15" s="1"/>
  <c r="E98" i="15"/>
  <c r="F98" i="15" s="1"/>
  <c r="E97" i="15"/>
  <c r="F97" i="15" s="1"/>
  <c r="F96" i="15"/>
  <c r="E96" i="15"/>
  <c r="F95" i="15"/>
  <c r="E95" i="15"/>
  <c r="D92" i="15"/>
  <c r="E92" i="15" s="1"/>
  <c r="C92" i="15"/>
  <c r="F91" i="15"/>
  <c r="E91" i="15"/>
  <c r="E90" i="15"/>
  <c r="F90" i="15" s="1"/>
  <c r="E89" i="15"/>
  <c r="F89" i="15" s="1"/>
  <c r="E88" i="15"/>
  <c r="F88" i="15" s="1"/>
  <c r="F87" i="15"/>
  <c r="E87" i="15"/>
  <c r="F86" i="15"/>
  <c r="E86" i="15"/>
  <c r="F85" i="15"/>
  <c r="E85" i="15"/>
  <c r="E84" i="15"/>
  <c r="F84" i="15" s="1"/>
  <c r="F83" i="15"/>
  <c r="E83" i="15"/>
  <c r="F82" i="15"/>
  <c r="E82" i="15"/>
  <c r="F81" i="15"/>
  <c r="E81" i="15"/>
  <c r="E80" i="15"/>
  <c r="F80" i="15" s="1"/>
  <c r="F79" i="15"/>
  <c r="E79" i="15"/>
  <c r="D75" i="15"/>
  <c r="C75" i="15"/>
  <c r="F74" i="15"/>
  <c r="E74" i="15"/>
  <c r="E75" i="15" s="1"/>
  <c r="E73" i="15"/>
  <c r="F73" i="15" s="1"/>
  <c r="D70" i="15"/>
  <c r="E70" i="15"/>
  <c r="C70" i="15"/>
  <c r="F70" i="15" s="1"/>
  <c r="E69" i="15"/>
  <c r="F69" i="15" s="1"/>
  <c r="F68" i="15"/>
  <c r="E68" i="15"/>
  <c r="D65" i="15"/>
  <c r="E65" i="15" s="1"/>
  <c r="F65" i="15" s="1"/>
  <c r="C65" i="15"/>
  <c r="E64" i="15"/>
  <c r="F64" i="15" s="1"/>
  <c r="F63" i="15"/>
  <c r="E63" i="15"/>
  <c r="D60" i="15"/>
  <c r="C60" i="15"/>
  <c r="E59" i="15"/>
  <c r="E58" i="15"/>
  <c r="F58" i="15" s="1"/>
  <c r="D55" i="15"/>
  <c r="E55" i="15" s="1"/>
  <c r="C55" i="15"/>
  <c r="E54" i="15"/>
  <c r="F54" i="15" s="1"/>
  <c r="F53" i="15"/>
  <c r="E53" i="15"/>
  <c r="D50" i="15"/>
  <c r="C50" i="15"/>
  <c r="E49" i="15"/>
  <c r="F49" i="15" s="1"/>
  <c r="F48" i="15"/>
  <c r="E48" i="15"/>
  <c r="D45" i="15"/>
  <c r="E45" i="15" s="1"/>
  <c r="F45" i="15" s="1"/>
  <c r="C45" i="15"/>
  <c r="E44" i="15"/>
  <c r="F44" i="15" s="1"/>
  <c r="F43" i="15"/>
  <c r="E43" i="15"/>
  <c r="D37" i="15"/>
  <c r="E37" i="15"/>
  <c r="C37" i="15"/>
  <c r="F37" i="15" s="1"/>
  <c r="F36" i="15"/>
  <c r="E36" i="15"/>
  <c r="F35" i="15"/>
  <c r="E35" i="15"/>
  <c r="E34" i="15"/>
  <c r="F34" i="15" s="1"/>
  <c r="E33" i="15"/>
  <c r="F33" i="15" s="1"/>
  <c r="D30" i="15"/>
  <c r="C30" i="15"/>
  <c r="E30" i="15" s="1"/>
  <c r="F30" i="15" s="1"/>
  <c r="F29" i="15"/>
  <c r="E29" i="15"/>
  <c r="F28" i="15"/>
  <c r="E28" i="15"/>
  <c r="E27" i="15"/>
  <c r="F27" i="15" s="1"/>
  <c r="F26" i="15"/>
  <c r="E26" i="15"/>
  <c r="D23" i="15"/>
  <c r="E23" i="15" s="1"/>
  <c r="F23" i="15"/>
  <c r="C23" i="15"/>
  <c r="F22" i="15"/>
  <c r="E22" i="15"/>
  <c r="F21" i="15"/>
  <c r="E21" i="15"/>
  <c r="F20" i="15"/>
  <c r="E20" i="15"/>
  <c r="F19" i="15"/>
  <c r="E19" i="15"/>
  <c r="D16" i="15"/>
  <c r="C16" i="15"/>
  <c r="E16" i="15" s="1"/>
  <c r="F16" i="15" s="1"/>
  <c r="F15" i="15"/>
  <c r="E15" i="15"/>
  <c r="F14" i="15"/>
  <c r="E14" i="15"/>
  <c r="E13" i="15"/>
  <c r="F13" i="15" s="1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E17" i="14"/>
  <c r="E31" i="14" s="1"/>
  <c r="D17" i="14"/>
  <c r="D33" i="14"/>
  <c r="D36" i="14"/>
  <c r="D38" i="14" s="1"/>
  <c r="D40" i="14" s="1"/>
  <c r="C17" i="14"/>
  <c r="C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/>
  <c r="D78" i="13"/>
  <c r="D80" i="13"/>
  <c r="D77" i="13" s="1"/>
  <c r="C78" i="13"/>
  <c r="C80" i="13"/>
  <c r="C77" i="13"/>
  <c r="C75" i="13"/>
  <c r="E73" i="13"/>
  <c r="E75" i="13" s="1"/>
  <c r="D73" i="13"/>
  <c r="D75" i="13"/>
  <c r="C73" i="13"/>
  <c r="E71" i="13"/>
  <c r="D71" i="13"/>
  <c r="C71" i="13"/>
  <c r="E66" i="13"/>
  <c r="E65" i="13" s="1"/>
  <c r="D66" i="13"/>
  <c r="D65" i="13" s="1"/>
  <c r="C66" i="13"/>
  <c r="C65" i="13" s="1"/>
  <c r="E60" i="13"/>
  <c r="D60" i="13"/>
  <c r="C60" i="13"/>
  <c r="E59" i="13"/>
  <c r="E61" i="13" s="1"/>
  <c r="E57" i="13" s="1"/>
  <c r="E58" i="13"/>
  <c r="D58" i="13"/>
  <c r="C58" i="13"/>
  <c r="E55" i="13"/>
  <c r="E50" i="13" s="1"/>
  <c r="D55" i="13"/>
  <c r="D50" i="13" s="1"/>
  <c r="C55" i="13"/>
  <c r="E54" i="13"/>
  <c r="D54" i="13"/>
  <c r="C54" i="13"/>
  <c r="C50" i="13"/>
  <c r="E48" i="13"/>
  <c r="E42" i="13" s="1"/>
  <c r="C48" i="13"/>
  <c r="C42" i="13"/>
  <c r="E46" i="13"/>
  <c r="D46" i="13"/>
  <c r="D59" i="13" s="1"/>
  <c r="D61" i="13" s="1"/>
  <c r="D57" i="13" s="1"/>
  <c r="C46" i="13"/>
  <c r="C59" i="13" s="1"/>
  <c r="C61" i="13" s="1"/>
  <c r="C57" i="13" s="1"/>
  <c r="E45" i="13"/>
  <c r="D45" i="13"/>
  <c r="C45" i="13"/>
  <c r="E38" i="13"/>
  <c r="D38" i="13"/>
  <c r="C38" i="13"/>
  <c r="E33" i="13"/>
  <c r="E34" i="13" s="1"/>
  <c r="D33" i="13"/>
  <c r="D34" i="13"/>
  <c r="E26" i="13"/>
  <c r="D26" i="13"/>
  <c r="C26" i="13"/>
  <c r="C15" i="13"/>
  <c r="C24" i="13"/>
  <c r="E13" i="13"/>
  <c r="E15" i="13" s="1"/>
  <c r="E24" i="13" s="1"/>
  <c r="D13" i="13"/>
  <c r="D25" i="13" s="1"/>
  <c r="C13" i="13"/>
  <c r="C25" i="13" s="1"/>
  <c r="D47" i="12"/>
  <c r="E47" i="12"/>
  <c r="F47" i="12"/>
  <c r="C47" i="12"/>
  <c r="F46" i="12"/>
  <c r="E46" i="12"/>
  <c r="E45" i="12"/>
  <c r="F45" i="12" s="1"/>
  <c r="D40" i="12"/>
  <c r="C40" i="12"/>
  <c r="F39" i="12"/>
  <c r="E39" i="12"/>
  <c r="F38" i="12"/>
  <c r="E38" i="12"/>
  <c r="E37" i="12"/>
  <c r="F37" i="12" s="1"/>
  <c r="D32" i="12"/>
  <c r="E32" i="12" s="1"/>
  <c r="F32" i="12" s="1"/>
  <c r="C32" i="12"/>
  <c r="E31" i="12"/>
  <c r="F31" i="12" s="1"/>
  <c r="E30" i="12"/>
  <c r="F30" i="12" s="1"/>
  <c r="E29" i="12"/>
  <c r="F29" i="12" s="1"/>
  <c r="F28" i="12"/>
  <c r="E28" i="12"/>
  <c r="E27" i="12"/>
  <c r="F27" i="12" s="1"/>
  <c r="E26" i="12"/>
  <c r="F26" i="12" s="1"/>
  <c r="F25" i="12"/>
  <c r="E25" i="12"/>
  <c r="F24" i="12"/>
  <c r="E24" i="12"/>
  <c r="E23" i="12"/>
  <c r="F23" i="12" s="1"/>
  <c r="E19" i="12"/>
  <c r="F19" i="12" s="1"/>
  <c r="F18" i="12"/>
  <c r="E18" i="12"/>
  <c r="F16" i="12"/>
  <c r="E16" i="12"/>
  <c r="D15" i="12"/>
  <c r="D17" i="12"/>
  <c r="C15" i="12"/>
  <c r="C17" i="12"/>
  <c r="F14" i="12"/>
  <c r="E14" i="12"/>
  <c r="F13" i="12"/>
  <c r="E13" i="12"/>
  <c r="E12" i="12"/>
  <c r="F12" i="12" s="1"/>
  <c r="E11" i="12"/>
  <c r="F11" i="12" s="1"/>
  <c r="D73" i="11"/>
  <c r="E73" i="11" s="1"/>
  <c r="F73" i="11"/>
  <c r="C73" i="11"/>
  <c r="E72" i="11"/>
  <c r="F72" i="11" s="1"/>
  <c r="E71" i="11"/>
  <c r="F71" i="11" s="1"/>
  <c r="F70" i="11"/>
  <c r="E70" i="11"/>
  <c r="F67" i="11"/>
  <c r="E67" i="11"/>
  <c r="E64" i="11"/>
  <c r="F64" i="11" s="1"/>
  <c r="E63" i="11"/>
  <c r="F63" i="11" s="1"/>
  <c r="D61" i="11"/>
  <c r="D65" i="11" s="1"/>
  <c r="E65" i="11" s="1"/>
  <c r="F65" i="11" s="1"/>
  <c r="C61" i="11"/>
  <c r="C65" i="11"/>
  <c r="F60" i="11"/>
  <c r="E60" i="11"/>
  <c r="E59" i="11"/>
  <c r="F59" i="11" s="1"/>
  <c r="D56" i="11"/>
  <c r="D75" i="11"/>
  <c r="E75" i="11" s="1"/>
  <c r="C56" i="11"/>
  <c r="C75" i="11"/>
  <c r="E55" i="11"/>
  <c r="F55" i="11" s="1"/>
  <c r="F54" i="11"/>
  <c r="E54" i="11"/>
  <c r="F53" i="11"/>
  <c r="E53" i="11"/>
  <c r="F52" i="11"/>
  <c r="E52" i="11"/>
  <c r="F51" i="11"/>
  <c r="E51" i="11"/>
  <c r="A51" i="11"/>
  <c r="A52" i="11" s="1"/>
  <c r="A53" i="11" s="1"/>
  <c r="A54" i="11" s="1"/>
  <c r="A55" i="11" s="1"/>
  <c r="E50" i="11"/>
  <c r="F50" i="11" s="1"/>
  <c r="A50" i="11"/>
  <c r="E49" i="11"/>
  <c r="F49" i="11" s="1"/>
  <c r="F40" i="11"/>
  <c r="E40" i="11"/>
  <c r="D38" i="11"/>
  <c r="D41" i="11"/>
  <c r="C38" i="11"/>
  <c r="C41" i="11"/>
  <c r="E37" i="11"/>
  <c r="F37" i="11" s="1"/>
  <c r="F36" i="11"/>
  <c r="E36" i="11"/>
  <c r="E33" i="11"/>
  <c r="F33" i="11" s="1"/>
  <c r="E32" i="11"/>
  <c r="F32" i="11" s="1"/>
  <c r="F31" i="11"/>
  <c r="E31" i="11"/>
  <c r="D29" i="11"/>
  <c r="E29" i="11" s="1"/>
  <c r="C29" i="11"/>
  <c r="F29" i="11" s="1"/>
  <c r="E28" i="11"/>
  <c r="F28" i="11" s="1"/>
  <c r="F27" i="11"/>
  <c r="E27" i="11"/>
  <c r="F26" i="11"/>
  <c r="E26" i="11"/>
  <c r="E25" i="11"/>
  <c r="F25" i="11" s="1"/>
  <c r="D22" i="11"/>
  <c r="D43" i="11"/>
  <c r="E43" i="11" s="1"/>
  <c r="C22" i="11"/>
  <c r="C43" i="11"/>
  <c r="F21" i="11"/>
  <c r="E21" i="11"/>
  <c r="E20" i="11"/>
  <c r="F20" i="11" s="1"/>
  <c r="E19" i="11"/>
  <c r="F19" i="11" s="1"/>
  <c r="F18" i="11"/>
  <c r="E18" i="11"/>
  <c r="F17" i="11"/>
  <c r="E17" i="11"/>
  <c r="F16" i="11"/>
  <c r="E16" i="11"/>
  <c r="E15" i="11"/>
  <c r="F15" i="11" s="1"/>
  <c r="F14" i="11"/>
  <c r="E14" i="11"/>
  <c r="F13" i="11"/>
  <c r="E13" i="11"/>
  <c r="D120" i="10"/>
  <c r="E120" i="10" s="1"/>
  <c r="C120" i="10"/>
  <c r="F120" i="10" s="1"/>
  <c r="F119" i="10"/>
  <c r="D119" i="10"/>
  <c r="E119" i="10"/>
  <c r="C119" i="10"/>
  <c r="D118" i="10"/>
  <c r="E118" i="10" s="1"/>
  <c r="C118" i="10"/>
  <c r="F118" i="10" s="1"/>
  <c r="F117" i="10"/>
  <c r="D117" i="10"/>
  <c r="E117" i="10"/>
  <c r="C117" i="10"/>
  <c r="D116" i="10"/>
  <c r="E116" i="10" s="1"/>
  <c r="C116" i="10"/>
  <c r="F116" i="10" s="1"/>
  <c r="F115" i="10"/>
  <c r="D115" i="10"/>
  <c r="E115" i="10"/>
  <c r="C115" i="10"/>
  <c r="D114" i="10"/>
  <c r="E114" i="10" s="1"/>
  <c r="C114" i="10"/>
  <c r="F114" i="10" s="1"/>
  <c r="F113" i="10"/>
  <c r="D113" i="10"/>
  <c r="D122" i="10"/>
  <c r="E122" i="10" s="1"/>
  <c r="C113" i="10"/>
  <c r="C122" i="10"/>
  <c r="F122" i="10" s="1"/>
  <c r="D112" i="10"/>
  <c r="D121" i="10" s="1"/>
  <c r="C112" i="10"/>
  <c r="D108" i="10"/>
  <c r="E108" i="10"/>
  <c r="C108" i="10"/>
  <c r="F108" i="10" s="1"/>
  <c r="F107" i="10"/>
  <c r="D107" i="10"/>
  <c r="E107" i="10" s="1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 s="1"/>
  <c r="C96" i="10"/>
  <c r="F96" i="10" s="1"/>
  <c r="D95" i="10"/>
  <c r="E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 s="1"/>
  <c r="C84" i="10"/>
  <c r="D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E72" i="10"/>
  <c r="C72" i="10"/>
  <c r="F72" i="10" s="1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 s="1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E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 s="1"/>
  <c r="C36" i="10"/>
  <c r="D35" i="10"/>
  <c r="E35" i="10" s="1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 s="1"/>
  <c r="C206" i="9"/>
  <c r="D205" i="9"/>
  <c r="E205" i="9" s="1"/>
  <c r="C205" i="9"/>
  <c r="D204" i="9"/>
  <c r="E204" i="9"/>
  <c r="C204" i="9"/>
  <c r="D203" i="9"/>
  <c r="E203" i="9"/>
  <c r="C203" i="9"/>
  <c r="F203" i="9" s="1"/>
  <c r="D202" i="9"/>
  <c r="E202" i="9"/>
  <c r="F202" i="9"/>
  <c r="C202" i="9"/>
  <c r="D201" i="9"/>
  <c r="E201" i="9"/>
  <c r="C201" i="9"/>
  <c r="F201" i="9" s="1"/>
  <c r="D200" i="9"/>
  <c r="C200" i="9"/>
  <c r="D199" i="9"/>
  <c r="D208" i="9"/>
  <c r="E208" i="9" s="1"/>
  <c r="C199" i="9"/>
  <c r="C208" i="9" s="1"/>
  <c r="D198" i="9"/>
  <c r="E198" i="9" s="1"/>
  <c r="C198" i="9"/>
  <c r="D193" i="9"/>
  <c r="C193" i="9"/>
  <c r="F193" i="9" s="1"/>
  <c r="D192" i="9"/>
  <c r="C192" i="9"/>
  <c r="F192" i="9" s="1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E180" i="9" s="1"/>
  <c r="C180" i="9"/>
  <c r="F180" i="9" s="1"/>
  <c r="D179" i="9"/>
  <c r="E179" i="9" s="1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 s="1"/>
  <c r="C167" i="9"/>
  <c r="D166" i="9"/>
  <c r="E166" i="9" s="1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 s="1"/>
  <c r="C154" i="9"/>
  <c r="F154" i="9" s="1"/>
  <c r="D153" i="9"/>
  <c r="E153" i="9" s="1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D140" i="9"/>
  <c r="E140" i="9"/>
  <c r="C140" i="9"/>
  <c r="E139" i="9"/>
  <c r="F139" i="9" s="1"/>
  <c r="E138" i="9"/>
  <c r="F138" i="9" s="1"/>
  <c r="E137" i="9"/>
  <c r="F137" i="9" s="1"/>
  <c r="E136" i="9"/>
  <c r="F136" i="9" s="1"/>
  <c r="E135" i="9"/>
  <c r="F135" i="9" s="1"/>
  <c r="E134" i="9"/>
  <c r="F134" i="9" s="1"/>
  <c r="E133" i="9"/>
  <c r="F133" i="9" s="1"/>
  <c r="E132" i="9"/>
  <c r="F132" i="9" s="1"/>
  <c r="E131" i="9"/>
  <c r="F131" i="9" s="1"/>
  <c r="D128" i="9"/>
  <c r="E128" i="9"/>
  <c r="C128" i="9"/>
  <c r="D127" i="9"/>
  <c r="E127" i="9"/>
  <c r="C127" i="9"/>
  <c r="E126" i="9"/>
  <c r="F126" i="9" s="1"/>
  <c r="F125" i="9"/>
  <c r="E125" i="9"/>
  <c r="E124" i="9"/>
  <c r="F124" i="9" s="1"/>
  <c r="E123" i="9"/>
  <c r="F123" i="9" s="1"/>
  <c r="E122" i="9"/>
  <c r="F122" i="9" s="1"/>
  <c r="F121" i="9"/>
  <c r="E121" i="9"/>
  <c r="E120" i="9"/>
  <c r="F120" i="9" s="1"/>
  <c r="E119" i="9"/>
  <c r="F119" i="9" s="1"/>
  <c r="E118" i="9"/>
  <c r="F118" i="9" s="1"/>
  <c r="D115" i="9"/>
  <c r="E115" i="9"/>
  <c r="C115" i="9"/>
  <c r="D114" i="9"/>
  <c r="C114" i="9"/>
  <c r="F113" i="9"/>
  <c r="E113" i="9"/>
  <c r="E112" i="9"/>
  <c r="F112" i="9" s="1"/>
  <c r="E111" i="9"/>
  <c r="F111" i="9" s="1"/>
  <c r="E110" i="9"/>
  <c r="F110" i="9" s="1"/>
  <c r="E109" i="9"/>
  <c r="F109" i="9" s="1"/>
  <c r="E108" i="9"/>
  <c r="F108" i="9" s="1"/>
  <c r="E107" i="9"/>
  <c r="F107" i="9" s="1"/>
  <c r="E106" i="9"/>
  <c r="F106" i="9" s="1"/>
  <c r="F105" i="9"/>
  <c r="E105" i="9"/>
  <c r="D102" i="9"/>
  <c r="E102" i="9"/>
  <c r="C102" i="9"/>
  <c r="F102" i="9" s="1"/>
  <c r="D101" i="9"/>
  <c r="C101" i="9"/>
  <c r="E101" i="9" s="1"/>
  <c r="F101" i="9" s="1"/>
  <c r="E100" i="9"/>
  <c r="F100" i="9" s="1"/>
  <c r="E99" i="9"/>
  <c r="F99" i="9" s="1"/>
  <c r="E98" i="9"/>
  <c r="F98" i="9" s="1"/>
  <c r="F97" i="9"/>
  <c r="E97" i="9"/>
  <c r="E96" i="9"/>
  <c r="F96" i="9" s="1"/>
  <c r="E95" i="9"/>
  <c r="F95" i="9" s="1"/>
  <c r="E94" i="9"/>
  <c r="F94" i="9" s="1"/>
  <c r="E93" i="9"/>
  <c r="F93" i="9" s="1"/>
  <c r="E92" i="9"/>
  <c r="F92" i="9" s="1"/>
  <c r="D89" i="9"/>
  <c r="E89" i="9" s="1"/>
  <c r="C89" i="9"/>
  <c r="F89" i="9" s="1"/>
  <c r="D88" i="9"/>
  <c r="E88" i="9" s="1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C76" i="9"/>
  <c r="F76" i="9" s="1"/>
  <c r="D75" i="9"/>
  <c r="E75" i="9" s="1"/>
  <c r="C75" i="9"/>
  <c r="F75" i="9" s="1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D63" i="9"/>
  <c r="E63" i="9" s="1"/>
  <c r="C63" i="9"/>
  <c r="D62" i="9"/>
  <c r="C62" i="9"/>
  <c r="E61" i="9"/>
  <c r="F61" i="9" s="1"/>
  <c r="E60" i="9"/>
  <c r="F60" i="9" s="1"/>
  <c r="E59" i="9"/>
  <c r="F59" i="9" s="1"/>
  <c r="E58" i="9"/>
  <c r="F58" i="9" s="1"/>
  <c r="F57" i="9"/>
  <c r="E57" i="9"/>
  <c r="E56" i="9"/>
  <c r="F56" i="9" s="1"/>
  <c r="E55" i="9"/>
  <c r="F55" i="9" s="1"/>
  <c r="E54" i="9"/>
  <c r="F54" i="9" s="1"/>
  <c r="E53" i="9"/>
  <c r="F53" i="9" s="1"/>
  <c r="D50" i="9"/>
  <c r="E50" i="9"/>
  <c r="C50" i="9"/>
  <c r="D49" i="9"/>
  <c r="E49" i="9"/>
  <c r="F49" i="9" s="1"/>
  <c r="C49" i="9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 s="1"/>
  <c r="E42" i="9"/>
  <c r="F42" i="9" s="1"/>
  <c r="F41" i="9"/>
  <c r="E41" i="9"/>
  <c r="E40" i="9"/>
  <c r="F40" i="9" s="1"/>
  <c r="D37" i="9"/>
  <c r="C37" i="9"/>
  <c r="F37" i="9" s="1"/>
  <c r="F36" i="9"/>
  <c r="D36" i="9"/>
  <c r="E36" i="9" s="1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E23" i="9"/>
  <c r="C23" i="9"/>
  <c r="F23" i="9" s="1"/>
  <c r="E22" i="9"/>
  <c r="F22" i="9" s="1"/>
  <c r="F21" i="9"/>
  <c r="E21" i="9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D164" i="8"/>
  <c r="D160" i="8"/>
  <c r="D166" i="8" s="1"/>
  <c r="C164" i="8"/>
  <c r="E162" i="8"/>
  <c r="D162" i="8"/>
  <c r="C162" i="8"/>
  <c r="E161" i="8"/>
  <c r="D161" i="8"/>
  <c r="C161" i="8"/>
  <c r="E160" i="8"/>
  <c r="E166" i="8" s="1"/>
  <c r="C160" i="8"/>
  <c r="E147" i="8"/>
  <c r="D147" i="8"/>
  <c r="D143" i="8"/>
  <c r="C147" i="8"/>
  <c r="C143" i="8" s="1"/>
  <c r="E145" i="8"/>
  <c r="D145" i="8"/>
  <c r="C145" i="8"/>
  <c r="E144" i="8"/>
  <c r="D144" i="8"/>
  <c r="C144" i="8"/>
  <c r="E143" i="8"/>
  <c r="E149" i="8" s="1"/>
  <c r="E135" i="8" s="1"/>
  <c r="C149" i="8"/>
  <c r="C140" i="8" s="1"/>
  <c r="E126" i="8"/>
  <c r="D126" i="8"/>
  <c r="C126" i="8"/>
  <c r="E119" i="8"/>
  <c r="D119" i="8"/>
  <c r="C119" i="8"/>
  <c r="E108" i="8"/>
  <c r="D108" i="8"/>
  <c r="D109" i="8" s="1"/>
  <c r="D106" i="8" s="1"/>
  <c r="C108" i="8"/>
  <c r="E107" i="8"/>
  <c r="E109" i="8" s="1"/>
  <c r="E106" i="8" s="1"/>
  <c r="D107" i="8"/>
  <c r="C107" i="8"/>
  <c r="C109" i="8" s="1"/>
  <c r="C106" i="8"/>
  <c r="E104" i="8"/>
  <c r="C104" i="8"/>
  <c r="E102" i="8"/>
  <c r="D102" i="8"/>
  <c r="D104" i="8" s="1"/>
  <c r="C102" i="8"/>
  <c r="E100" i="8"/>
  <c r="D100" i="8"/>
  <c r="C100" i="8"/>
  <c r="E95" i="8"/>
  <c r="E94" i="8"/>
  <c r="D95" i="8"/>
  <c r="D94" i="8" s="1"/>
  <c r="C95" i="8"/>
  <c r="C94" i="8"/>
  <c r="E89" i="8"/>
  <c r="D89" i="8"/>
  <c r="C89" i="8"/>
  <c r="E88" i="8"/>
  <c r="E90" i="8"/>
  <c r="E86" i="8" s="1"/>
  <c r="E87" i="8"/>
  <c r="D87" i="8"/>
  <c r="C87" i="8"/>
  <c r="E84" i="8"/>
  <c r="D84" i="8"/>
  <c r="C84" i="8"/>
  <c r="C79" i="8" s="1"/>
  <c r="E83" i="8"/>
  <c r="E79" i="8"/>
  <c r="D83" i="8"/>
  <c r="C83" i="8"/>
  <c r="D79" i="8"/>
  <c r="E71" i="8"/>
  <c r="E75" i="8"/>
  <c r="E77" i="8" s="1"/>
  <c r="D75" i="8"/>
  <c r="C75" i="8"/>
  <c r="C77" i="8" s="1"/>
  <c r="E74" i="8"/>
  <c r="D74" i="8"/>
  <c r="C74" i="8"/>
  <c r="C71" i="8" s="1"/>
  <c r="E67" i="8"/>
  <c r="D67" i="8"/>
  <c r="C67" i="8"/>
  <c r="E38" i="8"/>
  <c r="E57" i="8"/>
  <c r="E62" i="8"/>
  <c r="D38" i="8"/>
  <c r="C38" i="8"/>
  <c r="C57" i="8"/>
  <c r="C62" i="8" s="1"/>
  <c r="E33" i="8"/>
  <c r="E34" i="8"/>
  <c r="D33" i="8"/>
  <c r="D34" i="8"/>
  <c r="E26" i="8"/>
  <c r="D26" i="8"/>
  <c r="C26" i="8"/>
  <c r="E15" i="8"/>
  <c r="E17" i="8" s="1"/>
  <c r="E24" i="8"/>
  <c r="E13" i="8"/>
  <c r="E25" i="8" s="1"/>
  <c r="E27" i="8" s="1"/>
  <c r="D13" i="8"/>
  <c r="D25" i="8"/>
  <c r="D27" i="8" s="1"/>
  <c r="C13" i="8"/>
  <c r="F186" i="7"/>
  <c r="E186" i="7"/>
  <c r="D183" i="7"/>
  <c r="D188" i="7" s="1"/>
  <c r="C183" i="7"/>
  <c r="F182" i="7"/>
  <c r="E182" i="7"/>
  <c r="E181" i="7"/>
  <c r="F181" i="7" s="1"/>
  <c r="F180" i="7"/>
  <c r="E180" i="7"/>
  <c r="F179" i="7"/>
  <c r="E179" i="7"/>
  <c r="F178" i="7"/>
  <c r="E178" i="7"/>
  <c r="E177" i="7"/>
  <c r="F177" i="7" s="1"/>
  <c r="E176" i="7"/>
  <c r="F176" i="7" s="1"/>
  <c r="F175" i="7"/>
  <c r="E175" i="7"/>
  <c r="F174" i="7"/>
  <c r="E174" i="7"/>
  <c r="E173" i="7"/>
  <c r="F173" i="7" s="1"/>
  <c r="E172" i="7"/>
  <c r="F172" i="7" s="1"/>
  <c r="E171" i="7"/>
  <c r="F171" i="7" s="1"/>
  <c r="F170" i="7"/>
  <c r="E170" i="7"/>
  <c r="D167" i="7"/>
  <c r="C167" i="7"/>
  <c r="E166" i="7"/>
  <c r="F166" i="7" s="1"/>
  <c r="F165" i="7"/>
  <c r="E165" i="7"/>
  <c r="E164" i="7"/>
  <c r="F164" i="7" s="1"/>
  <c r="E163" i="7"/>
  <c r="F163" i="7" s="1"/>
  <c r="F162" i="7"/>
  <c r="E162" i="7"/>
  <c r="F161" i="7"/>
  <c r="E161" i="7"/>
  <c r="E160" i="7"/>
  <c r="F160" i="7" s="1"/>
  <c r="F159" i="7"/>
  <c r="E159" i="7"/>
  <c r="F158" i="7"/>
  <c r="E158" i="7"/>
  <c r="F157" i="7"/>
  <c r="E157" i="7"/>
  <c r="E156" i="7"/>
  <c r="F156" i="7" s="1"/>
  <c r="E155" i="7"/>
  <c r="F155" i="7" s="1"/>
  <c r="F154" i="7"/>
  <c r="E154" i="7"/>
  <c r="F153" i="7"/>
  <c r="E153" i="7"/>
  <c r="E152" i="7"/>
  <c r="F152" i="7" s="1"/>
  <c r="E151" i="7"/>
  <c r="F151" i="7" s="1"/>
  <c r="E150" i="7"/>
  <c r="F150" i="7" s="1"/>
  <c r="F149" i="7"/>
  <c r="E149" i="7"/>
  <c r="F148" i="7"/>
  <c r="E148" i="7"/>
  <c r="F147" i="7"/>
  <c r="E147" i="7"/>
  <c r="E146" i="7"/>
  <c r="F146" i="7" s="1"/>
  <c r="F145" i="7"/>
  <c r="E145" i="7"/>
  <c r="E144" i="7"/>
  <c r="F144" i="7" s="1"/>
  <c r="E143" i="7"/>
  <c r="F143" i="7" s="1"/>
  <c r="F142" i="7"/>
  <c r="E142" i="7"/>
  <c r="E141" i="7"/>
  <c r="F141" i="7" s="1"/>
  <c r="E140" i="7"/>
  <c r="F140" i="7" s="1"/>
  <c r="E139" i="7"/>
  <c r="F139" i="7" s="1"/>
  <c r="F138" i="7"/>
  <c r="E138" i="7"/>
  <c r="F137" i="7"/>
  <c r="E137" i="7"/>
  <c r="E136" i="7"/>
  <c r="F136" i="7" s="1"/>
  <c r="E135" i="7"/>
  <c r="F135" i="7" s="1"/>
  <c r="F134" i="7"/>
  <c r="E134" i="7"/>
  <c r="F133" i="7"/>
  <c r="E133" i="7"/>
  <c r="D130" i="7"/>
  <c r="C130" i="7"/>
  <c r="F129" i="7"/>
  <c r="E129" i="7"/>
  <c r="E128" i="7"/>
  <c r="F128" i="7" s="1"/>
  <c r="E127" i="7"/>
  <c r="F127" i="7" s="1"/>
  <c r="E126" i="7"/>
  <c r="F126" i="7" s="1"/>
  <c r="E125" i="7"/>
  <c r="F125" i="7" s="1"/>
  <c r="E124" i="7"/>
  <c r="F124" i="7" s="1"/>
  <c r="D121" i="7"/>
  <c r="E121" i="7"/>
  <c r="C121" i="7"/>
  <c r="F120" i="7"/>
  <c r="E120" i="7"/>
  <c r="F119" i="7"/>
  <c r="E119" i="7"/>
  <c r="E118" i="7"/>
  <c r="F118" i="7" s="1"/>
  <c r="E117" i="7"/>
  <c r="F117" i="7" s="1"/>
  <c r="F116" i="7"/>
  <c r="E116" i="7"/>
  <c r="F115" i="7"/>
  <c r="E115" i="7"/>
  <c r="E114" i="7"/>
  <c r="F114" i="7" s="1"/>
  <c r="E113" i="7"/>
  <c r="F113" i="7" s="1"/>
  <c r="F112" i="7"/>
  <c r="E112" i="7"/>
  <c r="F111" i="7"/>
  <c r="E111" i="7"/>
  <c r="E110" i="7"/>
  <c r="F110" i="7" s="1"/>
  <c r="E109" i="7"/>
  <c r="F109" i="7" s="1"/>
  <c r="F108" i="7"/>
  <c r="E108" i="7"/>
  <c r="F107" i="7"/>
  <c r="E107" i="7"/>
  <c r="E106" i="7"/>
  <c r="F106" i="7" s="1"/>
  <c r="E105" i="7"/>
  <c r="F105" i="7" s="1"/>
  <c r="F104" i="7"/>
  <c r="E104" i="7"/>
  <c r="F103" i="7"/>
  <c r="E103" i="7"/>
  <c r="F93" i="7"/>
  <c r="E93" i="7"/>
  <c r="D90" i="7"/>
  <c r="C90" i="7"/>
  <c r="C95" i="7"/>
  <c r="F89" i="7"/>
  <c r="E89" i="7"/>
  <c r="F88" i="7"/>
  <c r="E88" i="7"/>
  <c r="E87" i="7"/>
  <c r="F87" i="7" s="1"/>
  <c r="E86" i="7"/>
  <c r="F86" i="7" s="1"/>
  <c r="F85" i="7"/>
  <c r="E85" i="7"/>
  <c r="F84" i="7"/>
  <c r="E84" i="7"/>
  <c r="E83" i="7"/>
  <c r="F83" i="7" s="1"/>
  <c r="E82" i="7"/>
  <c r="F82" i="7" s="1"/>
  <c r="F81" i="7"/>
  <c r="E81" i="7"/>
  <c r="F80" i="7"/>
  <c r="E80" i="7"/>
  <c r="E79" i="7"/>
  <c r="F79" i="7" s="1"/>
  <c r="F78" i="7"/>
  <c r="E78" i="7"/>
  <c r="F77" i="7"/>
  <c r="E77" i="7"/>
  <c r="F76" i="7"/>
  <c r="E76" i="7"/>
  <c r="E75" i="7"/>
  <c r="F75" i="7" s="1"/>
  <c r="E74" i="7"/>
  <c r="F74" i="7" s="1"/>
  <c r="F73" i="7"/>
  <c r="E73" i="7"/>
  <c r="F72" i="7"/>
  <c r="E72" i="7"/>
  <c r="E71" i="7"/>
  <c r="F71" i="7" s="1"/>
  <c r="E70" i="7"/>
  <c r="F70" i="7" s="1"/>
  <c r="F69" i="7"/>
  <c r="E69" i="7"/>
  <c r="F68" i="7"/>
  <c r="E68" i="7"/>
  <c r="E67" i="7"/>
  <c r="F67" i="7" s="1"/>
  <c r="E66" i="7"/>
  <c r="F66" i="7" s="1"/>
  <c r="F65" i="7"/>
  <c r="E65" i="7"/>
  <c r="F64" i="7"/>
  <c r="E64" i="7"/>
  <c r="E63" i="7"/>
  <c r="F63" i="7" s="1"/>
  <c r="E62" i="7"/>
  <c r="F62" i="7" s="1"/>
  <c r="D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 s="1"/>
  <c r="F41" i="7"/>
  <c r="C41" i="7"/>
  <c r="F40" i="7"/>
  <c r="E40" i="7"/>
  <c r="F39" i="7"/>
  <c r="E39" i="7"/>
  <c r="F38" i="7"/>
  <c r="E38" i="7"/>
  <c r="D35" i="7"/>
  <c r="E35" i="7" s="1"/>
  <c r="F35" i="7" s="1"/>
  <c r="C35" i="7"/>
  <c r="E34" i="7"/>
  <c r="F34" i="7" s="1"/>
  <c r="E33" i="7"/>
  <c r="F33" i="7" s="1"/>
  <c r="D30" i="7"/>
  <c r="E30" i="7" s="1"/>
  <c r="F30" i="7"/>
  <c r="C30" i="7"/>
  <c r="F29" i="7"/>
  <c r="E29" i="7"/>
  <c r="F28" i="7"/>
  <c r="E28" i="7"/>
  <c r="F27" i="7"/>
  <c r="E27" i="7"/>
  <c r="D24" i="7"/>
  <c r="E24" i="7" s="1"/>
  <c r="C24" i="7"/>
  <c r="E23" i="7"/>
  <c r="F23" i="7" s="1"/>
  <c r="F22" i="7"/>
  <c r="E22" i="7"/>
  <c r="F21" i="7"/>
  <c r="E21" i="7"/>
  <c r="D18" i="7"/>
  <c r="E18" i="7" s="1"/>
  <c r="C18" i="7"/>
  <c r="E17" i="7"/>
  <c r="F17" i="7" s="1"/>
  <c r="F16" i="7"/>
  <c r="E16" i="7"/>
  <c r="F15" i="7"/>
  <c r="E15" i="7"/>
  <c r="D179" i="6"/>
  <c r="E179" i="6"/>
  <c r="C179" i="6"/>
  <c r="F179" i="6" s="1"/>
  <c r="F178" i="6"/>
  <c r="E178" i="6"/>
  <c r="F177" i="6"/>
  <c r="E177" i="6"/>
  <c r="E176" i="6"/>
  <c r="F176" i="6" s="1"/>
  <c r="E175" i="6"/>
  <c r="F175" i="6" s="1"/>
  <c r="F174" i="6"/>
  <c r="E174" i="6"/>
  <c r="E173" i="6"/>
  <c r="F173" i="6" s="1"/>
  <c r="E172" i="6"/>
  <c r="F172" i="6" s="1"/>
  <c r="F171" i="6"/>
  <c r="E171" i="6"/>
  <c r="F170" i="6"/>
  <c r="E170" i="6"/>
  <c r="F169" i="6"/>
  <c r="E169" i="6"/>
  <c r="E168" i="6"/>
  <c r="F168" i="6" s="1"/>
  <c r="D166" i="6"/>
  <c r="E166" i="6"/>
  <c r="F166" i="6" s="1"/>
  <c r="C166" i="6"/>
  <c r="F165" i="6"/>
  <c r="E165" i="6"/>
  <c r="F164" i="6"/>
  <c r="E164" i="6"/>
  <c r="E163" i="6"/>
  <c r="F163" i="6" s="1"/>
  <c r="F162" i="6"/>
  <c r="E162" i="6"/>
  <c r="E161" i="6"/>
  <c r="F161" i="6" s="1"/>
  <c r="E160" i="6"/>
  <c r="F160" i="6" s="1"/>
  <c r="E159" i="6"/>
  <c r="F159" i="6" s="1"/>
  <c r="F158" i="6"/>
  <c r="E158" i="6"/>
  <c r="E157" i="6"/>
  <c r="F157" i="6" s="1"/>
  <c r="E156" i="6"/>
  <c r="F156" i="6" s="1"/>
  <c r="E155" i="6"/>
  <c r="F155" i="6" s="1"/>
  <c r="D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 s="1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 s="1"/>
  <c r="F124" i="6" s="1"/>
  <c r="C124" i="6"/>
  <c r="F123" i="6"/>
  <c r="E123" i="6"/>
  <c r="F122" i="6"/>
  <c r="E122" i="6"/>
  <c r="F121" i="6"/>
  <c r="E121" i="6"/>
  <c r="F120" i="6"/>
  <c r="E120" i="6"/>
  <c r="F119" i="6"/>
  <c r="E119" i="6"/>
  <c r="E118" i="6"/>
  <c r="F118" i="6" s="1"/>
  <c r="F117" i="6"/>
  <c r="E117" i="6"/>
  <c r="F116" i="6"/>
  <c r="E116" i="6"/>
  <c r="F115" i="6"/>
  <c r="E115" i="6"/>
  <c r="E114" i="6"/>
  <c r="F114" i="6" s="1"/>
  <c r="F113" i="6"/>
  <c r="E113" i="6"/>
  <c r="D111" i="6"/>
  <c r="E111" i="6" s="1"/>
  <c r="F111" i="6" s="1"/>
  <c r="C111" i="6"/>
  <c r="F110" i="6"/>
  <c r="E110" i="6"/>
  <c r="F109" i="6"/>
  <c r="E109" i="6"/>
  <c r="F108" i="6"/>
  <c r="E108" i="6"/>
  <c r="F107" i="6"/>
  <c r="E107" i="6"/>
  <c r="E106" i="6"/>
  <c r="F106" i="6" s="1"/>
  <c r="F105" i="6"/>
  <c r="E105" i="6"/>
  <c r="F104" i="6"/>
  <c r="E104" i="6"/>
  <c r="F103" i="6"/>
  <c r="E103" i="6"/>
  <c r="E102" i="6"/>
  <c r="F102" i="6" s="1"/>
  <c r="F101" i="6"/>
  <c r="E101" i="6"/>
  <c r="F100" i="6"/>
  <c r="E100" i="6"/>
  <c r="D94" i="6"/>
  <c r="E94" i="6"/>
  <c r="C94" i="6"/>
  <c r="F94" i="6" s="1"/>
  <c r="F93" i="6"/>
  <c r="D93" i="6"/>
  <c r="E93" i="6"/>
  <c r="C93" i="6"/>
  <c r="D92" i="6"/>
  <c r="C92" i="6"/>
  <c r="D91" i="6"/>
  <c r="E91" i="6" s="1"/>
  <c r="F91" i="6"/>
  <c r="C91" i="6"/>
  <c r="D90" i="6"/>
  <c r="C90" i="6"/>
  <c r="D89" i="6"/>
  <c r="E89" i="6" s="1"/>
  <c r="F89" i="6"/>
  <c r="C89" i="6"/>
  <c r="D88" i="6"/>
  <c r="E88" i="6" s="1"/>
  <c r="C88" i="6"/>
  <c r="F88" i="6" s="1"/>
  <c r="F87" i="6"/>
  <c r="D87" i="6"/>
  <c r="E87" i="6"/>
  <c r="C87" i="6"/>
  <c r="D86" i="6"/>
  <c r="E86" i="6" s="1"/>
  <c r="F86" i="6"/>
  <c r="C86" i="6"/>
  <c r="D85" i="6"/>
  <c r="E85" i="6" s="1"/>
  <c r="F85" i="6" s="1"/>
  <c r="C85" i="6"/>
  <c r="D84" i="6"/>
  <c r="C84" i="6"/>
  <c r="D81" i="6"/>
  <c r="E81" i="6" s="1"/>
  <c r="F81" i="6" s="1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 s="1"/>
  <c r="F68" i="6" s="1"/>
  <c r="C68" i="6"/>
  <c r="F67" i="6"/>
  <c r="E67" i="6"/>
  <c r="F66" i="6"/>
  <c r="E66" i="6"/>
  <c r="F65" i="6"/>
  <c r="E65" i="6"/>
  <c r="F64" i="6"/>
  <c r="E64" i="6"/>
  <c r="E63" i="6"/>
  <c r="F63" i="6" s="1"/>
  <c r="F62" i="6"/>
  <c r="E62" i="6"/>
  <c r="F61" i="6"/>
  <c r="E61" i="6"/>
  <c r="F60" i="6"/>
  <c r="E60" i="6"/>
  <c r="E59" i="6"/>
  <c r="F59" i="6" s="1"/>
  <c r="F58" i="6"/>
  <c r="E58" i="6"/>
  <c r="F57" i="6"/>
  <c r="E57" i="6"/>
  <c r="D51" i="6"/>
  <c r="E51" i="6"/>
  <c r="C51" i="6"/>
  <c r="F51" i="6" s="1"/>
  <c r="F50" i="6"/>
  <c r="D50" i="6"/>
  <c r="E50" i="6"/>
  <c r="C50" i="6"/>
  <c r="D49" i="6"/>
  <c r="E49" i="6" s="1"/>
  <c r="C49" i="6"/>
  <c r="F49" i="6" s="1"/>
  <c r="D48" i="6"/>
  <c r="E48" i="6" s="1"/>
  <c r="F48" i="6"/>
  <c r="C48" i="6"/>
  <c r="D47" i="6"/>
  <c r="E47" i="6" s="1"/>
  <c r="C47" i="6"/>
  <c r="D46" i="6"/>
  <c r="E46" i="6" s="1"/>
  <c r="F46" i="6"/>
  <c r="C46" i="6"/>
  <c r="D45" i="6"/>
  <c r="C45" i="6"/>
  <c r="F44" i="6"/>
  <c r="D44" i="6"/>
  <c r="E44" i="6"/>
  <c r="C44" i="6"/>
  <c r="D43" i="6"/>
  <c r="C43" i="6"/>
  <c r="C52" i="6" s="1"/>
  <c r="D42" i="6"/>
  <c r="E42" i="6" s="1"/>
  <c r="F42" i="6" s="1"/>
  <c r="C42" i="6"/>
  <c r="D41" i="6"/>
  <c r="C41" i="6"/>
  <c r="D38" i="6"/>
  <c r="E38" i="6"/>
  <c r="C38" i="6"/>
  <c r="F37" i="6"/>
  <c r="E37" i="6"/>
  <c r="F36" i="6"/>
  <c r="E36" i="6"/>
  <c r="E35" i="6"/>
  <c r="F35" i="6" s="1"/>
  <c r="E34" i="6"/>
  <c r="F34" i="6" s="1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C25" i="6"/>
  <c r="F24" i="6"/>
  <c r="E24" i="6"/>
  <c r="F23" i="6"/>
  <c r="E23" i="6"/>
  <c r="E22" i="6"/>
  <c r="F22" i="6" s="1"/>
  <c r="E21" i="6"/>
  <c r="F21" i="6" s="1"/>
  <c r="F20" i="6"/>
  <c r="E20" i="6"/>
  <c r="E19" i="6"/>
  <c r="F19" i="6" s="1"/>
  <c r="E18" i="6"/>
  <c r="F18" i="6" s="1"/>
  <c r="F17" i="6"/>
  <c r="E17" i="6"/>
  <c r="F16" i="6"/>
  <c r="E16" i="6"/>
  <c r="E15" i="6"/>
  <c r="F15" i="6" s="1"/>
  <c r="E14" i="6"/>
  <c r="F14" i="6" s="1"/>
  <c r="E51" i="5"/>
  <c r="F51" i="5" s="1"/>
  <c r="D48" i="5"/>
  <c r="E48" i="5"/>
  <c r="C48" i="5"/>
  <c r="E47" i="5"/>
  <c r="F47" i="5" s="1"/>
  <c r="E46" i="5"/>
  <c r="F46" i="5" s="1"/>
  <c r="D41" i="5"/>
  <c r="E41" i="5" s="1"/>
  <c r="C41" i="5"/>
  <c r="E40" i="5"/>
  <c r="F40" i="5" s="1"/>
  <c r="F39" i="5"/>
  <c r="E39" i="5"/>
  <c r="F38" i="5"/>
  <c r="E38" i="5"/>
  <c r="D33" i="5"/>
  <c r="E33" i="5"/>
  <c r="C33" i="5"/>
  <c r="F33" i="5" s="1"/>
  <c r="E32" i="5"/>
  <c r="F32" i="5" s="1"/>
  <c r="E31" i="5"/>
  <c r="F31" i="5" s="1"/>
  <c r="E30" i="5"/>
  <c r="F30" i="5" s="1"/>
  <c r="F29" i="5"/>
  <c r="E29" i="5"/>
  <c r="E28" i="5"/>
  <c r="F28" i="5" s="1"/>
  <c r="F27" i="5"/>
  <c r="E27" i="5"/>
  <c r="E26" i="5"/>
  <c r="F26" i="5" s="1"/>
  <c r="E25" i="5"/>
  <c r="F25" i="5" s="1"/>
  <c r="E24" i="5"/>
  <c r="F24" i="5" s="1"/>
  <c r="E20" i="5"/>
  <c r="F20" i="5" s="1"/>
  <c r="E19" i="5"/>
  <c r="F19" i="5" s="1"/>
  <c r="E17" i="5"/>
  <c r="F17" i="5" s="1"/>
  <c r="D16" i="5"/>
  <c r="D18" i="5"/>
  <c r="E18" i="5" s="1"/>
  <c r="C16" i="5"/>
  <c r="C18" i="5"/>
  <c r="F15" i="5"/>
  <c r="E15" i="5"/>
  <c r="E14" i="5"/>
  <c r="F14" i="5" s="1"/>
  <c r="E13" i="5"/>
  <c r="F13" i="5" s="1"/>
  <c r="E12" i="5"/>
  <c r="F12" i="5" s="1"/>
  <c r="D73" i="4"/>
  <c r="C73" i="4"/>
  <c r="E73" i="4" s="1"/>
  <c r="E72" i="4"/>
  <c r="F72" i="4"/>
  <c r="E71" i="4"/>
  <c r="F71" i="4"/>
  <c r="E70" i="4"/>
  <c r="F70" i="4"/>
  <c r="F67" i="4"/>
  <c r="E67" i="4"/>
  <c r="E64" i="4"/>
  <c r="F64" i="4"/>
  <c r="E63" i="4"/>
  <c r="F63" i="4"/>
  <c r="D61" i="4"/>
  <c r="E61" i="4" s="1"/>
  <c r="D65" i="4"/>
  <c r="E65" i="4" s="1"/>
  <c r="C61" i="4"/>
  <c r="E60" i="4"/>
  <c r="F60" i="4" s="1"/>
  <c r="E59" i="4"/>
  <c r="F59" i="4" s="1"/>
  <c r="D56" i="4"/>
  <c r="C56" i="4"/>
  <c r="E55" i="4"/>
  <c r="F55" i="4"/>
  <c r="F54" i="4"/>
  <c r="E54" i="4"/>
  <c r="E53" i="4"/>
  <c r="F53" i="4"/>
  <c r="F52" i="4"/>
  <c r="E52" i="4"/>
  <c r="F51" i="4"/>
  <c r="E51" i="4"/>
  <c r="E50" i="4"/>
  <c r="F50" i="4" s="1"/>
  <c r="A50" i="4"/>
  <c r="A51" i="4"/>
  <c r="A52" i="4"/>
  <c r="A53" i="4" s="1"/>
  <c r="A54" i="4" s="1"/>
  <c r="A55" i="4" s="1"/>
  <c r="E49" i="4"/>
  <c r="F49" i="4"/>
  <c r="E40" i="4"/>
  <c r="F40" i="4"/>
  <c r="D38" i="4"/>
  <c r="D41" i="4"/>
  <c r="C38" i="4"/>
  <c r="E37" i="4"/>
  <c r="F37" i="4" s="1"/>
  <c r="E36" i="4"/>
  <c r="F36" i="4" s="1"/>
  <c r="E33" i="4"/>
  <c r="F33" i="4" s="1"/>
  <c r="E32" i="4"/>
  <c r="F32" i="4" s="1"/>
  <c r="F31" i="4"/>
  <c r="E31" i="4"/>
  <c r="D29" i="4"/>
  <c r="C29" i="4"/>
  <c r="F29" i="4" s="1"/>
  <c r="F28" i="4"/>
  <c r="E28" i="4"/>
  <c r="F27" i="4"/>
  <c r="E27" i="4"/>
  <c r="E26" i="4"/>
  <c r="F26" i="4" s="1"/>
  <c r="E25" i="4"/>
  <c r="F25" i="4" s="1"/>
  <c r="D22" i="4"/>
  <c r="C22" i="4"/>
  <c r="E21" i="4"/>
  <c r="F21" i="4"/>
  <c r="E20" i="4"/>
  <c r="F20" i="4"/>
  <c r="E19" i="4"/>
  <c r="F19" i="4"/>
  <c r="F18" i="4"/>
  <c r="E18" i="4"/>
  <c r="F17" i="4"/>
  <c r="E17" i="4"/>
  <c r="F16" i="4"/>
  <c r="E16" i="4"/>
  <c r="E15" i="4"/>
  <c r="F15" i="4"/>
  <c r="E14" i="4"/>
  <c r="F14" i="4" s="1"/>
  <c r="E13" i="4"/>
  <c r="F13" i="4"/>
  <c r="D108" i="22"/>
  <c r="D109" i="22"/>
  <c r="C108" i="22"/>
  <c r="D22" i="22"/>
  <c r="D110" i="22" s="1"/>
  <c r="C23" i="22"/>
  <c r="E23" i="22"/>
  <c r="E36" i="22" s="1"/>
  <c r="D33" i="22"/>
  <c r="C34" i="22"/>
  <c r="E34" i="22"/>
  <c r="D101" i="22"/>
  <c r="D103" i="22" s="1"/>
  <c r="C102" i="22"/>
  <c r="C103" i="22" s="1"/>
  <c r="E102" i="22"/>
  <c r="C22" i="22"/>
  <c r="C53" i="22" s="1"/>
  <c r="E22" i="22"/>
  <c r="D23" i="22"/>
  <c r="F20" i="20"/>
  <c r="F45" i="20"/>
  <c r="D41" i="20"/>
  <c r="E39" i="20"/>
  <c r="E19" i="20"/>
  <c r="F19" i="20" s="1"/>
  <c r="E43" i="20"/>
  <c r="F43" i="20" s="1"/>
  <c r="C22" i="19"/>
  <c r="E94" i="17"/>
  <c r="F94" i="17" s="1"/>
  <c r="E100" i="17"/>
  <c r="E110" i="17"/>
  <c r="E120" i="17"/>
  <c r="F120" i="17" s="1"/>
  <c r="E229" i="17"/>
  <c r="F229" i="17" s="1"/>
  <c r="F230" i="17"/>
  <c r="C295" i="18"/>
  <c r="D55" i="18"/>
  <c r="E55" i="18"/>
  <c r="E54" i="18"/>
  <c r="D289" i="18"/>
  <c r="E289" i="18" s="1"/>
  <c r="D71" i="18"/>
  <c r="E71" i="18" s="1"/>
  <c r="D65" i="18"/>
  <c r="E60" i="18"/>
  <c r="E69" i="18"/>
  <c r="E70" i="18"/>
  <c r="D294" i="18"/>
  <c r="E294" i="18" s="1"/>
  <c r="D33" i="18"/>
  <c r="E33" i="18" s="1"/>
  <c r="E32" i="18"/>
  <c r="C294" i="18"/>
  <c r="E139" i="18"/>
  <c r="D144" i="18"/>
  <c r="D180" i="18" s="1"/>
  <c r="C145" i="18"/>
  <c r="C156" i="18"/>
  <c r="D175" i="18"/>
  <c r="E175" i="18" s="1"/>
  <c r="C229" i="18"/>
  <c r="E229" i="18"/>
  <c r="C210" i="18"/>
  <c r="E205" i="18"/>
  <c r="E243" i="18"/>
  <c r="E245" i="18"/>
  <c r="D252" i="18"/>
  <c r="D253" i="18"/>
  <c r="D254" i="18" s="1"/>
  <c r="C303" i="18"/>
  <c r="C306" i="18" s="1"/>
  <c r="C310" i="18" s="1"/>
  <c r="C261" i="18"/>
  <c r="C189" i="18"/>
  <c r="E189" i="18" s="1"/>
  <c r="E188" i="18"/>
  <c r="D260" i="18"/>
  <c r="E195" i="18"/>
  <c r="D234" i="18"/>
  <c r="D320" i="18"/>
  <c r="D211" i="18"/>
  <c r="E215" i="18"/>
  <c r="C217" i="18"/>
  <c r="C241" i="18" s="1"/>
  <c r="E219" i="18"/>
  <c r="E221" i="18"/>
  <c r="D222" i="18"/>
  <c r="C252" i="18"/>
  <c r="E265" i="18"/>
  <c r="E216" i="18"/>
  <c r="E218" i="18"/>
  <c r="E220" i="18"/>
  <c r="D223" i="18"/>
  <c r="E233" i="18"/>
  <c r="E301" i="18"/>
  <c r="E324" i="18"/>
  <c r="C32" i="17"/>
  <c r="C160" i="17"/>
  <c r="C125" i="17"/>
  <c r="C61" i="17"/>
  <c r="F68" i="17"/>
  <c r="E102" i="17"/>
  <c r="F102" i="17" s="1"/>
  <c r="D103" i="17"/>
  <c r="E103" i="17"/>
  <c r="C207" i="17"/>
  <c r="F146" i="17"/>
  <c r="D32" i="17"/>
  <c r="E32" i="17" s="1"/>
  <c r="E31" i="17"/>
  <c r="F31" i="17"/>
  <c r="D160" i="17"/>
  <c r="E160" i="17" s="1"/>
  <c r="F160" i="17" s="1"/>
  <c r="D90" i="17"/>
  <c r="E48" i="17"/>
  <c r="F48" i="17" s="1"/>
  <c r="E60" i="17"/>
  <c r="F60" i="17" s="1"/>
  <c r="C103" i="17"/>
  <c r="D207" i="17"/>
  <c r="D208" i="17" s="1"/>
  <c r="E137" i="17"/>
  <c r="F137" i="17"/>
  <c r="D138" i="17"/>
  <c r="E138" i="17"/>
  <c r="C21" i="17"/>
  <c r="E30" i="17"/>
  <c r="F30" i="17" s="1"/>
  <c r="E35" i="17"/>
  <c r="F35" i="17"/>
  <c r="C37" i="17"/>
  <c r="E47" i="17"/>
  <c r="F47" i="17"/>
  <c r="E59" i="17"/>
  <c r="F59" i="17"/>
  <c r="E66" i="17"/>
  <c r="F66" i="17"/>
  <c r="E76" i="17"/>
  <c r="F76" i="17"/>
  <c r="F100" i="17"/>
  <c r="F110" i="17"/>
  <c r="D124" i="17"/>
  <c r="D125" i="17" s="1"/>
  <c r="F129" i="17"/>
  <c r="F130" i="17"/>
  <c r="F155" i="17"/>
  <c r="F158" i="17"/>
  <c r="E165" i="17"/>
  <c r="E171" i="17"/>
  <c r="E180" i="17"/>
  <c r="C278" i="17"/>
  <c r="C262" i="17"/>
  <c r="C255" i="17"/>
  <c r="C215" i="17"/>
  <c r="E189" i="17"/>
  <c r="F189" i="17"/>
  <c r="C192" i="17"/>
  <c r="C193" i="17"/>
  <c r="C290" i="17"/>
  <c r="C274" i="17"/>
  <c r="E198" i="17"/>
  <c r="F198" i="17"/>
  <c r="C285" i="17"/>
  <c r="C269" i="17"/>
  <c r="E204" i="17"/>
  <c r="F204" i="17" s="1"/>
  <c r="E306" i="17"/>
  <c r="D21" i="17"/>
  <c r="E101" i="17"/>
  <c r="F101" i="17" s="1"/>
  <c r="E109" i="17"/>
  <c r="F109" i="17" s="1"/>
  <c r="E123" i="17"/>
  <c r="F123" i="17" s="1"/>
  <c r="E136" i="17"/>
  <c r="F136" i="17" s="1"/>
  <c r="E144" i="17"/>
  <c r="F144" i="17" s="1"/>
  <c r="E158" i="17"/>
  <c r="E164" i="17"/>
  <c r="E170" i="17"/>
  <c r="C173" i="17"/>
  <c r="F173" i="17"/>
  <c r="E179" i="17"/>
  <c r="C181" i="17"/>
  <c r="F181" i="17" s="1"/>
  <c r="C277" i="17"/>
  <c r="C284" i="17" s="1"/>
  <c r="C261" i="17"/>
  <c r="C263" i="17" s="1"/>
  <c r="C254" i="17"/>
  <c r="C214" i="17"/>
  <c r="C304" i="17" s="1"/>
  <c r="C206" i="17"/>
  <c r="E188" i="17"/>
  <c r="F188" i="17"/>
  <c r="C190" i="17"/>
  <c r="C280" i="17"/>
  <c r="C264" i="17"/>
  <c r="E191" i="17"/>
  <c r="F191" i="17"/>
  <c r="C200" i="17"/>
  <c r="C283" i="17"/>
  <c r="C267" i="17"/>
  <c r="C205" i="17"/>
  <c r="E203" i="17"/>
  <c r="F203" i="17"/>
  <c r="D279" i="17"/>
  <c r="D190" i="17"/>
  <c r="E190" i="17" s="1"/>
  <c r="F190" i="17" s="1"/>
  <c r="D193" i="17"/>
  <c r="D194" i="17" s="1"/>
  <c r="D290" i="17"/>
  <c r="D274" i="17"/>
  <c r="E274" i="17"/>
  <c r="D199" i="17"/>
  <c r="D200" i="17"/>
  <c r="E200" i="17" s="1"/>
  <c r="D283" i="17"/>
  <c r="D287" i="17"/>
  <c r="D267" i="17"/>
  <c r="D285" i="17"/>
  <c r="E285" i="17"/>
  <c r="D269" i="17"/>
  <c r="E269" i="17"/>
  <c r="F269" i="17" s="1"/>
  <c r="D205" i="17"/>
  <c r="E205" i="17"/>
  <c r="D206" i="17"/>
  <c r="E206" i="17"/>
  <c r="D214" i="17"/>
  <c r="D215" i="17"/>
  <c r="D261" i="17"/>
  <c r="D262" i="17"/>
  <c r="D272" i="17" s="1"/>
  <c r="D264" i="17"/>
  <c r="E277" i="17"/>
  <c r="F277" i="17" s="1"/>
  <c r="E278" i="17"/>
  <c r="F278" i="17" s="1"/>
  <c r="E295" i="17"/>
  <c r="F295" i="17" s="1"/>
  <c r="E297" i="17"/>
  <c r="F297" i="17" s="1"/>
  <c r="E299" i="17"/>
  <c r="F299" i="17" s="1"/>
  <c r="E226" i="17"/>
  <c r="F226" i="17" s="1"/>
  <c r="E237" i="17"/>
  <c r="F237" i="17" s="1"/>
  <c r="E250" i="17"/>
  <c r="F250" i="17" s="1"/>
  <c r="E294" i="17"/>
  <c r="F294" i="17" s="1"/>
  <c r="E296" i="17"/>
  <c r="F296" i="17" s="1"/>
  <c r="I31" i="14"/>
  <c r="I17" i="14"/>
  <c r="D31" i="14"/>
  <c r="C33" i="14"/>
  <c r="C36" i="14"/>
  <c r="C38" i="14"/>
  <c r="C40" i="14"/>
  <c r="E33" i="14"/>
  <c r="E36" i="14" s="1"/>
  <c r="E38" i="14" s="1"/>
  <c r="E40" i="14"/>
  <c r="G33" i="14"/>
  <c r="H17" i="14"/>
  <c r="C69" i="13"/>
  <c r="D15" i="13"/>
  <c r="C17" i="13"/>
  <c r="C28" i="13"/>
  <c r="C70" i="13"/>
  <c r="C72" i="13"/>
  <c r="E17" i="13"/>
  <c r="E28" i="13"/>
  <c r="E70" i="13" s="1"/>
  <c r="E72" i="13" s="1"/>
  <c r="E69" i="13"/>
  <c r="F17" i="12"/>
  <c r="C20" i="12"/>
  <c r="D20" i="12"/>
  <c r="E20" i="12" s="1"/>
  <c r="F20" i="12" s="1"/>
  <c r="E17" i="12"/>
  <c r="E15" i="12"/>
  <c r="F15" i="12"/>
  <c r="E41" i="11"/>
  <c r="F41" i="11" s="1"/>
  <c r="F75" i="11"/>
  <c r="F43" i="11"/>
  <c r="E22" i="11"/>
  <c r="F22" i="11"/>
  <c r="E38" i="11"/>
  <c r="F38" i="11"/>
  <c r="E56" i="11"/>
  <c r="F56" i="11" s="1"/>
  <c r="E61" i="11"/>
  <c r="F61" i="11" s="1"/>
  <c r="E112" i="10"/>
  <c r="E113" i="10"/>
  <c r="F208" i="9"/>
  <c r="F198" i="9"/>
  <c r="E199" i="9"/>
  <c r="F199" i="9"/>
  <c r="D21" i="8"/>
  <c r="C137" i="8"/>
  <c r="E157" i="8"/>
  <c r="E155" i="8"/>
  <c r="E153" i="8"/>
  <c r="E154" i="8"/>
  <c r="D156" i="8"/>
  <c r="D152" i="8"/>
  <c r="E140" i="8"/>
  <c r="E138" i="8"/>
  <c r="E136" i="8"/>
  <c r="E139" i="8"/>
  <c r="E137" i="8"/>
  <c r="D15" i="8"/>
  <c r="C43" i="8"/>
  <c r="E43" i="8"/>
  <c r="D49" i="8"/>
  <c r="C53" i="8"/>
  <c r="E53" i="8"/>
  <c r="C49" i="8"/>
  <c r="E49" i="8"/>
  <c r="E90" i="7"/>
  <c r="F90" i="7"/>
  <c r="E183" i="7"/>
  <c r="F183" i="7"/>
  <c r="E41" i="6"/>
  <c r="F41" i="6" s="1"/>
  <c r="E84" i="6"/>
  <c r="F61" i="4"/>
  <c r="F73" i="4"/>
  <c r="E22" i="4"/>
  <c r="E29" i="4"/>
  <c r="E38" i="4"/>
  <c r="F38" i="4" s="1"/>
  <c r="C41" i="4"/>
  <c r="C65" i="4"/>
  <c r="C75" i="4"/>
  <c r="C45" i="22"/>
  <c r="C39" i="22"/>
  <c r="C35" i="22"/>
  <c r="C29" i="22"/>
  <c r="C110" i="22"/>
  <c r="C54" i="22"/>
  <c r="C46" i="22"/>
  <c r="C40" i="22"/>
  <c r="C36" i="22"/>
  <c r="C30" i="22"/>
  <c r="E53" i="22"/>
  <c r="E35" i="22"/>
  <c r="E54" i="22"/>
  <c r="E46" i="22"/>
  <c r="E40" i="22"/>
  <c r="E30" i="22"/>
  <c r="D53" i="22"/>
  <c r="D45" i="22"/>
  <c r="D35" i="22"/>
  <c r="D29" i="22"/>
  <c r="F39" i="20"/>
  <c r="D246" i="18"/>
  <c r="D235" i="18"/>
  <c r="E235" i="18" s="1"/>
  <c r="E260" i="18"/>
  <c r="C211" i="18"/>
  <c r="C235" i="18"/>
  <c r="C234" i="18"/>
  <c r="E234" i="18" s="1"/>
  <c r="E261" i="18"/>
  <c r="D145" i="18"/>
  <c r="E145" i="18" s="1"/>
  <c r="E144" i="18"/>
  <c r="D168" i="18"/>
  <c r="D66" i="18"/>
  <c r="E66" i="18"/>
  <c r="E65" i="18"/>
  <c r="D284" i="18"/>
  <c r="E262" i="17"/>
  <c r="F200" i="17"/>
  <c r="C216" i="17"/>
  <c r="D263" i="17"/>
  <c r="E263" i="17" s="1"/>
  <c r="E214" i="17"/>
  <c r="F214" i="17"/>
  <c r="D254" i="17"/>
  <c r="D288" i="17"/>
  <c r="D284" i="17"/>
  <c r="E284" i="17"/>
  <c r="F205" i="17"/>
  <c r="C286" i="17"/>
  <c r="C287" i="17"/>
  <c r="C291" i="17" s="1"/>
  <c r="C305" i="17" s="1"/>
  <c r="C279" i="17"/>
  <c r="E279" i="17" s="1"/>
  <c r="F285" i="17"/>
  <c r="E192" i="17"/>
  <c r="F192" i="17" s="1"/>
  <c r="C288" i="17"/>
  <c r="C161" i="17"/>
  <c r="C126" i="17"/>
  <c r="C49" i="17"/>
  <c r="C50" i="17" s="1"/>
  <c r="E207" i="17"/>
  <c r="D139" i="17"/>
  <c r="D104" i="17"/>
  <c r="E104" i="17" s="1"/>
  <c r="F104" i="17" s="1"/>
  <c r="E61" i="17"/>
  <c r="F61" i="17" s="1"/>
  <c r="D210" i="17"/>
  <c r="D62" i="17"/>
  <c r="D140" i="17"/>
  <c r="D141" i="17" s="1"/>
  <c r="D322" i="17" s="1"/>
  <c r="D105" i="17"/>
  <c r="D106" i="17" s="1"/>
  <c r="F32" i="17"/>
  <c r="C175" i="17"/>
  <c r="C105" i="17"/>
  <c r="C106" i="17" s="1"/>
  <c r="C271" i="17"/>
  <c r="D49" i="17"/>
  <c r="D126" i="17"/>
  <c r="D127" i="17" s="1"/>
  <c r="D148" i="17" s="1"/>
  <c r="D91" i="17"/>
  <c r="E21" i="17"/>
  <c r="F21" i="17" s="1"/>
  <c r="C194" i="17"/>
  <c r="C266" i="17"/>
  <c r="E125" i="17"/>
  <c r="F125" i="17" s="1"/>
  <c r="C174" i="17"/>
  <c r="C104" i="17"/>
  <c r="G36" i="14"/>
  <c r="G38" i="14" s="1"/>
  <c r="G40" i="14" s="1"/>
  <c r="I33" i="14"/>
  <c r="I36" i="14"/>
  <c r="I38" i="14"/>
  <c r="I40" i="14"/>
  <c r="C34" i="12"/>
  <c r="E112" i="8"/>
  <c r="E111" i="8" s="1"/>
  <c r="E28" i="8"/>
  <c r="D24" i="8"/>
  <c r="D20" i="8" s="1"/>
  <c r="D17" i="8"/>
  <c r="F65" i="4"/>
  <c r="D112" i="22"/>
  <c r="D55" i="22"/>
  <c r="D47" i="22"/>
  <c r="D37" i="22"/>
  <c r="E38" i="22"/>
  <c r="C38" i="22"/>
  <c r="C55" i="22"/>
  <c r="C47" i="22"/>
  <c r="C37" i="22"/>
  <c r="D169" i="18"/>
  <c r="D181" i="18"/>
  <c r="D295" i="18"/>
  <c r="E295" i="18"/>
  <c r="C181" i="18"/>
  <c r="C195" i="17"/>
  <c r="D50" i="17"/>
  <c r="C176" i="17"/>
  <c r="F176" i="17" s="1"/>
  <c r="F284" i="17"/>
  <c r="E288" i="17"/>
  <c r="E254" i="17"/>
  <c r="F254" i="17"/>
  <c r="D92" i="17"/>
  <c r="D63" i="17"/>
  <c r="F288" i="17"/>
  <c r="C289" i="17"/>
  <c r="D28" i="8"/>
  <c r="D22" i="8" s="1"/>
  <c r="D112" i="8"/>
  <c r="D111" i="8" s="1"/>
  <c r="E99" i="8"/>
  <c r="E101" i="8"/>
  <c r="E98" i="8"/>
  <c r="D324" i="17"/>
  <c r="D70" i="17"/>
  <c r="E50" i="17"/>
  <c r="F50" i="17" s="1"/>
  <c r="C309" i="17"/>
  <c r="C310" i="17"/>
  <c r="C312" i="17"/>
  <c r="C313" i="17"/>
  <c r="C251" i="17" s="1"/>
  <c r="F52" i="6" l="1"/>
  <c r="E194" i="17"/>
  <c r="F194" i="17" s="1"/>
  <c r="D195" i="17"/>
  <c r="E195" i="17" s="1"/>
  <c r="F195" i="17" s="1"/>
  <c r="F92" i="6"/>
  <c r="E267" i="17"/>
  <c r="D268" i="17"/>
  <c r="E268" i="17" s="1"/>
  <c r="D291" i="17"/>
  <c r="D289" i="17"/>
  <c r="E289" i="17" s="1"/>
  <c r="E101" i="22"/>
  <c r="E103" i="22" s="1"/>
  <c r="E77" i="22"/>
  <c r="D282" i="17"/>
  <c r="F126" i="17"/>
  <c r="C127" i="17"/>
  <c r="E215" i="17"/>
  <c r="D255" i="17"/>
  <c r="E255" i="17" s="1"/>
  <c r="F255" i="17" s="1"/>
  <c r="D30" i="22"/>
  <c r="D40" i="22"/>
  <c r="D36" i="22"/>
  <c r="D111" i="22"/>
  <c r="D54" i="22"/>
  <c r="C21" i="5"/>
  <c r="F18" i="5"/>
  <c r="E130" i="7"/>
  <c r="F130" i="7" s="1"/>
  <c r="C166" i="8"/>
  <c r="C89" i="17"/>
  <c r="F88" i="17"/>
  <c r="D99" i="8"/>
  <c r="D101" i="8" s="1"/>
  <c r="F279" i="17"/>
  <c r="C162" i="17"/>
  <c r="F41" i="4"/>
  <c r="E290" i="17"/>
  <c r="F290" i="17" s="1"/>
  <c r="F267" i="17"/>
  <c r="C270" i="17"/>
  <c r="C282" i="17"/>
  <c r="E210" i="18"/>
  <c r="C180" i="18"/>
  <c r="E180" i="18" s="1"/>
  <c r="E29" i="22"/>
  <c r="E39" i="22"/>
  <c r="E110" i="22"/>
  <c r="E45" i="22"/>
  <c r="E16" i="5"/>
  <c r="F16" i="5" s="1"/>
  <c r="F47" i="6"/>
  <c r="E59" i="7"/>
  <c r="F59" i="7" s="1"/>
  <c r="D95" i="7"/>
  <c r="E95" i="7" s="1"/>
  <c r="D153" i="8"/>
  <c r="D157" i="8"/>
  <c r="D155" i="8"/>
  <c r="D158" i="8" s="1"/>
  <c r="D154" i="8"/>
  <c r="E15" i="16"/>
  <c r="F15" i="16" s="1"/>
  <c r="E37" i="17"/>
  <c r="F37" i="17" s="1"/>
  <c r="E60" i="15"/>
  <c r="F60" i="15" s="1"/>
  <c r="F59" i="15"/>
  <c r="F206" i="17"/>
  <c r="E126" i="17"/>
  <c r="E106" i="17"/>
  <c r="F106" i="17" s="1"/>
  <c r="E48" i="22"/>
  <c r="E113" i="22"/>
  <c r="E56" i="22"/>
  <c r="D46" i="22"/>
  <c r="D300" i="17"/>
  <c r="E264" i="17"/>
  <c r="F264" i="17" s="1"/>
  <c r="E88" i="17"/>
  <c r="F215" i="17"/>
  <c r="E156" i="18"/>
  <c r="C168" i="18"/>
  <c r="E168" i="18" s="1"/>
  <c r="C157" i="18"/>
  <c r="E45" i="6"/>
  <c r="F45" i="6" s="1"/>
  <c r="C95" i="6"/>
  <c r="F84" i="6"/>
  <c r="F24" i="7"/>
  <c r="F95" i="7"/>
  <c r="E298" i="17"/>
  <c r="F298" i="17"/>
  <c r="D330" i="18"/>
  <c r="E330" i="18" s="1"/>
  <c r="E326" i="18"/>
  <c r="C314" i="17"/>
  <c r="D24" i="13"/>
  <c r="D17" i="13"/>
  <c r="D28" i="13" s="1"/>
  <c r="D70" i="13" s="1"/>
  <c r="D72" i="13" s="1"/>
  <c r="D69" i="13" s="1"/>
  <c r="E193" i="17"/>
  <c r="F193" i="17" s="1"/>
  <c r="D266" i="17"/>
  <c r="E266" i="17" s="1"/>
  <c r="C15" i="8"/>
  <c r="C25" i="8"/>
  <c r="C27" i="8" s="1"/>
  <c r="F40" i="12"/>
  <c r="E40" i="12"/>
  <c r="C42" i="12"/>
  <c r="C64" i="19"/>
  <c r="C49" i="19"/>
  <c r="F40" i="20"/>
  <c r="C41" i="20"/>
  <c r="F41" i="20" s="1"/>
  <c r="E283" i="17"/>
  <c r="F283" i="17" s="1"/>
  <c r="D286" i="17"/>
  <c r="E286" i="17" s="1"/>
  <c r="F286" i="17" s="1"/>
  <c r="E92" i="6"/>
  <c r="C256" i="17"/>
  <c r="E181" i="18"/>
  <c r="D270" i="17"/>
  <c r="D76" i="18"/>
  <c r="C300" i="17"/>
  <c r="C265" i="17"/>
  <c r="F263" i="17"/>
  <c r="F103" i="17"/>
  <c r="D95" i="6"/>
  <c r="E95" i="6" s="1"/>
  <c r="E21" i="8"/>
  <c r="E22" i="8"/>
  <c r="E20" i="8"/>
  <c r="D88" i="8"/>
  <c r="D90" i="8" s="1"/>
  <c r="D86" i="8" s="1"/>
  <c r="D77" i="8"/>
  <c r="D71" i="8" s="1"/>
  <c r="E41" i="4"/>
  <c r="D43" i="4"/>
  <c r="C113" i="22"/>
  <c r="C56" i="22"/>
  <c r="C48" i="22"/>
  <c r="D98" i="8"/>
  <c r="C139" i="8"/>
  <c r="C138" i="8"/>
  <c r="C135" i="8"/>
  <c r="C136" i="8"/>
  <c r="C207" i="9"/>
  <c r="E200" i="9"/>
  <c r="F200" i="9" s="1"/>
  <c r="C121" i="10"/>
  <c r="F112" i="10"/>
  <c r="E40" i="20"/>
  <c r="E41" i="20" s="1"/>
  <c r="D211" i="17"/>
  <c r="D34" i="12"/>
  <c r="F266" i="17"/>
  <c r="E287" i="17"/>
  <c r="F287" i="17" s="1"/>
  <c r="D216" i="17"/>
  <c r="E216" i="17" s="1"/>
  <c r="F216" i="17" s="1"/>
  <c r="C315" i="17"/>
  <c r="F289" i="17"/>
  <c r="D113" i="17"/>
  <c r="E105" i="17"/>
  <c r="F105" i="17" s="1"/>
  <c r="C196" i="17"/>
  <c r="C268" i="17"/>
  <c r="D21" i="5"/>
  <c r="F274" i="17"/>
  <c r="C272" i="17"/>
  <c r="F262" i="17"/>
  <c r="C208" i="17"/>
  <c r="F207" i="17"/>
  <c r="E211" i="18"/>
  <c r="D75" i="4"/>
  <c r="E75" i="4" s="1"/>
  <c r="F75" i="4" s="1"/>
  <c r="E56" i="4"/>
  <c r="F56" i="4" s="1"/>
  <c r="F48" i="5"/>
  <c r="E24" i="9"/>
  <c r="F24" i="9"/>
  <c r="F138" i="17"/>
  <c r="C140" i="17"/>
  <c r="E199" i="17"/>
  <c r="F199" i="17" s="1"/>
  <c r="D239" i="17"/>
  <c r="E238" i="17"/>
  <c r="F83" i="10"/>
  <c r="E83" i="10"/>
  <c r="F135" i="17"/>
  <c r="C109" i="22"/>
  <c r="C111" i="22"/>
  <c r="E140" i="17"/>
  <c r="E280" i="17"/>
  <c r="F280" i="17" s="1"/>
  <c r="D161" i="17"/>
  <c r="D196" i="17"/>
  <c r="F38" i="6"/>
  <c r="D53" i="8"/>
  <c r="D43" i="8"/>
  <c r="D57" i="8"/>
  <c r="D62" i="8" s="1"/>
  <c r="E152" i="8"/>
  <c r="E156" i="8"/>
  <c r="E71" i="10"/>
  <c r="F55" i="15"/>
  <c r="F95" i="17"/>
  <c r="E95" i="17"/>
  <c r="D173" i="17"/>
  <c r="E172" i="17"/>
  <c r="C239" i="17"/>
  <c r="F238" i="17"/>
  <c r="C22" i="18"/>
  <c r="E21" i="18"/>
  <c r="C283" i="18"/>
  <c r="E124" i="17"/>
  <c r="F124" i="17" s="1"/>
  <c r="E252" i="18"/>
  <c r="C43" i="4"/>
  <c r="F22" i="4"/>
  <c r="E43" i="6"/>
  <c r="F43" i="6" s="1"/>
  <c r="E141" i="8"/>
  <c r="D207" i="9"/>
  <c r="E36" i="18"/>
  <c r="C240" i="18"/>
  <c r="C222" i="18"/>
  <c r="C316" i="18"/>
  <c r="E25" i="20"/>
  <c r="F25" i="20" s="1"/>
  <c r="F24" i="20"/>
  <c r="E261" i="17"/>
  <c r="F261" i="17" s="1"/>
  <c r="D271" i="17"/>
  <c r="C139" i="17"/>
  <c r="C209" i="17"/>
  <c r="D247" i="18"/>
  <c r="F41" i="5"/>
  <c r="E90" i="6"/>
  <c r="F90" i="6" s="1"/>
  <c r="F18" i="7"/>
  <c r="E62" i="9"/>
  <c r="F62" i="9"/>
  <c r="F33" i="14"/>
  <c r="F31" i="14"/>
  <c r="H31" i="14" s="1"/>
  <c r="D209" i="17"/>
  <c r="E209" i="17" s="1"/>
  <c r="C43" i="18"/>
  <c r="E37" i="18"/>
  <c r="C65" i="19"/>
  <c r="C114" i="19" s="1"/>
  <c r="C116" i="19" s="1"/>
  <c r="C119" i="19" s="1"/>
  <c r="C123" i="19" s="1"/>
  <c r="C112" i="22"/>
  <c r="E49" i="17"/>
  <c r="F49" i="17" s="1"/>
  <c r="C62" i="17"/>
  <c r="D175" i="17"/>
  <c r="D39" i="22"/>
  <c r="D48" i="13"/>
  <c r="D42" i="13" s="1"/>
  <c r="E25" i="6"/>
  <c r="F25" i="6" s="1"/>
  <c r="D52" i="6"/>
  <c r="E52" i="6" s="1"/>
  <c r="D149" i="8"/>
  <c r="F128" i="9"/>
  <c r="E141" i="9"/>
  <c r="F141" i="9"/>
  <c r="E192" i="9"/>
  <c r="F204" i="9"/>
  <c r="F20" i="17"/>
  <c r="E244" i="18"/>
  <c r="D303" i="18"/>
  <c r="E302" i="18"/>
  <c r="C88" i="8"/>
  <c r="C90" i="8" s="1"/>
  <c r="C86" i="8" s="1"/>
  <c r="E50" i="15"/>
  <c r="F50" i="15"/>
  <c r="E36" i="17"/>
  <c r="F36" i="17" s="1"/>
  <c r="E135" i="17"/>
  <c r="E227" i="18"/>
  <c r="E287" i="18"/>
  <c r="F19" i="21"/>
  <c r="E153" i="6"/>
  <c r="F153" i="6" s="1"/>
  <c r="E37" i="9"/>
  <c r="F50" i="9"/>
  <c r="E114" i="9"/>
  <c r="F114" i="9" s="1"/>
  <c r="F127" i="9"/>
  <c r="E179" i="18"/>
  <c r="F167" i="7"/>
  <c r="C188" i="7"/>
  <c r="F63" i="9"/>
  <c r="C27" i="13"/>
  <c r="E44" i="17"/>
  <c r="F44" i="17" s="1"/>
  <c r="F121" i="7"/>
  <c r="E167" i="7"/>
  <c r="F115" i="9"/>
  <c r="F140" i="9"/>
  <c r="E193" i="9"/>
  <c r="E24" i="10"/>
  <c r="E48" i="10"/>
  <c r="D27" i="13"/>
  <c r="E52" i="17"/>
  <c r="F52" i="17"/>
  <c r="E39" i="18"/>
  <c r="C76" i="18"/>
  <c r="C77" i="18" s="1"/>
  <c r="D217" i="18"/>
  <c r="D242" i="18"/>
  <c r="E242" i="18" s="1"/>
  <c r="E231" i="18"/>
  <c r="E25" i="13"/>
  <c r="E27" i="13" s="1"/>
  <c r="C88" i="22"/>
  <c r="F75" i="15"/>
  <c r="E21" i="16"/>
  <c r="F21" i="16" s="1"/>
  <c r="F17" i="17"/>
  <c r="E89" i="17"/>
  <c r="C111" i="17"/>
  <c r="D181" i="17"/>
  <c r="E181" i="17" s="1"/>
  <c r="D283" i="18"/>
  <c r="C37" i="19"/>
  <c r="C38" i="19" s="1"/>
  <c r="C127" i="19" s="1"/>
  <c r="C129" i="19" s="1"/>
  <c r="C133" i="19" s="1"/>
  <c r="E44" i="20"/>
  <c r="F205" i="9"/>
  <c r="F92" i="15"/>
  <c r="F28" i="16"/>
  <c r="D43" i="18"/>
  <c r="D44" i="18" s="1"/>
  <c r="E36" i="20"/>
  <c r="F36" i="20" s="1"/>
  <c r="E19" i="21"/>
  <c r="E77" i="17"/>
  <c r="E41" i="18"/>
  <c r="F33" i="20"/>
  <c r="F21" i="21"/>
  <c r="D100" i="18" l="1"/>
  <c r="D99" i="18"/>
  <c r="D83" i="18"/>
  <c r="D96" i="18"/>
  <c r="D88" i="18"/>
  <c r="D89" i="18"/>
  <c r="D86" i="18"/>
  <c r="D87" i="18"/>
  <c r="D84" i="18"/>
  <c r="D258" i="18"/>
  <c r="D97" i="18"/>
  <c r="D95" i="18"/>
  <c r="D85" i="18"/>
  <c r="D101" i="18"/>
  <c r="D98" i="18"/>
  <c r="E111" i="17"/>
  <c r="F111" i="17"/>
  <c r="E217" i="18"/>
  <c r="D241" i="18"/>
  <c r="E241" i="18" s="1"/>
  <c r="C259" i="18"/>
  <c r="C263" i="18" s="1"/>
  <c r="C44" i="18"/>
  <c r="E44" i="18" s="1"/>
  <c r="E161" i="17"/>
  <c r="F161" i="17" s="1"/>
  <c r="D162" i="17"/>
  <c r="D77" i="18"/>
  <c r="E76" i="18"/>
  <c r="C318" i="17"/>
  <c r="E207" i="9"/>
  <c r="F208" i="17"/>
  <c r="C210" i="17"/>
  <c r="E208" i="17"/>
  <c r="F121" i="10"/>
  <c r="E121" i="10"/>
  <c r="C169" i="18"/>
  <c r="E169" i="18" s="1"/>
  <c r="E157" i="18"/>
  <c r="F282" i="17"/>
  <c r="C281" i="17"/>
  <c r="C197" i="17"/>
  <c r="F127" i="17"/>
  <c r="E22" i="18"/>
  <c r="C284" i="18"/>
  <c r="E284" i="18" s="1"/>
  <c r="E272" i="17"/>
  <c r="F272" i="17" s="1"/>
  <c r="C273" i="17"/>
  <c r="F89" i="17"/>
  <c r="C90" i="17"/>
  <c r="C91" i="17"/>
  <c r="C126" i="18"/>
  <c r="C110" i="18"/>
  <c r="C111" i="18"/>
  <c r="C114" i="18"/>
  <c r="C115" i="18"/>
  <c r="C112" i="18"/>
  <c r="C113" i="18"/>
  <c r="C109" i="18"/>
  <c r="C122" i="18"/>
  <c r="C128" i="18" s="1"/>
  <c r="C121" i="18"/>
  <c r="C129" i="18" s="1"/>
  <c r="C127" i="18"/>
  <c r="C124" i="18"/>
  <c r="C125" i="18"/>
  <c r="C123" i="18"/>
  <c r="C246" i="18"/>
  <c r="E246" i="18" s="1"/>
  <c r="E222" i="18"/>
  <c r="C223" i="18"/>
  <c r="E270" i="17"/>
  <c r="F270" i="17" s="1"/>
  <c r="F43" i="4"/>
  <c r="E43" i="4"/>
  <c r="F95" i="6"/>
  <c r="D281" i="17"/>
  <c r="E281" i="17" s="1"/>
  <c r="E282" i="17"/>
  <c r="C320" i="18"/>
  <c r="E320" i="18" s="1"/>
  <c r="E316" i="18"/>
  <c r="F207" i="9"/>
  <c r="C21" i="8"/>
  <c r="C24" i="8"/>
  <c r="C20" i="8" s="1"/>
  <c r="C17" i="8"/>
  <c r="E240" i="18"/>
  <c r="C253" i="18"/>
  <c r="E158" i="8"/>
  <c r="C141" i="8"/>
  <c r="E46" i="20"/>
  <c r="F46" i="20" s="1"/>
  <c r="F44" i="20"/>
  <c r="C63" i="17"/>
  <c r="E62" i="17"/>
  <c r="F62" i="17" s="1"/>
  <c r="E139" i="17"/>
  <c r="F139" i="17" s="1"/>
  <c r="E127" i="17"/>
  <c r="E303" i="18"/>
  <c r="D306" i="18"/>
  <c r="D137" i="8"/>
  <c r="D139" i="8"/>
  <c r="D135" i="8"/>
  <c r="D141" i="8" s="1"/>
  <c r="D140" i="8"/>
  <c r="D138" i="8"/>
  <c r="D136" i="8"/>
  <c r="D304" i="17"/>
  <c r="D273" i="17"/>
  <c r="E273" i="17" s="1"/>
  <c r="E271" i="17"/>
  <c r="F271" i="17" s="1"/>
  <c r="D174" i="17"/>
  <c r="E174" i="17" s="1"/>
  <c r="F174" i="17" s="1"/>
  <c r="E173" i="17"/>
  <c r="F268" i="17"/>
  <c r="C257" i="17"/>
  <c r="E300" i="17"/>
  <c r="F300" i="17" s="1"/>
  <c r="F162" i="17"/>
  <c r="C323" i="17"/>
  <c r="F323" i="17" s="1"/>
  <c r="C183" i="17"/>
  <c r="F183" i="17" s="1"/>
  <c r="E109" i="22"/>
  <c r="E111" i="22"/>
  <c r="E108" i="22"/>
  <c r="E43" i="18"/>
  <c r="D259" i="18"/>
  <c r="C21" i="13"/>
  <c r="C22" i="13"/>
  <c r="C20" i="13"/>
  <c r="E196" i="17"/>
  <c r="F196" i="17" s="1"/>
  <c r="D197" i="17"/>
  <c r="E291" i="17"/>
  <c r="F291" i="17" s="1"/>
  <c r="D305" i="17"/>
  <c r="E188" i="7"/>
  <c r="F188" i="7"/>
  <c r="C153" i="8"/>
  <c r="C157" i="8"/>
  <c r="C154" i="8"/>
  <c r="C152" i="8"/>
  <c r="C155" i="8"/>
  <c r="C156" i="8"/>
  <c r="D176" i="17"/>
  <c r="E176" i="17" s="1"/>
  <c r="E175" i="17"/>
  <c r="F175" i="17" s="1"/>
  <c r="F209" i="17"/>
  <c r="F239" i="17"/>
  <c r="E239" i="17"/>
  <c r="E21" i="5"/>
  <c r="D35" i="5"/>
  <c r="E34" i="12"/>
  <c r="F34" i="12" s="1"/>
  <c r="D42" i="12"/>
  <c r="E37" i="22"/>
  <c r="E55" i="22"/>
  <c r="E47" i="22"/>
  <c r="E112" i="22"/>
  <c r="D38" i="22"/>
  <c r="D56" i="22"/>
  <c r="D48" i="22"/>
  <c r="D113" i="22"/>
  <c r="F36" i="14"/>
  <c r="F38" i="14" s="1"/>
  <c r="F40" i="14" s="1"/>
  <c r="H33" i="14"/>
  <c r="H36" i="14" s="1"/>
  <c r="H38" i="14" s="1"/>
  <c r="H40" i="14" s="1"/>
  <c r="E283" i="18"/>
  <c r="E20" i="13"/>
  <c r="E22" i="13"/>
  <c r="E21" i="13"/>
  <c r="D20" i="13"/>
  <c r="D22" i="13"/>
  <c r="D21" i="13"/>
  <c r="C141" i="17"/>
  <c r="F140" i="17"/>
  <c r="C49" i="12"/>
  <c r="D265" i="17"/>
  <c r="E265" i="17" s="1"/>
  <c r="F265" i="17" s="1"/>
  <c r="F21" i="5"/>
  <c r="C35" i="5"/>
  <c r="C70" i="17" l="1"/>
  <c r="E63" i="17"/>
  <c r="F63" i="17" s="1"/>
  <c r="C116" i="18"/>
  <c r="C117" i="18" s="1"/>
  <c r="C131" i="18" s="1"/>
  <c r="D103" i="18"/>
  <c r="C158" i="8"/>
  <c r="E162" i="17"/>
  <c r="D323" i="17"/>
  <c r="D183" i="17"/>
  <c r="E183" i="17" s="1"/>
  <c r="E86" i="18"/>
  <c r="E197" i="17"/>
  <c r="C254" i="18"/>
  <c r="E254" i="18" s="1"/>
  <c r="E253" i="18"/>
  <c r="F273" i="17"/>
  <c r="F281" i="17"/>
  <c r="E210" i="17"/>
  <c r="F210" i="17" s="1"/>
  <c r="E101" i="18"/>
  <c r="E85" i="18"/>
  <c r="C211" i="17"/>
  <c r="C322" i="17"/>
  <c r="E141" i="17"/>
  <c r="F141" i="17"/>
  <c r="C28" i="8"/>
  <c r="C112" i="8"/>
  <c r="C111" i="8" s="1"/>
  <c r="D310" i="18"/>
  <c r="E310" i="18" s="1"/>
  <c r="E306" i="18"/>
  <c r="C92" i="17"/>
  <c r="E91" i="17"/>
  <c r="F91" i="17" s="1"/>
  <c r="E258" i="18"/>
  <c r="C84" i="18"/>
  <c r="C90" i="18" s="1"/>
  <c r="C88" i="18"/>
  <c r="E88" i="18" s="1"/>
  <c r="C85" i="18"/>
  <c r="C86" i="18"/>
  <c r="C100" i="18"/>
  <c r="C98" i="18"/>
  <c r="E98" i="18" s="1"/>
  <c r="C97" i="18"/>
  <c r="E97" i="18" s="1"/>
  <c r="C83" i="18"/>
  <c r="C258" i="18"/>
  <c r="C99" i="18"/>
  <c r="C95" i="18"/>
  <c r="E95" i="18" s="1"/>
  <c r="C96" i="18"/>
  <c r="C101" i="18"/>
  <c r="C89" i="18"/>
  <c r="E89" i="18" s="1"/>
  <c r="C87" i="18"/>
  <c r="E87" i="18" s="1"/>
  <c r="C43" i="5"/>
  <c r="D102" i="18"/>
  <c r="C247" i="18"/>
  <c r="E247" i="18" s="1"/>
  <c r="E223" i="18"/>
  <c r="D91" i="18"/>
  <c r="E83" i="18"/>
  <c r="D309" i="17"/>
  <c r="E309" i="17" s="1"/>
  <c r="F309" i="17" s="1"/>
  <c r="E305" i="17"/>
  <c r="F305" i="17" s="1"/>
  <c r="D90" i="18"/>
  <c r="D49" i="12"/>
  <c r="E49" i="12" s="1"/>
  <c r="F49" i="12" s="1"/>
  <c r="E42" i="12"/>
  <c r="F42" i="12" s="1"/>
  <c r="D263" i="18"/>
  <c r="E263" i="18" s="1"/>
  <c r="E259" i="18"/>
  <c r="D310" i="17"/>
  <c r="E304" i="17"/>
  <c r="F304" i="17" s="1"/>
  <c r="E90" i="17"/>
  <c r="F90" i="17" s="1"/>
  <c r="F197" i="17"/>
  <c r="E99" i="18"/>
  <c r="E35" i="5"/>
  <c r="F35" i="5" s="1"/>
  <c r="D43" i="5"/>
  <c r="C148" i="17"/>
  <c r="D112" i="18"/>
  <c r="E112" i="18" s="1"/>
  <c r="D122" i="18"/>
  <c r="D115" i="18"/>
  <c r="E115" i="18" s="1"/>
  <c r="D127" i="18"/>
  <c r="E127" i="18" s="1"/>
  <c r="D125" i="18"/>
  <c r="E125" i="18" s="1"/>
  <c r="D113" i="18"/>
  <c r="E113" i="18" s="1"/>
  <c r="D110" i="18"/>
  <c r="D121" i="18"/>
  <c r="D124" i="18"/>
  <c r="E124" i="18" s="1"/>
  <c r="D109" i="18"/>
  <c r="D126" i="18"/>
  <c r="E126" i="18" s="1"/>
  <c r="D111" i="18"/>
  <c r="E111" i="18" s="1"/>
  <c r="D123" i="18"/>
  <c r="E123" i="18" s="1"/>
  <c r="D114" i="18"/>
  <c r="E114" i="18" s="1"/>
  <c r="E77" i="18"/>
  <c r="E100" i="18"/>
  <c r="D264" i="18" l="1"/>
  <c r="D312" i="17"/>
  <c r="E310" i="17"/>
  <c r="F310" i="17" s="1"/>
  <c r="C50" i="5"/>
  <c r="F43" i="5"/>
  <c r="C264" i="18"/>
  <c r="C266" i="18" s="1"/>
  <c r="C267" i="18" s="1"/>
  <c r="C91" i="18"/>
  <c r="C102" i="18"/>
  <c r="E102" i="18" s="1"/>
  <c r="E122" i="18"/>
  <c r="D128" i="18"/>
  <c r="E128" i="18" s="1"/>
  <c r="D129" i="18"/>
  <c r="E129" i="18" s="1"/>
  <c r="E121" i="18"/>
  <c r="E109" i="18"/>
  <c r="E91" i="18"/>
  <c r="D105" i="18"/>
  <c r="C99" i="8"/>
  <c r="C101" i="8" s="1"/>
  <c r="C98" i="8" s="1"/>
  <c r="C22" i="8"/>
  <c r="E148" i="17"/>
  <c r="F148" i="17" s="1"/>
  <c r="C113" i="17"/>
  <c r="C324" i="17"/>
  <c r="E92" i="17"/>
  <c r="F92" i="17" s="1"/>
  <c r="E323" i="17"/>
  <c r="D325" i="17"/>
  <c r="E70" i="17"/>
  <c r="F70" i="17" s="1"/>
  <c r="E110" i="18"/>
  <c r="D116" i="18"/>
  <c r="E116" i="18" s="1"/>
  <c r="E84" i="18"/>
  <c r="E96" i="18"/>
  <c r="C103" i="18"/>
  <c r="E103" i="18" s="1"/>
  <c r="E322" i="17"/>
  <c r="F322" i="17" s="1"/>
  <c r="D50" i="5"/>
  <c r="E50" i="5" s="1"/>
  <c r="E43" i="5"/>
  <c r="E90" i="18"/>
  <c r="E211" i="17"/>
  <c r="F211" i="17" s="1"/>
  <c r="C269" i="18" l="1"/>
  <c r="C268" i="18"/>
  <c r="C271" i="18" s="1"/>
  <c r="F50" i="5"/>
  <c r="C325" i="17"/>
  <c r="E324" i="17"/>
  <c r="F324" i="17" s="1"/>
  <c r="D117" i="18"/>
  <c r="F113" i="17"/>
  <c r="E113" i="17"/>
  <c r="E312" i="17"/>
  <c r="F312" i="17" s="1"/>
  <c r="D313" i="17"/>
  <c r="C105" i="18"/>
  <c r="E105" i="18" s="1"/>
  <c r="D266" i="18"/>
  <c r="E264" i="18"/>
  <c r="E266" i="18" l="1"/>
  <c r="D267" i="18"/>
  <c r="D131" i="18"/>
  <c r="E131" i="18" s="1"/>
  <c r="E117" i="18"/>
  <c r="D314" i="17"/>
  <c r="E313" i="17"/>
  <c r="F313" i="17" s="1"/>
  <c r="D251" i="17"/>
  <c r="E251" i="17" s="1"/>
  <c r="F251" i="17" s="1"/>
  <c r="D315" i="17"/>
  <c r="E315" i="17" s="1"/>
  <c r="F315" i="17" s="1"/>
  <c r="D256" i="17"/>
  <c r="E325" i="17"/>
  <c r="F325" i="17" s="1"/>
  <c r="E314" i="17" l="1"/>
  <c r="F314" i="17" s="1"/>
  <c r="D318" i="17"/>
  <c r="E318" i="17" s="1"/>
  <c r="F318" i="17" s="1"/>
  <c r="E267" i="18"/>
  <c r="D268" i="18"/>
  <c r="D269" i="18"/>
  <c r="E269" i="18" s="1"/>
  <c r="E256" i="17"/>
  <c r="F256" i="17" s="1"/>
  <c r="D257" i="17"/>
  <c r="E257" i="17" s="1"/>
  <c r="F257" i="17" s="1"/>
  <c r="E268" i="18" l="1"/>
  <c r="D271" i="18"/>
  <c r="E271" i="18" s="1"/>
</calcChain>
</file>

<file path=xl/sharedStrings.xml><?xml version="1.0" encoding="utf-8"?>
<sst xmlns="http://schemas.openxmlformats.org/spreadsheetml/2006/main" count="2340" uniqueCount="1012">
  <si>
    <t>YALE-NEW HAVEN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</si>
  <si>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</si>
  <si>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</si>
  <si>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</si>
  <si>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</si>
  <si>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</si>
  <si>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</si>
  <si>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</si>
  <si>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</si>
  <si>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</si>
  <si>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</si>
  <si>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</si>
  <si>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</si>
  <si>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</si>
  <si>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</si>
  <si>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</si>
  <si>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</si>
  <si>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</si>
  <si>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</si>
  <si>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</si>
  <si>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</si>
  <si>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</si>
  <si>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</si>
  <si>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</si>
  <si>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</si>
  <si>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</si>
  <si>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</si>
  <si>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</si>
  <si>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</si>
  <si>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</si>
  <si>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</si>
  <si>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</si>
  <si>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</si>
  <si>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</si>
  <si>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</si>
  <si>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</si>
  <si>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</si>
  <si>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</si>
  <si>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</si>
  <si>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</si>
  <si>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</si>
  <si>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</si>
  <si>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</si>
  <si>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</si>
  <si>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</si>
  <si>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</si>
  <si>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</si>
  <si>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</si>
  <si>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</si>
  <si>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</si>
  <si>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</si>
  <si>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</si>
  <si>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</si>
  <si>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</si>
  <si>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</si>
  <si>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</si>
  <si>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</si>
  <si>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</si>
  <si>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</si>
  <si>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</si>
  <si>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</si>
  <si>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</si>
  <si>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</si>
  <si>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</si>
  <si>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</si>
  <si>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</si>
  <si>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</si>
  <si>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</si>
  <si>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</si>
  <si>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</si>
  <si>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</si>
  <si>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</si>
  <si>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</si>
  <si>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</si>
  <si>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</si>
  <si>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</si>
  <si>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</si>
  <si>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</si>
  <si>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</si>
  <si>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</si>
  <si>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</si>
  <si>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</si>
  <si>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</si>
  <si>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</si>
  <si>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</si>
  <si>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</si>
  <si>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</si>
  <si>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</si>
  <si>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</si>
  <si>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</si>
  <si>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</si>
  <si>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</si>
  <si>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</si>
  <si>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</si>
  <si>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</si>
  <si>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</si>
  <si>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</si>
  <si>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</si>
  <si>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</si>
  <si>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</si>
  <si>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</si>
  <si>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</si>
  <si>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</si>
  <si>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</si>
  <si>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</si>
  <si>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</si>
  <si>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</si>
  <si>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</si>
  <si>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</si>
  <si>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</si>
  <si>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</si>
  <si>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</si>
  <si>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</si>
  <si>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</si>
  <si>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</si>
  <si>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</si>
  <si>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</si>
  <si>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</si>
  <si>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</si>
  <si>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</si>
  <si>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</si>
  <si>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</si>
  <si>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</si>
  <si>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</si>
  <si>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</si>
  <si>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</si>
  <si>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</si>
  <si>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</si>
  <si>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</si>
  <si>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</si>
  <si>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</si>
  <si>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</si>
  <si>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</si>
  <si>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</si>
  <si>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</si>
  <si>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</si>
  <si>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</si>
  <si>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</si>
  <si>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</si>
  <si>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</si>
  <si>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</si>
  <si>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</si>
  <si>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</si>
  <si>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</si>
  <si>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</si>
  <si>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</si>
  <si>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</si>
  <si>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</si>
  <si>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</si>
  <si>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</si>
  <si>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</si>
  <si>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</si>
  <si>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</si>
  <si>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</si>
  <si>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</si>
  <si>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</si>
  <si>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</si>
  <si>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</si>
  <si>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</si>
  <si>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</si>
  <si>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</si>
  <si>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</si>
  <si>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</si>
  <si>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</si>
  <si>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</si>
  <si>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</si>
  <si>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</si>
  <si>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</si>
  <si>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</si>
  <si>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</si>
  <si>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</si>
  <si>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</si>
  <si>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</si>
  <si>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</si>
  <si>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</si>
  <si>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</si>
  <si>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</si>
  <si>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</si>
  <si>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</si>
  <si>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</si>
  <si>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</si>
  <si>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</si>
  <si>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</si>
  <si>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</si>
  <si>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</si>
  <si>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</si>
  <si>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</si>
  <si>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</si>
  <si>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</si>
  <si>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</si>
  <si>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</si>
  <si>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</si>
  <si>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</si>
  <si>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</si>
  <si>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</si>
  <si>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</si>
  <si>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</si>
  <si>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</si>
  <si>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</si>
  <si>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</si>
  <si>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</si>
  <si>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</si>
  <si>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</si>
  <si>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</si>
  <si>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</si>
  <si>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</si>
  <si>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</si>
  <si>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</si>
  <si>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</si>
  <si>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</si>
  <si>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</si>
  <si>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</si>
  <si>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</si>
  <si>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</si>
  <si>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</si>
  <si>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</si>
  <si>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</si>
  <si>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</si>
  <si>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</si>
  <si>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</si>
  <si>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</si>
  <si>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</si>
  <si>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</si>
  <si>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</si>
  <si>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</si>
  <si>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</si>
  <si>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</si>
  <si>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</si>
  <si>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</si>
  <si>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</si>
  <si>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</si>
  <si>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</si>
  <si>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</si>
  <si>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</si>
  <si>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</si>
  <si>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</si>
  <si>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</si>
  <si>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</si>
  <si>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</si>
  <si>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</si>
  <si>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</si>
  <si>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</si>
  <si>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</si>
  <si>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</si>
  <si>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</si>
  <si>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</si>
  <si>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</si>
  <si>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</si>
  <si>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</si>
  <si>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</si>
  <si>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</si>
  <si>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</si>
  <si>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</si>
  <si>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</si>
  <si>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</si>
  <si>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</si>
  <si>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</si>
  <si>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</si>
  <si>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</si>
  <si>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</si>
  <si>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</si>
  <si>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</si>
  <si>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</si>
  <si>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</si>
  <si>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</si>
  <si>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</si>
  <si>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</si>
  <si>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</si>
  <si>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</si>
  <si>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</si>
  <si>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</si>
  <si>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</si>
  <si>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</si>
  <si>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</si>
  <si>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</si>
  <si>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</si>
  <si>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</si>
  <si>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</si>
  <si>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</si>
  <si>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</si>
  <si>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</si>
  <si>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</si>
  <si>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</si>
  <si>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</si>
  <si>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</si>
  <si>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</si>
  <si>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</si>
  <si>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</si>
  <si>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</si>
  <si>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</si>
  <si>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</si>
  <si>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</si>
  <si>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</si>
  <si>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</si>
  <si>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</si>
  <si>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</si>
  <si>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</si>
  <si>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</si>
  <si>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</si>
  <si>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</si>
  <si>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</si>
  <si>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</si>
  <si>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</si>
  <si>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</si>
  <si>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</si>
  <si>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</si>
  <si>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</si>
  <si>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</si>
  <si>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</si>
  <si>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</si>
  <si>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</si>
  <si>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</si>
  <si>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</si>
  <si>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</si>
  <si>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</si>
  <si>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</si>
  <si>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</si>
  <si>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</si>
  <si>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</si>
  <si>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</si>
  <si>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</si>
  <si>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</si>
  <si>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</si>
  <si>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</si>
  <si>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</si>
  <si>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</si>
  <si>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</si>
  <si>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</si>
  <si>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</si>
  <si>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</si>
  <si>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</si>
  <si>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</si>
  <si>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</si>
  <si>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</si>
  <si>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</si>
  <si>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</si>
  <si>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</si>
  <si>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</si>
  <si>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</si>
  <si>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</si>
  <si>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</si>
  <si>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</si>
  <si>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</si>
  <si>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</si>
  <si>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</si>
  <si>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</si>
  <si>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</si>
  <si>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</si>
  <si>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</si>
  <si>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</si>
  <si>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</si>
  <si>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</si>
  <si>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</si>
  <si>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</si>
  <si>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</si>
  <si>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</si>
  <si>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</si>
  <si>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</si>
  <si>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</si>
  <si>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</si>
  <si>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</si>
  <si>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</si>
  <si>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</si>
  <si>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</si>
  <si>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</si>
  <si>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</si>
  <si>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</si>
  <si>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</si>
  <si>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</si>
  <si>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</si>
  <si>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</si>
  <si>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</si>
  <si>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</si>
  <si>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</si>
  <si>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</si>
  <si>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</si>
  <si>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</si>
  <si>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</si>
  <si>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</si>
  <si>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</si>
  <si>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</si>
  <si>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</si>
  <si>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</si>
  <si>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</si>
  <si>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</si>
  <si>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</si>
  <si>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</si>
  <si>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</si>
  <si>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</si>
  <si>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</si>
  <si>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</si>
  <si>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</si>
  <si>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</si>
  <si>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</si>
  <si>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</si>
  <si>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</si>
  <si>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</si>
  <si>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</si>
  <si>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</si>
  <si>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</si>
  <si>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</si>
  <si>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</si>
  <si>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</si>
  <si>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</si>
  <si>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</si>
  <si>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</si>
  <si>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</si>
  <si>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</si>
  <si>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</si>
  <si>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</si>
  <si>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</si>
  <si>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</si>
  <si>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</si>
  <si>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</si>
  <si>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</si>
  <si>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</si>
  <si>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</si>
  <si>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</si>
  <si>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</si>
  <si>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</si>
  <si>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</si>
  <si>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</si>
  <si>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</si>
  <si>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</si>
  <si>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</si>
  <si>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</si>
  <si>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</si>
  <si>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</si>
  <si>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</si>
  <si>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</si>
  <si>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</si>
  <si>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</si>
  <si>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</si>
  <si>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</si>
  <si>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</si>
  <si>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</si>
  <si>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</si>
  <si>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</si>
  <si>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</si>
  <si>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</si>
  <si>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</si>
  <si>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</si>
  <si>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</si>
  <si>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</si>
  <si>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</si>
  <si>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</si>
  <si>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</si>
  <si>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</si>
  <si>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</si>
  <si>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</si>
  <si>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</si>
  <si>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</si>
  <si>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</si>
  <si>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</si>
  <si>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</si>
  <si>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</si>
  <si>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</si>
  <si>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</si>
  <si>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</si>
  <si>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</si>
  <si>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</si>
  <si>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</si>
  <si>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</si>
  <si>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</si>
  <si>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</si>
  <si>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</si>
  <si>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</si>
  <si>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</si>
  <si>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</si>
  <si>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</si>
  <si>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</si>
  <si>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</si>
  <si>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</si>
  <si>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</si>
  <si>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</si>
  <si>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</si>
  <si>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</si>
  <si>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</si>
  <si>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</si>
  <si>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</si>
  <si>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</si>
  <si>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</si>
  <si>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</si>
  <si>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</si>
  <si>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</si>
  <si>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</si>
  <si>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</si>
  <si>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</si>
  <si>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</si>
  <si>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</si>
  <si>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</si>
  <si>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</si>
  <si>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</si>
  <si>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</si>
  <si>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</si>
  <si>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</si>
  <si>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</si>
  <si>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</si>
  <si>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</si>
  <si>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</si>
  <si>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YALE-NEW HAVEN HEALTH SERVICES CORP. (YNHHSC)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</si>
  <si>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</si>
  <si>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</si>
  <si>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</si>
  <si>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</si>
  <si>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</si>
  <si>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</si>
  <si>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</si>
  <si>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</si>
  <si>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</si>
  <si>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</si>
  <si>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</si>
  <si>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</si>
  <si>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</si>
  <si>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</si>
  <si>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</si>
  <si>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</si>
  <si>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</si>
  <si>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</si>
  <si>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</si>
  <si>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</si>
  <si>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</si>
  <si>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</si>
  <si>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</si>
  <si>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</si>
  <si>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</si>
  <si>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</si>
  <si>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</si>
  <si>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</si>
  <si>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</si>
  <si>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</si>
  <si>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</si>
  <si>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</si>
  <si>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</si>
  <si>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</si>
  <si>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</si>
  <si>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</si>
  <si>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</si>
  <si>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</si>
  <si>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</si>
  <si>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</si>
  <si>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</si>
  <si>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</si>
  <si>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</si>
  <si>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</si>
  <si>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</si>
  <si>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</si>
  <si>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</si>
  <si>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</si>
  <si>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</si>
  <si>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</si>
  <si>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</si>
  <si>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</si>
  <si>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</si>
  <si>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</si>
  <si>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</si>
  <si>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</si>
  <si>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</si>
  <si>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</si>
  <si>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</si>
  <si>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</si>
  <si>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</si>
  <si>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</si>
  <si>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</si>
  <si>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</si>
  <si>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</si>
  <si>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</si>
  <si>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</si>
  <si>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</si>
  <si>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</si>
  <si>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</si>
  <si>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</si>
  <si>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</si>
  <si>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</si>
  <si>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</si>
  <si>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</si>
  <si>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</si>
  <si>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</si>
  <si>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</si>
  <si>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</si>
  <si>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</si>
  <si>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</si>
  <si>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</si>
  <si>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</si>
  <si>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</si>
  <si>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</si>
  <si>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</si>
  <si>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</si>
  <si>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</si>
  <si>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</si>
  <si>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</si>
  <si>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</si>
  <si>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</si>
  <si>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</si>
  <si>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</si>
  <si>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</si>
  <si>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</si>
  <si>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</si>
  <si>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</si>
  <si>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</si>
  <si>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</si>
  <si>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</si>
  <si>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</si>
  <si>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</si>
  <si>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</si>
  <si>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</si>
  <si>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</si>
  <si>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</si>
  <si>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</si>
  <si>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</si>
  <si>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</si>
  <si>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</si>
  <si>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</si>
  <si>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</si>
  <si>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</si>
  <si>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</si>
  <si>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</si>
  <si>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</si>
  <si>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</si>
  <si>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</si>
  <si>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</si>
  <si>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Temple Medical Center</t>
  </si>
  <si>
    <t>SRC Operating</t>
  </si>
  <si>
    <t>Yale New Haven Hospital</t>
  </si>
  <si>
    <t>Total Outpatient Surgical Procedures(A)</t>
  </si>
  <si>
    <t>Total Outpatient Endoscopy Procedures(B)</t>
  </si>
  <si>
    <t>Outpatient Hospital Emergency Room Visits</t>
  </si>
  <si>
    <t>N/A</t>
  </si>
  <si>
    <t>Shoreline Medical Center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</si>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</sst>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8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20955000</v>
      </c>
      <c r="D13" s="22">
        <v>101130000</v>
      </c>
      <c r="E13" s="22">
        <f t="shared" ref="E13:E22" si="0">D13-C13</f>
        <v>80175000</v>
      </c>
      <c r="F13" s="23">
        <f t="shared" ref="F13:F22" si="1">IF(C13=0,0,E13/C13)</f>
        <v>3.8260558339298498</v>
      </c>
    </row>
    <row r="14" spans="1:8" ht="24" customHeight="1" x14ac:dyDescent="0.2">
      <c r="A14" s="20">
        <v>2</v>
      </c>
      <c r="B14" s="21" t="s">
        <v>17</v>
      </c>
      <c r="C14" s="22">
        <v>926009000</v>
      </c>
      <c r="D14" s="22">
        <v>980087000</v>
      </c>
      <c r="E14" s="22">
        <f t="shared" si="0"/>
        <v>54078000</v>
      </c>
      <c r="F14" s="23">
        <f t="shared" si="1"/>
        <v>5.8399000441680372E-2</v>
      </c>
    </row>
    <row r="15" spans="1:8" ht="24" customHeight="1" x14ac:dyDescent="0.2">
      <c r="A15" s="20">
        <v>3</v>
      </c>
      <c r="B15" s="21" t="s">
        <v>18</v>
      </c>
      <c r="C15" s="22">
        <v>259581000</v>
      </c>
      <c r="D15" s="22">
        <v>286728000</v>
      </c>
      <c r="E15" s="22">
        <f t="shared" si="0"/>
        <v>27147000</v>
      </c>
      <c r="F15" s="23">
        <f t="shared" si="1"/>
        <v>0.10458007327192669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32802000</v>
      </c>
      <c r="D19" s="22">
        <v>39408000</v>
      </c>
      <c r="E19" s="22">
        <f t="shared" si="0"/>
        <v>6606000</v>
      </c>
      <c r="F19" s="23">
        <f t="shared" si="1"/>
        <v>0.20139015913663802</v>
      </c>
    </row>
    <row r="20" spans="1:11" ht="24" customHeight="1" x14ac:dyDescent="0.2">
      <c r="A20" s="20">
        <v>8</v>
      </c>
      <c r="B20" s="21" t="s">
        <v>23</v>
      </c>
      <c r="C20" s="22">
        <v>36081000</v>
      </c>
      <c r="D20" s="22">
        <v>34914000</v>
      </c>
      <c r="E20" s="22">
        <f t="shared" si="0"/>
        <v>-1167000</v>
      </c>
      <c r="F20" s="23">
        <f t="shared" si="1"/>
        <v>-3.2343892907624509E-2</v>
      </c>
    </row>
    <row r="21" spans="1:11" ht="24" customHeight="1" x14ac:dyDescent="0.2">
      <c r="A21" s="20">
        <v>9</v>
      </c>
      <c r="B21" s="21" t="s">
        <v>24</v>
      </c>
      <c r="C21" s="22">
        <v>57151000</v>
      </c>
      <c r="D21" s="22">
        <v>58101000</v>
      </c>
      <c r="E21" s="22">
        <f t="shared" si="0"/>
        <v>950000</v>
      </c>
      <c r="F21" s="23">
        <f t="shared" si="1"/>
        <v>1.6622631275043306E-2</v>
      </c>
    </row>
    <row r="22" spans="1:11" ht="24" customHeight="1" x14ac:dyDescent="0.25">
      <c r="A22" s="24"/>
      <c r="B22" s="25" t="s">
        <v>25</v>
      </c>
      <c r="C22" s="26">
        <f>SUM(C13:C21)</f>
        <v>1332579000</v>
      </c>
      <c r="D22" s="26">
        <f>SUM(D13:D21)</f>
        <v>1500368000</v>
      </c>
      <c r="E22" s="26">
        <f t="shared" si="0"/>
        <v>167789000</v>
      </c>
      <c r="F22" s="27">
        <f t="shared" si="1"/>
        <v>0.12591298527141731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17796000</v>
      </c>
      <c r="D25" s="22">
        <v>18051000</v>
      </c>
      <c r="E25" s="22">
        <f>D25-C25</f>
        <v>255000</v>
      </c>
      <c r="F25" s="23">
        <f>IF(C25=0,0,E25/C25)</f>
        <v>1.4329062710721511E-2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107073000</v>
      </c>
      <c r="D26" s="22">
        <v>78837000</v>
      </c>
      <c r="E26" s="22">
        <f>D26-C26</f>
        <v>-28236000</v>
      </c>
      <c r="F26" s="23">
        <f>IF(C26=0,0,E26/C26)</f>
        <v>-0.26370793757529909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124869000</v>
      </c>
      <c r="D29" s="26">
        <f>SUM(D25:D28)</f>
        <v>96888000</v>
      </c>
      <c r="E29" s="26">
        <f>D29-C29</f>
        <v>-27981000</v>
      </c>
      <c r="F29" s="27">
        <f>IF(C29=0,0,E29/C29)</f>
        <v>-0.22408283881507821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263938000</v>
      </c>
      <c r="D32" s="22">
        <v>289434000</v>
      </c>
      <c r="E32" s="22">
        <f>D32-C32</f>
        <v>25496000</v>
      </c>
      <c r="F32" s="23">
        <f>IF(C32=0,0,E32/C32)</f>
        <v>9.6598443573869625E-2</v>
      </c>
    </row>
    <row r="33" spans="1:8" ht="24" customHeight="1" x14ac:dyDescent="0.2">
      <c r="A33" s="20">
        <v>7</v>
      </c>
      <c r="B33" s="21" t="s">
        <v>35</v>
      </c>
      <c r="C33" s="22">
        <v>304928000</v>
      </c>
      <c r="D33" s="22">
        <v>297453000</v>
      </c>
      <c r="E33" s="22">
        <f>D33-C33</f>
        <v>-7475000</v>
      </c>
      <c r="F33" s="23">
        <f>IF(C33=0,0,E33/C33)</f>
        <v>-2.4513983628922237E-2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1622326000</v>
      </c>
      <c r="D36" s="22">
        <v>1664895000</v>
      </c>
      <c r="E36" s="22">
        <f>D36-C36</f>
        <v>42569000</v>
      </c>
      <c r="F36" s="23">
        <f>IF(C36=0,0,E36/C36)</f>
        <v>2.6239485775362042E-2</v>
      </c>
    </row>
    <row r="37" spans="1:8" ht="24" customHeight="1" x14ac:dyDescent="0.2">
      <c r="A37" s="20">
        <v>2</v>
      </c>
      <c r="B37" s="21" t="s">
        <v>39</v>
      </c>
      <c r="C37" s="22">
        <v>735391000</v>
      </c>
      <c r="D37" s="22">
        <v>808887000</v>
      </c>
      <c r="E37" s="22">
        <f>D37-C37</f>
        <v>73496000</v>
      </c>
      <c r="F37" s="23">
        <f>IF(C37=0,0,E37/C37)</f>
        <v>9.9941391722226686E-2</v>
      </c>
    </row>
    <row r="38" spans="1:8" ht="24" customHeight="1" x14ac:dyDescent="0.25">
      <c r="A38" s="24"/>
      <c r="B38" s="25" t="s">
        <v>40</v>
      </c>
      <c r="C38" s="26">
        <f>C36-C37</f>
        <v>886935000</v>
      </c>
      <c r="D38" s="26">
        <f>D36-D37</f>
        <v>856008000</v>
      </c>
      <c r="E38" s="26">
        <f>D38-C38</f>
        <v>-30927000</v>
      </c>
      <c r="F38" s="27">
        <f>IF(C38=0,0,E38/C38)</f>
        <v>-3.4869522569297637E-2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27576000</v>
      </c>
      <c r="D40" s="22">
        <v>80774000</v>
      </c>
      <c r="E40" s="22">
        <f>D40-C40</f>
        <v>53198000</v>
      </c>
      <c r="F40" s="23">
        <f>IF(C40=0,0,E40/C40)</f>
        <v>1.9291412822744416</v>
      </c>
    </row>
    <row r="41" spans="1:8" ht="24" customHeight="1" x14ac:dyDescent="0.25">
      <c r="A41" s="24"/>
      <c r="B41" s="25" t="s">
        <v>42</v>
      </c>
      <c r="C41" s="26">
        <f>+C38+C40</f>
        <v>914511000</v>
      </c>
      <c r="D41" s="26">
        <f>+D38+D40</f>
        <v>936782000</v>
      </c>
      <c r="E41" s="26">
        <f>D41-C41</f>
        <v>22271000</v>
      </c>
      <c r="F41" s="27">
        <f>IF(C41=0,0,E41/C41)</f>
        <v>2.4352905541868825E-2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2940825000</v>
      </c>
      <c r="D43" s="26">
        <f>D22+D29+D31+D32+D33+D41</f>
        <v>3120925000</v>
      </c>
      <c r="E43" s="26">
        <f>D43-C43</f>
        <v>180100000</v>
      </c>
      <c r="F43" s="27">
        <f>IF(C43=0,0,E43/C43)</f>
        <v>6.1241318337541338E-2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231911000</v>
      </c>
      <c r="D49" s="22">
        <v>258947000</v>
      </c>
      <c r="E49" s="22">
        <f t="shared" ref="E49:E56" si="2">D49-C49</f>
        <v>27036000</v>
      </c>
      <c r="F49" s="23">
        <f t="shared" ref="F49:F56" si="3">IF(C49=0,0,E49/C49)</f>
        <v>0.11657920495362445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113561000</v>
      </c>
      <c r="D50" s="22">
        <v>87225000</v>
      </c>
      <c r="E50" s="22">
        <f t="shared" si="2"/>
        <v>-26336000</v>
      </c>
      <c r="F50" s="23">
        <f t="shared" si="3"/>
        <v>-0.23191060311198386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0</v>
      </c>
      <c r="E51" s="22">
        <f t="shared" si="2"/>
        <v>0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28423000</v>
      </c>
      <c r="D53" s="22">
        <v>29938000</v>
      </c>
      <c r="E53" s="22">
        <f t="shared" si="2"/>
        <v>1515000</v>
      </c>
      <c r="F53" s="23">
        <f t="shared" si="3"/>
        <v>5.3301903388101188E-2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17897000</v>
      </c>
      <c r="D55" s="22">
        <v>58668000</v>
      </c>
      <c r="E55" s="22">
        <f t="shared" si="2"/>
        <v>40771000</v>
      </c>
      <c r="F55" s="23">
        <f t="shared" si="3"/>
        <v>2.2780913002179135</v>
      </c>
    </row>
    <row r="56" spans="1:6" ht="24" customHeight="1" x14ac:dyDescent="0.25">
      <c r="A56" s="24"/>
      <c r="B56" s="25" t="s">
        <v>54</v>
      </c>
      <c r="C56" s="26">
        <f>SUM(C49:C55)</f>
        <v>391792000</v>
      </c>
      <c r="D56" s="26">
        <f>SUM(D49:D55)</f>
        <v>434778000</v>
      </c>
      <c r="E56" s="26">
        <f t="shared" si="2"/>
        <v>42986000</v>
      </c>
      <c r="F56" s="27">
        <f t="shared" si="3"/>
        <v>0.10971638012006371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799902000</v>
      </c>
      <c r="D59" s="22">
        <v>800348000</v>
      </c>
      <c r="E59" s="22">
        <f>D59-C59</f>
        <v>446000</v>
      </c>
      <c r="F59" s="23">
        <f>IF(C59=0,0,E59/C59)</f>
        <v>5.5756830211700929E-4</v>
      </c>
    </row>
    <row r="60" spans="1:6" ht="24" customHeight="1" x14ac:dyDescent="0.2">
      <c r="A60" s="20">
        <v>2</v>
      </c>
      <c r="B60" s="21" t="s">
        <v>57</v>
      </c>
      <c r="C60" s="22">
        <v>51075000</v>
      </c>
      <c r="D60" s="22">
        <v>46850000</v>
      </c>
      <c r="E60" s="22">
        <f>D60-C60</f>
        <v>-4225000</v>
      </c>
      <c r="F60" s="23">
        <f>IF(C60=0,0,E60/C60)</f>
        <v>-8.272148800783162E-2</v>
      </c>
    </row>
    <row r="61" spans="1:6" ht="24" customHeight="1" x14ac:dyDescent="0.25">
      <c r="A61" s="24"/>
      <c r="B61" s="25" t="s">
        <v>58</v>
      </c>
      <c r="C61" s="26">
        <f>SUM(C59:C60)</f>
        <v>850977000</v>
      </c>
      <c r="D61" s="26">
        <f>SUM(D59:D60)</f>
        <v>847198000</v>
      </c>
      <c r="E61" s="26">
        <f>D61-C61</f>
        <v>-3779000</v>
      </c>
      <c r="F61" s="27">
        <f>IF(C61=0,0,E61/C61)</f>
        <v>-4.4407780703826305E-3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231477000</v>
      </c>
      <c r="D63" s="22">
        <v>228810000</v>
      </c>
      <c r="E63" s="22">
        <f>D63-C63</f>
        <v>-2667000</v>
      </c>
      <c r="F63" s="23">
        <f>IF(C63=0,0,E63/C63)</f>
        <v>-1.1521663059396829E-2</v>
      </c>
    </row>
    <row r="64" spans="1:6" ht="24" customHeight="1" x14ac:dyDescent="0.2">
      <c r="A64" s="20">
        <v>4</v>
      </c>
      <c r="B64" s="21" t="s">
        <v>60</v>
      </c>
      <c r="C64" s="22">
        <v>345977000</v>
      </c>
      <c r="D64" s="22">
        <v>385147000</v>
      </c>
      <c r="E64" s="22">
        <f>D64-C64</f>
        <v>39170000</v>
      </c>
      <c r="F64" s="23">
        <f>IF(C64=0,0,E64/C64)</f>
        <v>0.11321561837925642</v>
      </c>
    </row>
    <row r="65" spans="1:6" ht="24" customHeight="1" x14ac:dyDescent="0.25">
      <c r="A65" s="24"/>
      <c r="B65" s="25" t="s">
        <v>61</v>
      </c>
      <c r="C65" s="26">
        <f>SUM(C61:C64)</f>
        <v>1428431000</v>
      </c>
      <c r="D65" s="26">
        <f>SUM(D61:D64)</f>
        <v>1461155000</v>
      </c>
      <c r="E65" s="26">
        <f>D65-C65</f>
        <v>32724000</v>
      </c>
      <c r="F65" s="27">
        <f>IF(C65=0,0,E65/C65)</f>
        <v>2.290905195980765E-2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1020378000</v>
      </c>
      <c r="D70" s="22">
        <v>1107165000</v>
      </c>
      <c r="E70" s="22">
        <f>D70-C70</f>
        <v>86787000</v>
      </c>
      <c r="F70" s="23">
        <f>IF(C70=0,0,E70/C70)</f>
        <v>8.5053774189565043E-2</v>
      </c>
    </row>
    <row r="71" spans="1:6" ht="24" customHeight="1" x14ac:dyDescent="0.2">
      <c r="A71" s="20">
        <v>2</v>
      </c>
      <c r="B71" s="21" t="s">
        <v>65</v>
      </c>
      <c r="C71" s="22">
        <v>64318000</v>
      </c>
      <c r="D71" s="22">
        <v>70941000</v>
      </c>
      <c r="E71" s="22">
        <f>D71-C71</f>
        <v>6623000</v>
      </c>
      <c r="F71" s="23">
        <f>IF(C71=0,0,E71/C71)</f>
        <v>0.10297272925153145</v>
      </c>
    </row>
    <row r="72" spans="1:6" ht="24" customHeight="1" x14ac:dyDescent="0.2">
      <c r="A72" s="20">
        <v>3</v>
      </c>
      <c r="B72" s="21" t="s">
        <v>66</v>
      </c>
      <c r="C72" s="22">
        <v>35906000</v>
      </c>
      <c r="D72" s="22">
        <v>46886000</v>
      </c>
      <c r="E72" s="22">
        <f>D72-C72</f>
        <v>10980000</v>
      </c>
      <c r="F72" s="23">
        <f>IF(C72=0,0,E72/C72)</f>
        <v>0.30579847379268088</v>
      </c>
    </row>
    <row r="73" spans="1:6" ht="24" customHeight="1" x14ac:dyDescent="0.25">
      <c r="A73" s="20"/>
      <c r="B73" s="25" t="s">
        <v>67</v>
      </c>
      <c r="C73" s="26">
        <f>SUM(C70:C72)</f>
        <v>1120602000</v>
      </c>
      <c r="D73" s="26">
        <f>SUM(D70:D72)</f>
        <v>1224992000</v>
      </c>
      <c r="E73" s="26">
        <f>D73-C73</f>
        <v>104390000</v>
      </c>
      <c r="F73" s="27">
        <f>IF(C73=0,0,E73/C73)</f>
        <v>9.3155286176537261E-2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2940825000</v>
      </c>
      <c r="D75" s="26">
        <f>D56+D65+D67+D73</f>
        <v>3120925000</v>
      </c>
      <c r="E75" s="26">
        <f>D75-C75</f>
        <v>180100000</v>
      </c>
      <c r="F75" s="27">
        <f>IF(C75=0,0,E75/C75)</f>
        <v>6.1241318337541338E-2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FILING&amp;RYALE-NEW HAVEN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2317430000</v>
      </c>
      <c r="D11" s="76">
        <v>3287692000</v>
      </c>
      <c r="E11" s="76">
        <v>3492685000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60720000</v>
      </c>
      <c r="D12" s="185">
        <v>106994000</v>
      </c>
      <c r="E12" s="185">
        <v>109595000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2378150000</v>
      </c>
      <c r="D13" s="76">
        <f>+D11+D12</f>
        <v>3394686000</v>
      </c>
      <c r="E13" s="76">
        <f>+E11+E12</f>
        <v>3602280000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2279435000</v>
      </c>
      <c r="D14" s="185">
        <v>3224574000</v>
      </c>
      <c r="E14" s="185">
        <v>3442624000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98715000</v>
      </c>
      <c r="D15" s="76">
        <f>+D13-D14</f>
        <v>170112000</v>
      </c>
      <c r="E15" s="76">
        <f>+E13-E14</f>
        <v>159656000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69945000</v>
      </c>
      <c r="D16" s="185">
        <v>34189000</v>
      </c>
      <c r="E16" s="185">
        <v>-15565000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168660000</v>
      </c>
      <c r="D17" s="76">
        <f>D15+D16</f>
        <v>204301000</v>
      </c>
      <c r="E17" s="76">
        <f>E15+E16</f>
        <v>144091000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4.032319007228069E-2</v>
      </c>
      <c r="D20" s="189">
        <f>IF(+D27=0,0,+D24/+D27)</f>
        <v>4.9611607305603149E-2</v>
      </c>
      <c r="E20" s="189">
        <f>IF(+E27=0,0,+E24/+E27)</f>
        <v>4.4513154794847097E-2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2.8571195153782838E-2</v>
      </c>
      <c r="D21" s="189">
        <f>IF(+D27=0,0,+D26/+D27)</f>
        <v>9.97090882578105E-3</v>
      </c>
      <c r="E21" s="189">
        <f>IF(+E27=0,0,+E26/+E27)</f>
        <v>-4.3396255347860086E-3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6.8894385226063531E-2</v>
      </c>
      <c r="D22" s="189">
        <f>IF(+D27=0,0,+D28/+D27)</f>
        <v>5.9582516131384197E-2</v>
      </c>
      <c r="E22" s="189">
        <f>IF(+E27=0,0,+E28/+E27)</f>
        <v>4.0173529260061083E-2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98715000</v>
      </c>
      <c r="D24" s="76">
        <f>+D15</f>
        <v>170112000</v>
      </c>
      <c r="E24" s="76">
        <f>+E15</f>
        <v>159656000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2378150000</v>
      </c>
      <c r="D25" s="76">
        <f>+D13</f>
        <v>3394686000</v>
      </c>
      <c r="E25" s="76">
        <f>+E13</f>
        <v>3602280000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69945000</v>
      </c>
      <c r="D26" s="76">
        <f>+D16</f>
        <v>34189000</v>
      </c>
      <c r="E26" s="76">
        <f>+E16</f>
        <v>-15565000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2448095000</v>
      </c>
      <c r="D27" s="76">
        <f>SUM(D25:D26)</f>
        <v>3428875000</v>
      </c>
      <c r="E27" s="76">
        <f>SUM(E25:E26)</f>
        <v>3586715000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168660000</v>
      </c>
      <c r="D28" s="76">
        <f>+D17</f>
        <v>204301000</v>
      </c>
      <c r="E28" s="76">
        <f>+E17</f>
        <v>144091000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938843000</v>
      </c>
      <c r="D31" s="76">
        <v>1644056000</v>
      </c>
      <c r="E31" s="76">
        <v>1750995000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1025980000</v>
      </c>
      <c r="D32" s="76">
        <v>1866624000</v>
      </c>
      <c r="E32" s="76">
        <v>1991919000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266681000</v>
      </c>
      <c r="D33" s="76">
        <f>+D32-C32</f>
        <v>840644000</v>
      </c>
      <c r="E33" s="76">
        <f>+E32-D32</f>
        <v>125295000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1.3512</v>
      </c>
      <c r="D34" s="193">
        <f>IF(C32=0,0,+D33/C32)</f>
        <v>0.81935710247763116</v>
      </c>
      <c r="E34" s="193">
        <f>IF(D32=0,0,+E33/D32)</f>
        <v>6.7123855688130007E-2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3.0049494986944341</v>
      </c>
      <c r="D38" s="338">
        <f>IF(+D40=0,0,+D39/+D40)</f>
        <v>2.9653532596725967</v>
      </c>
      <c r="E38" s="338">
        <f>IF(+E40=0,0,+E39/+E40)</f>
        <v>2.9362196163702725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1134711000</v>
      </c>
      <c r="D39" s="341">
        <v>1683007000</v>
      </c>
      <c r="E39" s="341">
        <v>1890485000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377614000</v>
      </c>
      <c r="D40" s="341">
        <v>567557000</v>
      </c>
      <c r="E40" s="341">
        <v>643850000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127.13236680110184</v>
      </c>
      <c r="D42" s="343">
        <f>IF((D48/365)=0,0,+D45/(D48/365))</f>
        <v>144.66881307910103</v>
      </c>
      <c r="E42" s="343">
        <f>IF((E48/365)=0,0,+E45/(E48/365))</f>
        <v>151.9338221747301</v>
      </c>
    </row>
    <row r="43" spans="1:14" ht="24" customHeight="1" x14ac:dyDescent="0.2">
      <c r="A43" s="339">
        <v>5</v>
      </c>
      <c r="B43" s="344" t="s">
        <v>16</v>
      </c>
      <c r="C43" s="345">
        <v>46312000</v>
      </c>
      <c r="D43" s="345">
        <v>161059000</v>
      </c>
      <c r="E43" s="345">
        <v>194946000</v>
      </c>
    </row>
    <row r="44" spans="1:14" ht="24" customHeight="1" x14ac:dyDescent="0.2">
      <c r="A44" s="339">
        <v>6</v>
      </c>
      <c r="B44" s="346" t="s">
        <v>17</v>
      </c>
      <c r="C44" s="345">
        <v>709453000</v>
      </c>
      <c r="D44" s="345">
        <v>1040882000</v>
      </c>
      <c r="E44" s="345">
        <v>1160670000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755765000</v>
      </c>
      <c r="D45" s="341">
        <f>+D43+D44</f>
        <v>1201941000</v>
      </c>
      <c r="E45" s="341">
        <f>+E43+E44</f>
        <v>1355616000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2279435000</v>
      </c>
      <c r="D46" s="341">
        <f>+D14</f>
        <v>3224574000</v>
      </c>
      <c r="E46" s="341">
        <f>+E14</f>
        <v>3442624000</v>
      </c>
    </row>
    <row r="47" spans="1:14" ht="24" customHeight="1" x14ac:dyDescent="0.2">
      <c r="A47" s="339">
        <v>9</v>
      </c>
      <c r="B47" s="340" t="s">
        <v>356</v>
      </c>
      <c r="C47" s="341">
        <v>109616000</v>
      </c>
      <c r="D47" s="341">
        <v>192072000</v>
      </c>
      <c r="E47" s="341">
        <v>185944000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2169819000</v>
      </c>
      <c r="D48" s="341">
        <f>+D46-D47</f>
        <v>3032502000</v>
      </c>
      <c r="E48" s="341">
        <f>+E46-E47</f>
        <v>3256680000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37.62739974885973</v>
      </c>
      <c r="D50" s="350">
        <f>IF((D55/365)=0,0,+D54/(D55/365))</f>
        <v>40.893377481832246</v>
      </c>
      <c r="E50" s="350">
        <f>IF((E55/365)=0,0,+E54/(E55/365))</f>
        <v>42.396697669557945</v>
      </c>
    </row>
    <row r="51" spans="1:5" ht="24" customHeight="1" x14ac:dyDescent="0.2">
      <c r="A51" s="339">
        <v>12</v>
      </c>
      <c r="B51" s="344" t="s">
        <v>359</v>
      </c>
      <c r="C51" s="351">
        <v>238901000</v>
      </c>
      <c r="D51" s="351">
        <v>368342000</v>
      </c>
      <c r="E51" s="351">
        <v>405694000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0</v>
      </c>
      <c r="E53" s="341">
        <v>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238901000</v>
      </c>
      <c r="D54" s="352">
        <f>+D51+D52-D53</f>
        <v>368342000</v>
      </c>
      <c r="E54" s="352">
        <f>+E51+E52-E53</f>
        <v>405694000</v>
      </c>
    </row>
    <row r="55" spans="1:5" ht="24" customHeight="1" x14ac:dyDescent="0.2">
      <c r="A55" s="339">
        <v>16</v>
      </c>
      <c r="B55" s="340" t="s">
        <v>75</v>
      </c>
      <c r="C55" s="341">
        <f>+C11</f>
        <v>2317430000</v>
      </c>
      <c r="D55" s="341">
        <f>+D11</f>
        <v>3287692000</v>
      </c>
      <c r="E55" s="341">
        <f>+E11</f>
        <v>3492685000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63.521017190834812</v>
      </c>
      <c r="D57" s="355">
        <f>IF((D61/365)=0,0,+D58/(D61/365))</f>
        <v>68.312668878701487</v>
      </c>
      <c r="E57" s="355">
        <f>IF((E61/365)=0,0,+E58/(E61/365))</f>
        <v>72.160989105469369</v>
      </c>
    </row>
    <row r="58" spans="1:5" ht="24" customHeight="1" x14ac:dyDescent="0.2">
      <c r="A58" s="339">
        <v>18</v>
      </c>
      <c r="B58" s="340" t="s">
        <v>54</v>
      </c>
      <c r="C58" s="353">
        <f>+C40</f>
        <v>377614000</v>
      </c>
      <c r="D58" s="353">
        <f>+D40</f>
        <v>567557000</v>
      </c>
      <c r="E58" s="353">
        <f>+E40</f>
        <v>643850000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2279435000</v>
      </c>
      <c r="D59" s="353">
        <f t="shared" si="0"/>
        <v>3224574000</v>
      </c>
      <c r="E59" s="353">
        <f t="shared" si="0"/>
        <v>3442624000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109616000</v>
      </c>
      <c r="D60" s="356">
        <f t="shared" si="0"/>
        <v>192072000</v>
      </c>
      <c r="E60" s="356">
        <f t="shared" si="0"/>
        <v>185944000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2169819000</v>
      </c>
      <c r="D61" s="353">
        <f>+D59-D60</f>
        <v>3032502000</v>
      </c>
      <c r="E61" s="353">
        <f>+E59-E60</f>
        <v>3256680000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38.266700980556706</v>
      </c>
      <c r="D65" s="357">
        <f>IF(D67=0,0,(D66/D67)*100)</f>
        <v>44.095108709132646</v>
      </c>
      <c r="E65" s="357">
        <f>IF(E67=0,0,(E66/E67)*100)</f>
        <v>44.414860585849588</v>
      </c>
    </row>
    <row r="66" spans="1:5" ht="24" customHeight="1" x14ac:dyDescent="0.2">
      <c r="A66" s="339">
        <v>2</v>
      </c>
      <c r="B66" s="340" t="s">
        <v>67</v>
      </c>
      <c r="C66" s="353">
        <f>+C32</f>
        <v>1025980000</v>
      </c>
      <c r="D66" s="353">
        <f>+D32</f>
        <v>1866624000</v>
      </c>
      <c r="E66" s="353">
        <f>+E32</f>
        <v>1991919000</v>
      </c>
    </row>
    <row r="67" spans="1:5" ht="24" customHeight="1" x14ac:dyDescent="0.2">
      <c r="A67" s="339">
        <v>3</v>
      </c>
      <c r="B67" s="340" t="s">
        <v>43</v>
      </c>
      <c r="C67" s="353">
        <v>2681130000</v>
      </c>
      <c r="D67" s="353">
        <v>4233177000</v>
      </c>
      <c r="E67" s="353">
        <v>4484803000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25.094620198086947</v>
      </c>
      <c r="D69" s="357">
        <f>IF(D75=0,0,(D72/D75)*100)</f>
        <v>25.479312397391212</v>
      </c>
      <c r="E69" s="357">
        <f>IF(E75=0,0,(E72/E75)*100)</f>
        <v>19.915711165917092</v>
      </c>
    </row>
    <row r="70" spans="1:5" ht="24" customHeight="1" x14ac:dyDescent="0.2">
      <c r="A70" s="339">
        <v>5</v>
      </c>
      <c r="B70" s="340" t="s">
        <v>366</v>
      </c>
      <c r="C70" s="353">
        <f>+C28</f>
        <v>168660000</v>
      </c>
      <c r="D70" s="353">
        <f>+D28</f>
        <v>204301000</v>
      </c>
      <c r="E70" s="353">
        <f>+E28</f>
        <v>144091000</v>
      </c>
    </row>
    <row r="71" spans="1:5" ht="24" customHeight="1" x14ac:dyDescent="0.2">
      <c r="A71" s="339">
        <v>6</v>
      </c>
      <c r="B71" s="340" t="s">
        <v>356</v>
      </c>
      <c r="C71" s="356">
        <f>+C47</f>
        <v>109616000</v>
      </c>
      <c r="D71" s="356">
        <f>+D47</f>
        <v>192072000</v>
      </c>
      <c r="E71" s="356">
        <f>+E47</f>
        <v>185944000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278276000</v>
      </c>
      <c r="D72" s="353">
        <f>+D70+D71</f>
        <v>396373000</v>
      </c>
      <c r="E72" s="353">
        <f>+E70+E71</f>
        <v>330035000</v>
      </c>
    </row>
    <row r="73" spans="1:5" ht="24" customHeight="1" x14ac:dyDescent="0.2">
      <c r="A73" s="339">
        <v>8</v>
      </c>
      <c r="B73" s="340" t="s">
        <v>54</v>
      </c>
      <c r="C73" s="341">
        <f>+C40</f>
        <v>377614000</v>
      </c>
      <c r="D73" s="341">
        <f>+D40</f>
        <v>567557000</v>
      </c>
      <c r="E73" s="341">
        <f>+E40</f>
        <v>643850000</v>
      </c>
    </row>
    <row r="74" spans="1:5" ht="24" customHeight="1" x14ac:dyDescent="0.2">
      <c r="A74" s="339">
        <v>9</v>
      </c>
      <c r="B74" s="340" t="s">
        <v>58</v>
      </c>
      <c r="C74" s="353">
        <v>731293000</v>
      </c>
      <c r="D74" s="353">
        <v>988109000</v>
      </c>
      <c r="E74" s="353">
        <v>1013309000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1108907000</v>
      </c>
      <c r="D75" s="341">
        <f>+D73+D74</f>
        <v>1555666000</v>
      </c>
      <c r="E75" s="341">
        <f>+E73+E74</f>
        <v>1657159000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41.615218580152316</v>
      </c>
      <c r="D77" s="359">
        <f>IF(D80=0,0,(D78/D80)*100)</f>
        <v>34.61300934273013</v>
      </c>
      <c r="E77" s="359">
        <f>IF(E80=0,0,(E78/E80)*100)</f>
        <v>33.718207071144022</v>
      </c>
    </row>
    <row r="78" spans="1:5" ht="24" customHeight="1" x14ac:dyDescent="0.2">
      <c r="A78" s="339">
        <v>12</v>
      </c>
      <c r="B78" s="340" t="s">
        <v>58</v>
      </c>
      <c r="C78" s="341">
        <f>+C74</f>
        <v>731293000</v>
      </c>
      <c r="D78" s="341">
        <f>+D74</f>
        <v>988109000</v>
      </c>
      <c r="E78" s="341">
        <f>+E74</f>
        <v>1013309000</v>
      </c>
    </row>
    <row r="79" spans="1:5" ht="24" customHeight="1" x14ac:dyDescent="0.2">
      <c r="A79" s="339">
        <v>13</v>
      </c>
      <c r="B79" s="340" t="s">
        <v>67</v>
      </c>
      <c r="C79" s="341">
        <f>+C32</f>
        <v>1025980000</v>
      </c>
      <c r="D79" s="341">
        <f>+D32</f>
        <v>1866624000</v>
      </c>
      <c r="E79" s="341">
        <f>+E32</f>
        <v>1991919000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1757273000</v>
      </c>
      <c r="D80" s="341">
        <f>+D78+D79</f>
        <v>2854733000</v>
      </c>
      <c r="E80" s="341">
        <f>+E78+E79</f>
        <v>3005228000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FILING&amp;R&amp;8YALE-NEW HAVEN HEALTH SERVICES CORP. (YNHHSC)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267068</v>
      </c>
      <c r="D11" s="376">
        <v>53423</v>
      </c>
      <c r="E11" s="376">
        <v>52001</v>
      </c>
      <c r="F11" s="377">
        <v>820</v>
      </c>
      <c r="G11" s="377">
        <v>898</v>
      </c>
      <c r="H11" s="378">
        <f>IF(F11=0,0,$C11/(F11*365))</f>
        <v>0.89230872034747744</v>
      </c>
      <c r="I11" s="378">
        <f>IF(G11=0,0,$C11/(G11*365))</f>
        <v>0.81480306312353179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39607</v>
      </c>
      <c r="D13" s="376">
        <v>8705</v>
      </c>
      <c r="E13" s="376">
        <v>0</v>
      </c>
      <c r="F13" s="377">
        <v>160</v>
      </c>
      <c r="G13" s="377">
        <v>160</v>
      </c>
      <c r="H13" s="378">
        <f>IF(F13=0,0,$C13/(F13*365))</f>
        <v>0.67820205479452056</v>
      </c>
      <c r="I13" s="378">
        <f>IF(G13=0,0,$C13/(G13*365))</f>
        <v>0.67820205479452056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10811</v>
      </c>
      <c r="D15" s="376">
        <v>1132</v>
      </c>
      <c r="E15" s="376">
        <v>1129</v>
      </c>
      <c r="F15" s="377">
        <v>36</v>
      </c>
      <c r="G15" s="377">
        <v>36</v>
      </c>
      <c r="H15" s="378">
        <f t="shared" ref="H15:I17" si="0">IF(F15=0,0,$C15/(F15*365))</f>
        <v>0.82275494672754945</v>
      </c>
      <c r="I15" s="378">
        <f t="shared" si="0"/>
        <v>0.82275494672754945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35679</v>
      </c>
      <c r="D16" s="376">
        <v>3372</v>
      </c>
      <c r="E16" s="376">
        <v>3399</v>
      </c>
      <c r="F16" s="377">
        <v>98</v>
      </c>
      <c r="G16" s="377">
        <v>100</v>
      </c>
      <c r="H16" s="378">
        <f t="shared" si="0"/>
        <v>0.99745596868884545</v>
      </c>
      <c r="I16" s="378">
        <f t="shared" si="0"/>
        <v>0.97750684931506848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46490</v>
      </c>
      <c r="D17" s="381">
        <f>SUM(D15:D16)</f>
        <v>4504</v>
      </c>
      <c r="E17" s="381">
        <f>SUM(E15:E16)</f>
        <v>4528</v>
      </c>
      <c r="F17" s="381">
        <f>SUM(F15:F16)</f>
        <v>134</v>
      </c>
      <c r="G17" s="381">
        <f>SUM(G15:G16)</f>
        <v>136</v>
      </c>
      <c r="H17" s="382">
        <f t="shared" si="0"/>
        <v>0.95052136577387036</v>
      </c>
      <c r="I17" s="382">
        <f t="shared" si="0"/>
        <v>0.93654311039484284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2277</v>
      </c>
      <c r="D19" s="376">
        <v>193</v>
      </c>
      <c r="E19" s="376">
        <v>254</v>
      </c>
      <c r="F19" s="377">
        <v>18</v>
      </c>
      <c r="G19" s="377">
        <v>18</v>
      </c>
      <c r="H19" s="378">
        <f>IF(F19=0,0,$C19/(F19*365))</f>
        <v>0.34657534246575344</v>
      </c>
      <c r="I19" s="378">
        <f>IF(G19=0,0,$C19/(G19*365))</f>
        <v>0.34657534246575344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19512</v>
      </c>
      <c r="D21" s="376">
        <v>6132</v>
      </c>
      <c r="E21" s="376">
        <v>5132</v>
      </c>
      <c r="F21" s="377">
        <v>67</v>
      </c>
      <c r="G21" s="377">
        <v>75</v>
      </c>
      <c r="H21" s="378">
        <f>IF(F21=0,0,$C21/(F21*365))</f>
        <v>0.79787364547127382</v>
      </c>
      <c r="I21" s="378">
        <f>IF(G21=0,0,$C21/(G21*365))</f>
        <v>0.71276712328767122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12028</v>
      </c>
      <c r="D23" s="376">
        <v>5851</v>
      </c>
      <c r="E23" s="376">
        <v>5222</v>
      </c>
      <c r="F23" s="377">
        <v>53</v>
      </c>
      <c r="G23" s="377">
        <v>53</v>
      </c>
      <c r="H23" s="378">
        <f>IF(F23=0,0,$C23/(F23*365))</f>
        <v>0.6217627293874386</v>
      </c>
      <c r="I23" s="378">
        <f>IF(G23=0,0,$C23/(G23*365))</f>
        <v>0.6217627293874386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17251</v>
      </c>
      <c r="D25" s="376">
        <v>990</v>
      </c>
      <c r="E25" s="376">
        <v>0</v>
      </c>
      <c r="F25" s="377">
        <v>81</v>
      </c>
      <c r="G25" s="377">
        <v>81</v>
      </c>
      <c r="H25" s="378">
        <f>IF(F25=0,0,$C25/(F25*365))</f>
        <v>0.58349399627938436</v>
      </c>
      <c r="I25" s="378">
        <f>IF(G25=0,0,$C25/(G25*365))</f>
        <v>0.58349399627938436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24407</v>
      </c>
      <c r="D27" s="376">
        <v>7359</v>
      </c>
      <c r="E27" s="376">
        <v>7019</v>
      </c>
      <c r="F27" s="377">
        <v>92</v>
      </c>
      <c r="G27" s="377">
        <v>101</v>
      </c>
      <c r="H27" s="378">
        <f>IF(F27=0,0,$C27/(F27*365))</f>
        <v>0.72683144729005356</v>
      </c>
      <c r="I27" s="378">
        <f>IF(G27=0,0,$C27/(G27*365))</f>
        <v>0.66206428862064293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416612</v>
      </c>
      <c r="D31" s="384">
        <f>SUM(D10:D29)-D13-D17-D23</f>
        <v>72601</v>
      </c>
      <c r="E31" s="384">
        <f>SUM(E10:E29)-E17-E23</f>
        <v>68934</v>
      </c>
      <c r="F31" s="384">
        <f>SUM(F10:F29)-F17-F23</f>
        <v>1372</v>
      </c>
      <c r="G31" s="384">
        <f>SUM(G10:G29)-G17-G23</f>
        <v>1469</v>
      </c>
      <c r="H31" s="385">
        <f>IF(F31=0,0,$C31/(F31*365))</f>
        <v>0.83192619513558852</v>
      </c>
      <c r="I31" s="385">
        <f>IF(G31=0,0,$C31/(G31*365))</f>
        <v>0.77699301547040667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428640</v>
      </c>
      <c r="D33" s="384">
        <f>SUM(D10:D29)-D13-D17</f>
        <v>78452</v>
      </c>
      <c r="E33" s="384">
        <f>SUM(E10:E29)-E17</f>
        <v>74156</v>
      </c>
      <c r="F33" s="384">
        <f>SUM(F10:F29)-F17</f>
        <v>1425</v>
      </c>
      <c r="G33" s="384">
        <f>SUM(G10:G29)-G17</f>
        <v>1522</v>
      </c>
      <c r="H33" s="385">
        <f>IF(F33=0,0,$C33/(F33*365))</f>
        <v>0.82410958904109588</v>
      </c>
      <c r="I33" s="385">
        <f>IF(G33=0,0,$C33/(G33*365))</f>
        <v>0.77158749302467911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428640</v>
      </c>
      <c r="D36" s="384">
        <f t="shared" si="1"/>
        <v>78452</v>
      </c>
      <c r="E36" s="384">
        <f t="shared" si="1"/>
        <v>74156</v>
      </c>
      <c r="F36" s="384">
        <f t="shared" si="1"/>
        <v>1425</v>
      </c>
      <c r="G36" s="384">
        <f t="shared" si="1"/>
        <v>1522</v>
      </c>
      <c r="H36" s="387">
        <f t="shared" si="1"/>
        <v>0.82410958904109588</v>
      </c>
      <c r="I36" s="387">
        <f t="shared" si="1"/>
        <v>0.77158749302467911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426515</v>
      </c>
      <c r="D37" s="384">
        <v>78529</v>
      </c>
      <c r="E37" s="384">
        <v>74296</v>
      </c>
      <c r="F37" s="386">
        <v>1426</v>
      </c>
      <c r="G37" s="386">
        <v>1521</v>
      </c>
      <c r="H37" s="385">
        <f>IF(F37=0,0,$C37/(F37*365))</f>
        <v>0.81944898076812234</v>
      </c>
      <c r="I37" s="385">
        <f>IF(G37=0,0,$C37/(G37*365))</f>
        <v>0.76826709176551111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2125</v>
      </c>
      <c r="D38" s="384">
        <f t="shared" si="2"/>
        <v>-77</v>
      </c>
      <c r="E38" s="384">
        <f t="shared" si="2"/>
        <v>-140</v>
      </c>
      <c r="F38" s="384">
        <f t="shared" si="2"/>
        <v>-1</v>
      </c>
      <c r="G38" s="384">
        <f t="shared" si="2"/>
        <v>1</v>
      </c>
      <c r="H38" s="387">
        <f t="shared" si="2"/>
        <v>4.6606082729735432E-3</v>
      </c>
      <c r="I38" s="387">
        <f t="shared" si="2"/>
        <v>3.3204012591679932E-3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4.982239780546991E-3</v>
      </c>
      <c r="D40" s="389">
        <f t="shared" si="3"/>
        <v>-9.8052948592239819E-4</v>
      </c>
      <c r="E40" s="389">
        <f t="shared" si="3"/>
        <v>-1.8843544739959083E-3</v>
      </c>
      <c r="F40" s="389">
        <f t="shared" si="3"/>
        <v>-7.0126227208976155E-4</v>
      </c>
      <c r="G40" s="389">
        <f t="shared" si="3"/>
        <v>6.5746219592373442E-4</v>
      </c>
      <c r="H40" s="389">
        <f t="shared" si="3"/>
        <v>5.6874904751298304E-3</v>
      </c>
      <c r="I40" s="389">
        <f t="shared" si="3"/>
        <v>4.3219360750407351E-3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1541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FILING&amp;RYALE-NEW HAVEN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42206</v>
      </c>
      <c r="D12" s="409">
        <v>43743</v>
      </c>
      <c r="E12" s="409">
        <f>+D12-C12</f>
        <v>1537</v>
      </c>
      <c r="F12" s="410">
        <f>IF(C12=0,0,+E12/C12)</f>
        <v>3.6416623228924798E-2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53887</v>
      </c>
      <c r="D13" s="409">
        <v>48811</v>
      </c>
      <c r="E13" s="409">
        <f>+D13-C13</f>
        <v>-5076</v>
      </c>
      <c r="F13" s="410">
        <f>IF(C13=0,0,+E13/C13)</f>
        <v>-9.4197116187577715E-2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21924</v>
      </c>
      <c r="D14" s="409">
        <v>23183</v>
      </c>
      <c r="E14" s="409">
        <f>+D14-C14</f>
        <v>1259</v>
      </c>
      <c r="F14" s="410">
        <f>IF(C14=0,0,+E14/C14)</f>
        <v>5.7425652253238459E-2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118017</v>
      </c>
      <c r="D16" s="401">
        <f>SUM(D12:D15)</f>
        <v>115737</v>
      </c>
      <c r="E16" s="401">
        <f>+D16-C16</f>
        <v>-2280</v>
      </c>
      <c r="F16" s="402">
        <f>IF(C16=0,0,+E16/C16)</f>
        <v>-1.9319250616436617E-2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11676</v>
      </c>
      <c r="D19" s="409">
        <v>12562</v>
      </c>
      <c r="E19" s="409">
        <f>+D19-C19</f>
        <v>886</v>
      </c>
      <c r="F19" s="410">
        <f>IF(C19=0,0,+E19/C19)</f>
        <v>7.5882151421719765E-2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37688</v>
      </c>
      <c r="D20" s="409">
        <v>38954</v>
      </c>
      <c r="E20" s="409">
        <f>+D20-C20</f>
        <v>1266</v>
      </c>
      <c r="F20" s="410">
        <f>IF(C20=0,0,+E20/C20)</f>
        <v>3.3591594141371257E-2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1028</v>
      </c>
      <c r="D21" s="409">
        <v>1126</v>
      </c>
      <c r="E21" s="409">
        <f>+D21-C21</f>
        <v>98</v>
      </c>
      <c r="F21" s="410">
        <f>IF(C21=0,0,+E21/C21)</f>
        <v>9.5330739299610889E-2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50392</v>
      </c>
      <c r="D23" s="401">
        <f>SUM(D19:D22)</f>
        <v>52642</v>
      </c>
      <c r="E23" s="401">
        <f>+D23-C23</f>
        <v>2250</v>
      </c>
      <c r="F23" s="402">
        <f>IF(C23=0,0,+E23/C23)</f>
        <v>4.46499444356247E-2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119</v>
      </c>
      <c r="D26" s="409">
        <v>134</v>
      </c>
      <c r="E26" s="409">
        <f>+D26-C26</f>
        <v>15</v>
      </c>
      <c r="F26" s="410">
        <f>IF(C26=0,0,+E26/C26)</f>
        <v>0.12605042016806722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625</v>
      </c>
      <c r="D27" s="409">
        <v>697</v>
      </c>
      <c r="E27" s="409">
        <f>+D27-C27</f>
        <v>72</v>
      </c>
      <c r="F27" s="410">
        <f>IF(C27=0,0,+E27/C27)</f>
        <v>0.1152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1</v>
      </c>
      <c r="E28" s="409">
        <f>+D28-C28</f>
        <v>1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744</v>
      </c>
      <c r="D30" s="401">
        <f>SUM(D26:D29)</f>
        <v>832</v>
      </c>
      <c r="E30" s="401">
        <f>+D30-C30</f>
        <v>88</v>
      </c>
      <c r="F30" s="402">
        <f>IF(C30=0,0,+E30/C30)</f>
        <v>0.11827956989247312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218</v>
      </c>
      <c r="D33" s="409">
        <v>109</v>
      </c>
      <c r="E33" s="409">
        <f>+D33-C33</f>
        <v>-109</v>
      </c>
      <c r="F33" s="410">
        <f>IF(C33=0,0,+E33/C33)</f>
        <v>-0.5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3245</v>
      </c>
      <c r="D34" s="409">
        <v>3371</v>
      </c>
      <c r="E34" s="409">
        <f>+D34-C34</f>
        <v>126</v>
      </c>
      <c r="F34" s="410">
        <f>IF(C34=0,0,+E34/C34)</f>
        <v>3.8828967642526961E-2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2</v>
      </c>
      <c r="D35" s="409">
        <v>4</v>
      </c>
      <c r="E35" s="409">
        <f>+D35-C35</f>
        <v>2</v>
      </c>
      <c r="F35" s="410">
        <f>IF(C35=0,0,+E35/C35)</f>
        <v>1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3465</v>
      </c>
      <c r="D37" s="401">
        <f>SUM(D33:D36)</f>
        <v>3484</v>
      </c>
      <c r="E37" s="401">
        <f>+D37-C37</f>
        <v>19</v>
      </c>
      <c r="F37" s="402">
        <f>IF(C37=0,0,+E37/C37)</f>
        <v>5.4834054834054834E-3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1335</v>
      </c>
      <c r="D43" s="409">
        <v>2501</v>
      </c>
      <c r="E43" s="409">
        <f>+D43-C43</f>
        <v>1166</v>
      </c>
      <c r="F43" s="410">
        <f>IF(C43=0,0,+E43/C43)</f>
        <v>0.87340823970037451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47831</v>
      </c>
      <c r="D44" s="409">
        <v>43711</v>
      </c>
      <c r="E44" s="409">
        <f>+D44-C44</f>
        <v>-4120</v>
      </c>
      <c r="F44" s="410">
        <f>IF(C44=0,0,+E44/C44)</f>
        <v>-8.6136605966841584E-2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49166</v>
      </c>
      <c r="D45" s="401">
        <f>SUM(D43:D44)</f>
        <v>46212</v>
      </c>
      <c r="E45" s="401">
        <f>+D45-C45</f>
        <v>-2954</v>
      </c>
      <c r="F45" s="402">
        <f>IF(C45=0,0,+E45/C45)</f>
        <v>-6.0082170605703131E-2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2521</v>
      </c>
      <c r="D48" s="409">
        <v>2351</v>
      </c>
      <c r="E48" s="409">
        <f>+D48-C48</f>
        <v>-170</v>
      </c>
      <c r="F48" s="410">
        <f>IF(C48=0,0,+E48/C48)</f>
        <v>-6.7433558111860373E-2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1748</v>
      </c>
      <c r="D49" s="409">
        <v>1891</v>
      </c>
      <c r="E49" s="409">
        <f>+D49-C49</f>
        <v>143</v>
      </c>
      <c r="F49" s="410">
        <f>IF(C49=0,0,+E49/C49)</f>
        <v>8.1807780320366133E-2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4269</v>
      </c>
      <c r="D50" s="401">
        <f>SUM(D48:D49)</f>
        <v>4242</v>
      </c>
      <c r="E50" s="401">
        <f>+D50-C50</f>
        <v>-27</v>
      </c>
      <c r="F50" s="402">
        <f>IF(C50=0,0,+E50/C50)</f>
        <v>-6.3246661981728744E-3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627</v>
      </c>
      <c r="D53" s="409">
        <v>678</v>
      </c>
      <c r="E53" s="409">
        <f>+D53-C53</f>
        <v>51</v>
      </c>
      <c r="F53" s="410">
        <f>IF(C53=0,0,+E53/C53)</f>
        <v>8.1339712918660281E-2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929</v>
      </c>
      <c r="D54" s="409">
        <v>907</v>
      </c>
      <c r="E54" s="409">
        <f>+D54-C54</f>
        <v>-22</v>
      </c>
      <c r="F54" s="410">
        <f>IF(C54=0,0,+E54/C54)</f>
        <v>-2.3681377825618945E-2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1556</v>
      </c>
      <c r="D55" s="401">
        <f>SUM(D53:D54)</f>
        <v>1585</v>
      </c>
      <c r="E55" s="401">
        <f>+D55-C55</f>
        <v>29</v>
      </c>
      <c r="F55" s="402">
        <f>IF(C55=0,0,+E55/C55)</f>
        <v>1.8637532133676093E-2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932</v>
      </c>
      <c r="D58" s="409">
        <v>871</v>
      </c>
      <c r="E58" s="409">
        <f>+D58-C58</f>
        <v>-61</v>
      </c>
      <c r="F58" s="410">
        <f>IF(C58=0,0,+E58/C58)</f>
        <v>-6.5450643776824038E-2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626</v>
      </c>
      <c r="D59" s="409">
        <v>869</v>
      </c>
      <c r="E59" s="409">
        <f>+D59-C59</f>
        <v>243</v>
      </c>
      <c r="F59" s="410">
        <f>IF(C59=0,0,+E59/C59)</f>
        <v>0.38817891373801916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1558</v>
      </c>
      <c r="D60" s="401">
        <f>SUM(D58:D59)</f>
        <v>1740</v>
      </c>
      <c r="E60" s="401">
        <f>SUM(E58:E59)</f>
        <v>182</v>
      </c>
      <c r="F60" s="402">
        <f>IF(C60=0,0,+E60/C60)</f>
        <v>0.11681643132220795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20029</v>
      </c>
      <c r="D63" s="409">
        <v>19638</v>
      </c>
      <c r="E63" s="409">
        <f>+D63-C63</f>
        <v>-391</v>
      </c>
      <c r="F63" s="410">
        <f>IF(C63=0,0,+E63/C63)</f>
        <v>-1.9521693544360678E-2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30887</v>
      </c>
      <c r="D64" s="409">
        <v>28722</v>
      </c>
      <c r="E64" s="409">
        <f>+D64-C64</f>
        <v>-2165</v>
      </c>
      <c r="F64" s="410">
        <f>IF(C64=0,0,+E64/C64)</f>
        <v>-7.0094214394405413E-2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50916</v>
      </c>
      <c r="D65" s="401">
        <f>SUM(D63:D64)</f>
        <v>48360</v>
      </c>
      <c r="E65" s="401">
        <f>+D65-C65</f>
        <v>-2556</v>
      </c>
      <c r="F65" s="402">
        <f>IF(C65=0,0,+E65/C65)</f>
        <v>-5.0200329955220363E-2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887</v>
      </c>
      <c r="D68" s="409">
        <v>807</v>
      </c>
      <c r="E68" s="409">
        <f>+D68-C68</f>
        <v>-80</v>
      </c>
      <c r="F68" s="410">
        <f>IF(C68=0,0,+E68/C68)</f>
        <v>-9.0191657271702363E-2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7405</v>
      </c>
      <c r="D69" s="409">
        <v>7236</v>
      </c>
      <c r="E69" s="409">
        <f>+D69-C69</f>
        <v>-169</v>
      </c>
      <c r="F69" s="412">
        <f>IF(C69=0,0,+E69/C69)</f>
        <v>-2.2822417285617826E-2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8292</v>
      </c>
      <c r="D70" s="401">
        <f>SUM(D68:D69)</f>
        <v>8043</v>
      </c>
      <c r="E70" s="401">
        <f>+D70-C70</f>
        <v>-249</v>
      </c>
      <c r="F70" s="402">
        <f>IF(C70=0,0,+E70/C70)</f>
        <v>-3.0028943560057888E-2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54292</v>
      </c>
      <c r="D73" s="376">
        <v>54844</v>
      </c>
      <c r="E73" s="409">
        <f>+D73-C73</f>
        <v>552</v>
      </c>
      <c r="F73" s="410">
        <f>IF(C73=0,0,+E73/C73)</f>
        <v>1.0167243792823988E-2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142520</v>
      </c>
      <c r="D74" s="376">
        <v>152499</v>
      </c>
      <c r="E74" s="409">
        <f>+D74-C74</f>
        <v>9979</v>
      </c>
      <c r="F74" s="410">
        <f>IF(C74=0,0,+E74/C74)</f>
        <v>7.0018243053606516E-2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196812</v>
      </c>
      <c r="D75" s="401">
        <f>SUM(D73:D74)</f>
        <v>207343</v>
      </c>
      <c r="E75" s="401">
        <f>SUM(E73:E74)</f>
        <v>10531</v>
      </c>
      <c r="F75" s="402">
        <f>IF(C75=0,0,+E75/C75)</f>
        <v>5.350791618397252E-2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32785</v>
      </c>
      <c r="D80" s="376">
        <v>36026</v>
      </c>
      <c r="E80" s="409">
        <f t="shared" si="0"/>
        <v>3241</v>
      </c>
      <c r="F80" s="410">
        <f t="shared" si="1"/>
        <v>9.8856184230593253E-2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1028</v>
      </c>
      <c r="D81" s="376">
        <v>806</v>
      </c>
      <c r="E81" s="409">
        <f t="shared" si="0"/>
        <v>-222</v>
      </c>
      <c r="F81" s="410">
        <f t="shared" si="1"/>
        <v>-0.21595330739299612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37631</v>
      </c>
      <c r="D83" s="376">
        <v>30869</v>
      </c>
      <c r="E83" s="409">
        <f t="shared" si="0"/>
        <v>-6762</v>
      </c>
      <c r="F83" s="410">
        <f t="shared" si="1"/>
        <v>-0.17969227498604873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12478</v>
      </c>
      <c r="D84" s="376">
        <v>12243</v>
      </c>
      <c r="E84" s="409">
        <f t="shared" si="0"/>
        <v>-235</v>
      </c>
      <c r="F84" s="410">
        <f t="shared" si="1"/>
        <v>-1.8833146337554094E-2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42079</v>
      </c>
      <c r="D86" s="376">
        <v>47633</v>
      </c>
      <c r="E86" s="409">
        <f t="shared" si="0"/>
        <v>5554</v>
      </c>
      <c r="F86" s="410">
        <f t="shared" si="1"/>
        <v>0.13198982865562395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55765</v>
      </c>
      <c r="D88" s="376">
        <v>57624</v>
      </c>
      <c r="E88" s="409">
        <f t="shared" si="0"/>
        <v>1859</v>
      </c>
      <c r="F88" s="410">
        <f t="shared" si="1"/>
        <v>3.3336322065811892E-2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2436</v>
      </c>
      <c r="D89" s="376">
        <v>2344</v>
      </c>
      <c r="E89" s="409">
        <f t="shared" si="0"/>
        <v>-92</v>
      </c>
      <c r="F89" s="410">
        <f t="shared" si="1"/>
        <v>-3.7766830870279149E-2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4107</v>
      </c>
      <c r="D90" s="376">
        <v>3998</v>
      </c>
      <c r="E90" s="409">
        <f t="shared" si="0"/>
        <v>-109</v>
      </c>
      <c r="F90" s="410">
        <f t="shared" si="1"/>
        <v>-2.6540053567080595E-2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270971</v>
      </c>
      <c r="D91" s="376">
        <v>295584</v>
      </c>
      <c r="E91" s="409">
        <f t="shared" si="0"/>
        <v>24613</v>
      </c>
      <c r="F91" s="410">
        <f t="shared" si="1"/>
        <v>9.0832598322329691E-2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459280</v>
      </c>
      <c r="D92" s="381">
        <f>SUM(D79:D91)</f>
        <v>487127</v>
      </c>
      <c r="E92" s="401">
        <f t="shared" si="0"/>
        <v>27847</v>
      </c>
      <c r="F92" s="402">
        <f t="shared" si="1"/>
        <v>6.0631858561226271E-2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19282</v>
      </c>
      <c r="D95" s="414">
        <v>98699</v>
      </c>
      <c r="E95" s="415">
        <f t="shared" ref="E95:E100" si="2">+D95-C95</f>
        <v>79417</v>
      </c>
      <c r="F95" s="412">
        <f t="shared" ref="F95:F100" si="3">IF(C95=0,0,+E95/C95)</f>
        <v>4.118711751892957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10398</v>
      </c>
      <c r="D96" s="414">
        <v>9844</v>
      </c>
      <c r="E96" s="409">
        <f t="shared" si="2"/>
        <v>-554</v>
      </c>
      <c r="F96" s="410">
        <f t="shared" si="3"/>
        <v>-5.3279476822465859E-2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91585</v>
      </c>
      <c r="D97" s="414">
        <v>106160</v>
      </c>
      <c r="E97" s="409">
        <f t="shared" si="2"/>
        <v>14575</v>
      </c>
      <c r="F97" s="410">
        <f t="shared" si="3"/>
        <v>0.15914178085931102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17156</v>
      </c>
      <c r="D98" s="414">
        <v>16576</v>
      </c>
      <c r="E98" s="409">
        <f t="shared" si="2"/>
        <v>-580</v>
      </c>
      <c r="F98" s="410">
        <f t="shared" si="3"/>
        <v>-3.38074143156913E-2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447184</v>
      </c>
      <c r="D99" s="414">
        <v>411634</v>
      </c>
      <c r="E99" s="409">
        <f t="shared" si="2"/>
        <v>-35550</v>
      </c>
      <c r="F99" s="410">
        <f t="shared" si="3"/>
        <v>-7.9497477548391718E-2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585605</v>
      </c>
      <c r="D100" s="381">
        <f>SUM(D95:D99)</f>
        <v>642913</v>
      </c>
      <c r="E100" s="401">
        <f t="shared" si="2"/>
        <v>57308</v>
      </c>
      <c r="F100" s="402">
        <f t="shared" si="3"/>
        <v>9.7861186294515928E-2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4684.2</v>
      </c>
      <c r="D104" s="416">
        <v>4892</v>
      </c>
      <c r="E104" s="417">
        <f>+D104-C104</f>
        <v>207.80000000000018</v>
      </c>
      <c r="F104" s="410">
        <f>IF(C104=0,0,+E104/C104)</f>
        <v>4.4361897442466207E-2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0</v>
      </c>
      <c r="D105" s="416">
        <v>0</v>
      </c>
      <c r="E105" s="417">
        <f>+D105-C105</f>
        <v>0</v>
      </c>
      <c r="F105" s="410">
        <f>IF(C105=0,0,+E105/C105)</f>
        <v>0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6194.4</v>
      </c>
      <c r="D106" s="416">
        <v>5801.5</v>
      </c>
      <c r="E106" s="417">
        <f>+D106-C106</f>
        <v>-392.89999999999964</v>
      </c>
      <c r="F106" s="410">
        <f>IF(C106=0,0,+E106/C106)</f>
        <v>-6.34282577812217E-2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10878.599999999999</v>
      </c>
      <c r="D107" s="418">
        <f>SUM(D104:D106)</f>
        <v>10693.5</v>
      </c>
      <c r="E107" s="418">
        <f>+D107-C107</f>
        <v>-185.09999999999854</v>
      </c>
      <c r="F107" s="402">
        <f>IF(C107=0,0,+E107/C107)</f>
        <v>-1.7015057084551189E-2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FILING&amp;RYALE-NEW HAVEN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5697</v>
      </c>
      <c r="D12" s="409">
        <v>4900</v>
      </c>
      <c r="E12" s="409">
        <f>+D12-C12</f>
        <v>-797</v>
      </c>
      <c r="F12" s="410">
        <f>IF(C12=0,0,+E12/C12)</f>
        <v>-0.13989819203089346</v>
      </c>
    </row>
    <row r="13" spans="1:6" ht="15.75" customHeight="1" x14ac:dyDescent="0.2">
      <c r="A13" s="374">
        <v>2</v>
      </c>
      <c r="B13" s="408" t="s">
        <v>622</v>
      </c>
      <c r="C13" s="409">
        <v>7814</v>
      </c>
      <c r="D13" s="409">
        <v>6730</v>
      </c>
      <c r="E13" s="409">
        <f>+D13-C13</f>
        <v>-1084</v>
      </c>
      <c r="F13" s="410">
        <f>IF(C13=0,0,+E13/C13)</f>
        <v>-0.13872536472997185</v>
      </c>
    </row>
    <row r="14" spans="1:6" ht="15.75" customHeight="1" x14ac:dyDescent="0.2">
      <c r="A14" s="374">
        <v>3</v>
      </c>
      <c r="B14" s="408" t="s">
        <v>623</v>
      </c>
      <c r="C14" s="409">
        <v>17376</v>
      </c>
      <c r="D14" s="409">
        <v>17092</v>
      </c>
      <c r="E14" s="409">
        <f>+D14-C14</f>
        <v>-284</v>
      </c>
      <c r="F14" s="410">
        <f>IF(C14=0,0,+E14/C14)</f>
        <v>-1.6344383057090239E-2</v>
      </c>
    </row>
    <row r="15" spans="1:6" ht="15.75" customHeight="1" x14ac:dyDescent="0.25">
      <c r="A15" s="374"/>
      <c r="B15" s="399" t="s">
        <v>624</v>
      </c>
      <c r="C15" s="401">
        <f>SUM(C11:C14)</f>
        <v>30887</v>
      </c>
      <c r="D15" s="401">
        <f>SUM(D11:D14)</f>
        <v>28722</v>
      </c>
      <c r="E15" s="401">
        <f>+D15-C15</f>
        <v>-2165</v>
      </c>
      <c r="F15" s="402">
        <f>IF(C15=0,0,+E15/C15)</f>
        <v>-7.0094214394405413E-2</v>
      </c>
    </row>
    <row r="16" spans="1:6" ht="15.75" customHeight="1" x14ac:dyDescent="0.25">
      <c r="A16" s="136"/>
      <c r="B16" s="399"/>
      <c r="C16" s="401"/>
      <c r="D16" s="401"/>
      <c r="E16" s="401"/>
      <c r="F16" s="402"/>
    </row>
    <row r="17" spans="1:6" ht="15.75" customHeight="1" x14ac:dyDescent="0.25">
      <c r="A17" s="136" t="s">
        <v>26</v>
      </c>
      <c r="B17" s="406" t="s">
        <v>588</v>
      </c>
      <c r="C17" s="409"/>
      <c r="D17" s="409"/>
      <c r="E17" s="409"/>
      <c r="F17" s="410"/>
    </row>
    <row r="18" spans="1:6" ht="15.75" customHeight="1" x14ac:dyDescent="0.2">
      <c r="A18" s="374">
        <v>1</v>
      </c>
      <c r="B18" s="408" t="s">
        <v>621</v>
      </c>
      <c r="C18" s="409">
        <v>3788</v>
      </c>
      <c r="D18" s="409">
        <v>3619</v>
      </c>
      <c r="E18" s="409">
        <f>+D18-C18</f>
        <v>-169</v>
      </c>
      <c r="F18" s="410">
        <f>IF(C18=0,0,+E18/C18)</f>
        <v>-4.4614572333685321E-2</v>
      </c>
    </row>
    <row r="19" spans="1:6" ht="15.75" customHeight="1" x14ac:dyDescent="0.2">
      <c r="A19" s="374">
        <v>2</v>
      </c>
      <c r="B19" s="408" t="s">
        <v>622</v>
      </c>
      <c r="C19" s="409">
        <v>2172</v>
      </c>
      <c r="D19" s="409">
        <v>2386</v>
      </c>
      <c r="E19" s="409">
        <f>+D19-C19</f>
        <v>214</v>
      </c>
      <c r="F19" s="410">
        <f>IF(C19=0,0,+E19/C19)</f>
        <v>9.8526703499079188E-2</v>
      </c>
    </row>
    <row r="20" spans="1:6" ht="15.75" customHeight="1" x14ac:dyDescent="0.2">
      <c r="A20" s="374">
        <v>3</v>
      </c>
      <c r="B20" s="408" t="s">
        <v>623</v>
      </c>
      <c r="C20" s="409">
        <v>1445</v>
      </c>
      <c r="D20" s="409">
        <v>1231</v>
      </c>
      <c r="E20" s="409">
        <f>+D20-C20</f>
        <v>-214</v>
      </c>
      <c r="F20" s="410">
        <f>IF(C20=0,0,+E20/C20)</f>
        <v>-0.14809688581314878</v>
      </c>
    </row>
    <row r="21" spans="1:6" ht="15.75" customHeight="1" x14ac:dyDescent="0.25">
      <c r="A21" s="374"/>
      <c r="B21" s="399" t="s">
        <v>625</v>
      </c>
      <c r="C21" s="401">
        <f>SUM(C17:C20)</f>
        <v>7405</v>
      </c>
      <c r="D21" s="401">
        <f>SUM(D17:D20)</f>
        <v>7236</v>
      </c>
      <c r="E21" s="401">
        <f>+D21-C21</f>
        <v>-169</v>
      </c>
      <c r="F21" s="402">
        <f>IF(C21=0,0,+E21/C21)</f>
        <v>-2.2822417285617826E-2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A23" s="136" t="s">
        <v>36</v>
      </c>
      <c r="B23" s="406" t="s">
        <v>626</v>
      </c>
      <c r="C23" s="409"/>
      <c r="D23" s="409"/>
      <c r="E23" s="409"/>
      <c r="F23" s="410"/>
    </row>
    <row r="24" spans="1:6" ht="15.75" customHeight="1" x14ac:dyDescent="0.2">
      <c r="A24" s="374">
        <v>1</v>
      </c>
      <c r="B24" s="408" t="s">
        <v>627</v>
      </c>
      <c r="C24" s="409">
        <v>0</v>
      </c>
      <c r="D24" s="409">
        <v>0</v>
      </c>
      <c r="E24" s="409">
        <f>+D24-C24</f>
        <v>0</v>
      </c>
      <c r="F24" s="410">
        <f>IF(C24=0,0,+E24/C24)</f>
        <v>0</v>
      </c>
    </row>
    <row r="25" spans="1:6" ht="15.75" customHeight="1" x14ac:dyDescent="0.2">
      <c r="A25" s="374">
        <v>2</v>
      </c>
      <c r="B25" s="408" t="s">
        <v>628</v>
      </c>
      <c r="C25" s="409">
        <v>19526</v>
      </c>
      <c r="D25" s="409">
        <v>20253</v>
      </c>
      <c r="E25" s="409">
        <f>+D25-C25</f>
        <v>727</v>
      </c>
      <c r="F25" s="410">
        <f>IF(C25=0,0,+E25/C25)</f>
        <v>3.7232408071289566E-2</v>
      </c>
    </row>
    <row r="26" spans="1:6" ht="15.75" customHeight="1" x14ac:dyDescent="0.2">
      <c r="A26" s="374">
        <v>3</v>
      </c>
      <c r="B26" s="408" t="s">
        <v>622</v>
      </c>
      <c r="C26" s="409">
        <v>38110</v>
      </c>
      <c r="D26" s="409">
        <v>39266</v>
      </c>
      <c r="E26" s="409">
        <f>+D26-C26</f>
        <v>1156</v>
      </c>
      <c r="F26" s="410">
        <f>IF(C26=0,0,+E26/C26)</f>
        <v>3.0333245867226449E-2</v>
      </c>
    </row>
    <row r="27" spans="1:6" ht="15.75" customHeight="1" x14ac:dyDescent="0.2">
      <c r="A27" s="374">
        <v>4</v>
      </c>
      <c r="B27" s="408" t="s">
        <v>623</v>
      </c>
      <c r="C27" s="409">
        <v>84884</v>
      </c>
      <c r="D27" s="409">
        <v>92980</v>
      </c>
      <c r="E27" s="409">
        <f>+D27-C27</f>
        <v>8096</v>
      </c>
      <c r="F27" s="410">
        <f>IF(C27=0,0,+E27/C27)</f>
        <v>9.5377220677630645E-2</v>
      </c>
    </row>
    <row r="28" spans="1:6" ht="15.75" customHeight="1" x14ac:dyDescent="0.25">
      <c r="A28" s="374"/>
      <c r="B28" s="399" t="s">
        <v>629</v>
      </c>
      <c r="C28" s="401">
        <f>SUM(C23:C27)</f>
        <v>142520</v>
      </c>
      <c r="D28" s="401">
        <f>SUM(D23:D27)</f>
        <v>152499</v>
      </c>
      <c r="E28" s="401">
        <f>+D28-C28</f>
        <v>9979</v>
      </c>
      <c r="F28" s="402">
        <f>IF(C28=0,0,+E28/C28)</f>
        <v>7.0018243053606516E-2</v>
      </c>
    </row>
    <row r="29" spans="1:6" ht="15.75" customHeight="1" x14ac:dyDescent="0.25">
      <c r="A29" s="136"/>
      <c r="B29" s="399"/>
      <c r="C29" s="401"/>
      <c r="D29" s="401"/>
      <c r="E29" s="401"/>
      <c r="F29" s="402"/>
    </row>
    <row r="30" spans="1:6" ht="15.75" customHeight="1" x14ac:dyDescent="0.25">
      <c r="B30" s="813" t="s">
        <v>630</v>
      </c>
      <c r="C30" s="814"/>
      <c r="D30" s="814"/>
      <c r="E30" s="814"/>
      <c r="F30" s="815"/>
    </row>
    <row r="31" spans="1:6" ht="15.75" customHeight="1" x14ac:dyDescent="0.25">
      <c r="A31" s="392"/>
    </row>
    <row r="32" spans="1:6" ht="15.75" customHeight="1" x14ac:dyDescent="0.25">
      <c r="B32" s="813" t="s">
        <v>631</v>
      </c>
      <c r="C32" s="814"/>
      <c r="D32" s="814"/>
      <c r="E32" s="814"/>
      <c r="F32" s="815"/>
    </row>
    <row r="33" spans="1:6" ht="15.75" customHeight="1" x14ac:dyDescent="0.25">
      <c r="A33" s="392"/>
    </row>
    <row r="34" spans="1:6" ht="15.75" customHeight="1" x14ac:dyDescent="0.25">
      <c r="B34" s="813" t="s">
        <v>632</v>
      </c>
      <c r="C34" s="814"/>
      <c r="D34" s="814"/>
      <c r="E34" s="814"/>
      <c r="F34" s="815"/>
    </row>
    <row r="35" spans="1:6" ht="15.75" customHeight="1" x14ac:dyDescent="0.25">
      <c r="A35" s="392"/>
    </row>
  </sheetData>
  <mergeCells count="7">
    <mergeCell ref="B34:F34"/>
    <mergeCell ref="A1:F1"/>
    <mergeCell ref="A2:F2"/>
    <mergeCell ref="A3:F3"/>
    <mergeCell ref="A4:F4"/>
    <mergeCell ref="B30:F30"/>
    <mergeCell ref="B32:F32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FILING&amp;RYALE-NEW HAVEN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633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634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635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636</v>
      </c>
      <c r="D7" s="426" t="s">
        <v>636</v>
      </c>
      <c r="E7" s="426" t="s">
        <v>637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638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639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640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641</v>
      </c>
      <c r="C15" s="448">
        <v>1970435186</v>
      </c>
      <c r="D15" s="448">
        <v>1964467554</v>
      </c>
      <c r="E15" s="448">
        <f t="shared" ref="E15:E24" si="0">D15-C15</f>
        <v>-5967632</v>
      </c>
      <c r="F15" s="449">
        <f t="shared" ref="F15:F24" si="1">IF(C15=0,0,E15/C15)</f>
        <v>-3.0285857877489202E-3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642</v>
      </c>
      <c r="C16" s="448">
        <v>563117456</v>
      </c>
      <c r="D16" s="448">
        <v>627427757</v>
      </c>
      <c r="E16" s="448">
        <f t="shared" si="0"/>
        <v>64310301</v>
      </c>
      <c r="F16" s="449">
        <f t="shared" si="1"/>
        <v>0.11420406225162376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643</v>
      </c>
      <c r="C17" s="453">
        <f>IF(C15=0,0,C16/C15)</f>
        <v>0.28578329295018995</v>
      </c>
      <c r="D17" s="453">
        <f>IF(LN_IA1=0,0,LN_IA2/LN_IA1)</f>
        <v>0.31938820049353689</v>
      </c>
      <c r="E17" s="454">
        <f t="shared" si="0"/>
        <v>3.360490754334694E-2</v>
      </c>
      <c r="F17" s="449">
        <f t="shared" si="1"/>
        <v>0.11758877573436052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28246</v>
      </c>
      <c r="D18" s="456">
        <v>28079</v>
      </c>
      <c r="E18" s="456">
        <f t="shared" si="0"/>
        <v>-167</v>
      </c>
      <c r="F18" s="449">
        <f t="shared" si="1"/>
        <v>-5.9123415704878564E-3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644</v>
      </c>
      <c r="C19" s="459">
        <v>1.7915000000000001</v>
      </c>
      <c r="D19" s="459">
        <v>1.81</v>
      </c>
      <c r="E19" s="460">
        <f t="shared" si="0"/>
        <v>1.8499999999999961E-2</v>
      </c>
      <c r="F19" s="449">
        <f t="shared" si="1"/>
        <v>1.0326542003907318E-2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645</v>
      </c>
      <c r="C20" s="463">
        <f>C18*C19</f>
        <v>50602.709000000003</v>
      </c>
      <c r="D20" s="463">
        <f>LN_IA4*LN_IA5</f>
        <v>50822.99</v>
      </c>
      <c r="E20" s="463">
        <f t="shared" si="0"/>
        <v>220.2809999999954</v>
      </c>
      <c r="F20" s="449">
        <f t="shared" si="1"/>
        <v>4.3531463898503018E-3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646</v>
      </c>
      <c r="C21" s="465">
        <f>IF(C20=0,0,C16/C20)</f>
        <v>11128.207701291249</v>
      </c>
      <c r="D21" s="465">
        <f>IF(LN_IA6=0,0,LN_IA2/LN_IA6)</f>
        <v>12345.353097092478</v>
      </c>
      <c r="E21" s="465">
        <f t="shared" si="0"/>
        <v>1217.1453958012298</v>
      </c>
      <c r="F21" s="449">
        <f t="shared" si="1"/>
        <v>0.1093747913835217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181722</v>
      </c>
      <c r="D22" s="456">
        <v>179809</v>
      </c>
      <c r="E22" s="456">
        <f t="shared" si="0"/>
        <v>-1913</v>
      </c>
      <c r="F22" s="449">
        <f t="shared" si="1"/>
        <v>-1.0527068819405466E-2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647</v>
      </c>
      <c r="C23" s="465">
        <f>IF(C22=0,0,C16/C22)</f>
        <v>3098.7852654053995</v>
      </c>
      <c r="D23" s="465">
        <f>IF(LN_IA8=0,0,LN_IA2/LN_IA8)</f>
        <v>3489.4124153963371</v>
      </c>
      <c r="E23" s="465">
        <f t="shared" si="0"/>
        <v>390.6271499909376</v>
      </c>
      <c r="F23" s="449">
        <f t="shared" si="1"/>
        <v>0.12605815393272618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648</v>
      </c>
      <c r="C24" s="466">
        <f>IF(C18=0,0,C22/C18)</f>
        <v>6.4335481130071512</v>
      </c>
      <c r="D24" s="466">
        <f>IF(LN_IA4=0,0,LN_IA8/LN_IA4)</f>
        <v>6.4036824673243347</v>
      </c>
      <c r="E24" s="466">
        <f t="shared" si="0"/>
        <v>-2.9865645682816577E-2</v>
      </c>
      <c r="F24" s="449">
        <f t="shared" si="1"/>
        <v>-4.6421733634718805E-3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649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650</v>
      </c>
      <c r="C27" s="448">
        <v>1435862697</v>
      </c>
      <c r="D27" s="448">
        <v>1566403285</v>
      </c>
      <c r="E27" s="448">
        <f t="shared" ref="E27:E32" si="2">D27-C27</f>
        <v>130540588</v>
      </c>
      <c r="F27" s="449">
        <f t="shared" ref="F27:F32" si="3">IF(C27=0,0,E27/C27)</f>
        <v>9.0914394720848432E-2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651</v>
      </c>
      <c r="C28" s="448">
        <v>214103595</v>
      </c>
      <c r="D28" s="448">
        <v>248796075</v>
      </c>
      <c r="E28" s="448">
        <f t="shared" si="2"/>
        <v>34692480</v>
      </c>
      <c r="F28" s="449">
        <f t="shared" si="3"/>
        <v>0.16203595273587068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652</v>
      </c>
      <c r="C29" s="453">
        <f>IF(C27=0,0,C28/C27)</f>
        <v>0.14911146828128791</v>
      </c>
      <c r="D29" s="453">
        <f>IF(LN_IA11=0,0,LN_IA12/LN_IA11)</f>
        <v>0.15883270763186633</v>
      </c>
      <c r="E29" s="454">
        <f t="shared" si="2"/>
        <v>9.72123935057842E-3</v>
      </c>
      <c r="F29" s="449">
        <f t="shared" si="3"/>
        <v>6.5194444549630554E-2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653</v>
      </c>
      <c r="C30" s="453">
        <f>IF(C15=0,0,C27/C15)</f>
        <v>0.72870333782194241</v>
      </c>
      <c r="D30" s="453">
        <f>IF(LN_IA1=0,0,LN_IA11/LN_IA1)</f>
        <v>0.79736785767244089</v>
      </c>
      <c r="E30" s="454">
        <f t="shared" si="2"/>
        <v>6.8664519850498484E-2</v>
      </c>
      <c r="F30" s="449">
        <f t="shared" si="3"/>
        <v>9.4228359178006899E-2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654</v>
      </c>
      <c r="C31" s="463">
        <f>C30*C18</f>
        <v>20582.954480118584</v>
      </c>
      <c r="D31" s="463">
        <f>LN_IA14*LN_IA4</f>
        <v>22389.292075584468</v>
      </c>
      <c r="E31" s="463">
        <f t="shared" si="2"/>
        <v>1806.3375954658841</v>
      </c>
      <c r="F31" s="449">
        <f t="shared" si="3"/>
        <v>8.7758907362432123E-2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655</v>
      </c>
      <c r="C32" s="465">
        <f>IF(C31=0,0,C28/C31)</f>
        <v>10401.985546186103</v>
      </c>
      <c r="D32" s="465">
        <f>IF(LN_IA15=0,0,LN_IA12/LN_IA15)</f>
        <v>11112.279662978368</v>
      </c>
      <c r="E32" s="465">
        <f t="shared" si="2"/>
        <v>710.29411679226541</v>
      </c>
      <c r="F32" s="449">
        <f t="shared" si="3"/>
        <v>6.8284474501379727E-2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656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657</v>
      </c>
      <c r="C35" s="448">
        <f>C15+C27</f>
        <v>3406297883</v>
      </c>
      <c r="D35" s="448">
        <f>LN_IA1+LN_IA11</f>
        <v>3530870839</v>
      </c>
      <c r="E35" s="448">
        <f>D35-C35</f>
        <v>124572956</v>
      </c>
      <c r="F35" s="449">
        <f>IF(C35=0,0,E35/C35)</f>
        <v>3.6571362892750273E-2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658</v>
      </c>
      <c r="C36" s="448">
        <f>C16+C28</f>
        <v>777221051</v>
      </c>
      <c r="D36" s="448">
        <f>LN_IA2+LN_IA12</f>
        <v>876223832</v>
      </c>
      <c r="E36" s="448">
        <f>D36-C36</f>
        <v>99002781</v>
      </c>
      <c r="F36" s="449">
        <f>IF(C36=0,0,E36/C36)</f>
        <v>0.1273804677223031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659</v>
      </c>
      <c r="C37" s="448">
        <f>C35-C36</f>
        <v>2629076832</v>
      </c>
      <c r="D37" s="448">
        <f>LN_IA17-LN_IA18</f>
        <v>2654647007</v>
      </c>
      <c r="E37" s="448">
        <f>D37-C37</f>
        <v>25570175</v>
      </c>
      <c r="F37" s="449">
        <f>IF(C37=0,0,E37/C37)</f>
        <v>9.7259139363181611E-3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660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661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641</v>
      </c>
      <c r="C42" s="448">
        <v>1461981994</v>
      </c>
      <c r="D42" s="448">
        <v>1495263188</v>
      </c>
      <c r="E42" s="448">
        <f t="shared" ref="E42:E53" si="4">D42-C42</f>
        <v>33281194</v>
      </c>
      <c r="F42" s="449">
        <f t="shared" ref="F42:F53" si="5">IF(C42=0,0,E42/C42)</f>
        <v>2.2764434949668743E-2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642</v>
      </c>
      <c r="C43" s="448">
        <v>625866634</v>
      </c>
      <c r="D43" s="448">
        <v>684069869</v>
      </c>
      <c r="E43" s="448">
        <f t="shared" si="4"/>
        <v>58203235</v>
      </c>
      <c r="F43" s="449">
        <f t="shared" si="5"/>
        <v>9.2996226093752743E-2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643</v>
      </c>
      <c r="C44" s="453">
        <f>IF(C42=0,0,C43/C42)</f>
        <v>0.42809462535692488</v>
      </c>
      <c r="D44" s="453">
        <f>IF(LN_IB1=0,0,LN_IB2/LN_IB1)</f>
        <v>0.457491279454945</v>
      </c>
      <c r="E44" s="454">
        <f t="shared" si="4"/>
        <v>2.9396654098020114E-2</v>
      </c>
      <c r="F44" s="449">
        <f t="shared" si="5"/>
        <v>6.8668589505207142E-2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27468</v>
      </c>
      <c r="D45" s="456">
        <v>27712</v>
      </c>
      <c r="E45" s="456">
        <f t="shared" si="4"/>
        <v>244</v>
      </c>
      <c r="F45" s="449">
        <f t="shared" si="5"/>
        <v>8.8830639289354894E-3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644</v>
      </c>
      <c r="C46" s="459">
        <v>1.4374499999999999</v>
      </c>
      <c r="D46" s="459">
        <v>1.47</v>
      </c>
      <c r="E46" s="460">
        <f t="shared" si="4"/>
        <v>3.2550000000000079E-2</v>
      </c>
      <c r="F46" s="449">
        <f t="shared" si="5"/>
        <v>2.2644265887509188E-2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645</v>
      </c>
      <c r="C47" s="463">
        <f>C45*C46</f>
        <v>39483.876599999996</v>
      </c>
      <c r="D47" s="463">
        <f>LN_IB4*LN_IB5</f>
        <v>40736.639999999999</v>
      </c>
      <c r="E47" s="463">
        <f t="shared" si="4"/>
        <v>1252.7634000000035</v>
      </c>
      <c r="F47" s="449">
        <f t="shared" si="5"/>
        <v>3.1728480277947266E-2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646</v>
      </c>
      <c r="C48" s="465">
        <f>IF(C47=0,0,C43/C47)</f>
        <v>15851.195168612194</v>
      </c>
      <c r="D48" s="465">
        <f>IF(LN_IB6=0,0,LN_IB2/LN_IB6)</f>
        <v>16792.496116518199</v>
      </c>
      <c r="E48" s="465">
        <f t="shared" si="4"/>
        <v>941.3009479060056</v>
      </c>
      <c r="F48" s="449">
        <f t="shared" si="5"/>
        <v>5.9383594605530207E-2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662</v>
      </c>
      <c r="C49" s="465">
        <f>C21-C48</f>
        <v>-4722.9874673209451</v>
      </c>
      <c r="D49" s="465">
        <f>LN_IA7-LN_IB7</f>
        <v>-4447.1430194257209</v>
      </c>
      <c r="E49" s="465">
        <f t="shared" si="4"/>
        <v>275.84444789522422</v>
      </c>
      <c r="F49" s="449">
        <f t="shared" si="5"/>
        <v>-5.840465379250593E-2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663</v>
      </c>
      <c r="C50" s="479">
        <f>C49*C47</f>
        <v>-186481854.34304672</v>
      </c>
      <c r="D50" s="479">
        <f>LN_IB8*LN_IB6</f>
        <v>-181161664.21085858</v>
      </c>
      <c r="E50" s="479">
        <f t="shared" si="4"/>
        <v>5320190.1321881413</v>
      </c>
      <c r="F50" s="449">
        <f t="shared" si="5"/>
        <v>-2.852926442055467E-2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122786</v>
      </c>
      <c r="D51" s="456">
        <v>124961</v>
      </c>
      <c r="E51" s="456">
        <f t="shared" si="4"/>
        <v>2175</v>
      </c>
      <c r="F51" s="449">
        <f t="shared" si="5"/>
        <v>1.771374586679263E-2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647</v>
      </c>
      <c r="C52" s="465">
        <f>IF(C51=0,0,C43/C51)</f>
        <v>5097.2149430716854</v>
      </c>
      <c r="D52" s="465">
        <f>IF(LN_IB10=0,0,LN_IB2/LN_IB10)</f>
        <v>5474.2669232800636</v>
      </c>
      <c r="E52" s="465">
        <f t="shared" si="4"/>
        <v>377.05198020837815</v>
      </c>
      <c r="F52" s="449">
        <f t="shared" si="5"/>
        <v>7.3972156249930268E-2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648</v>
      </c>
      <c r="C53" s="466">
        <f>IF(C45=0,0,C51/C45)</f>
        <v>4.4701470802388235</v>
      </c>
      <c r="D53" s="466">
        <f>IF(LN_IB4=0,0,LN_IB10/LN_IB4)</f>
        <v>4.50927396073903</v>
      </c>
      <c r="E53" s="466">
        <f t="shared" si="4"/>
        <v>3.9126880500206518E-2</v>
      </c>
      <c r="F53" s="449">
        <f t="shared" si="5"/>
        <v>8.7529291090162765E-3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664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650</v>
      </c>
      <c r="C56" s="448">
        <v>1675000547</v>
      </c>
      <c r="D56" s="448">
        <v>1727913241</v>
      </c>
      <c r="E56" s="448">
        <f t="shared" ref="E56:E63" si="6">D56-C56</f>
        <v>52912694</v>
      </c>
      <c r="F56" s="449">
        <f t="shared" ref="F56:F63" si="7">IF(C56=0,0,E56/C56)</f>
        <v>3.1589657743556543E-2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651</v>
      </c>
      <c r="C57" s="448">
        <v>686016067</v>
      </c>
      <c r="D57" s="448">
        <v>738947223</v>
      </c>
      <c r="E57" s="448">
        <f t="shared" si="6"/>
        <v>52931156</v>
      </c>
      <c r="F57" s="449">
        <f t="shared" si="7"/>
        <v>7.7157312410293735E-2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652</v>
      </c>
      <c r="C58" s="453">
        <f>IF(C56=0,0,C57/C56)</f>
        <v>0.40956169729537406</v>
      </c>
      <c r="D58" s="453">
        <f>IF(LN_IB13=0,0,LN_IB14/LN_IB13)</f>
        <v>0.42765296628686461</v>
      </c>
      <c r="E58" s="454">
        <f t="shared" si="6"/>
        <v>1.809126899149055E-2</v>
      </c>
      <c r="F58" s="449">
        <f t="shared" si="7"/>
        <v>4.4172267843794993E-2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653</v>
      </c>
      <c r="C59" s="453">
        <f>IF(C42=0,0,C56/C42)</f>
        <v>1.1457053191313107</v>
      </c>
      <c r="D59" s="453">
        <f>IF(LN_IB1=0,0,LN_IB13/LN_IB1)</f>
        <v>1.1555913733897125</v>
      </c>
      <c r="E59" s="454">
        <f t="shared" si="6"/>
        <v>9.8860542584018329E-3</v>
      </c>
      <c r="F59" s="449">
        <f t="shared" si="7"/>
        <v>8.6287931925615683E-3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654</v>
      </c>
      <c r="C60" s="463">
        <f>C59*C45</f>
        <v>31470.233705898841</v>
      </c>
      <c r="D60" s="463">
        <f>LN_IB16*LN_IB4</f>
        <v>32023.748139375712</v>
      </c>
      <c r="E60" s="463">
        <f t="shared" si="6"/>
        <v>553.51443347687018</v>
      </c>
      <c r="F60" s="449">
        <f t="shared" si="7"/>
        <v>1.7588507243056106E-2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655</v>
      </c>
      <c r="C61" s="465">
        <f>IF(C60=0,0,C57/C60)</f>
        <v>21798.886954926293</v>
      </c>
      <c r="D61" s="465">
        <f>IF(LN_IB17=0,0,LN_IB14/LN_IB17)</f>
        <v>23074.976101607743</v>
      </c>
      <c r="E61" s="465">
        <f t="shared" si="6"/>
        <v>1276.0891466814501</v>
      </c>
      <c r="F61" s="449">
        <f t="shared" si="7"/>
        <v>5.8539188231033462E-2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665</v>
      </c>
      <c r="C62" s="465">
        <f>C32-C61</f>
        <v>-11396.90140874019</v>
      </c>
      <c r="D62" s="465">
        <f>LN_IA16-LN_IB18</f>
        <v>-11962.696438629375</v>
      </c>
      <c r="E62" s="465">
        <f t="shared" si="6"/>
        <v>-565.79502988918466</v>
      </c>
      <c r="F62" s="449">
        <f t="shared" si="7"/>
        <v>4.9644636695310981E-2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666</v>
      </c>
      <c r="C63" s="448">
        <f>C62*C60</f>
        <v>-358663150.85614151</v>
      </c>
      <c r="D63" s="448">
        <f>LN_IB19*LN_IB17</f>
        <v>-383090377.81847388</v>
      </c>
      <c r="E63" s="448">
        <f t="shared" si="6"/>
        <v>-24427226.962332368</v>
      </c>
      <c r="F63" s="449">
        <f t="shared" si="7"/>
        <v>6.8106318990461448E-2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667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657</v>
      </c>
      <c r="C66" s="448">
        <f>C42+C56</f>
        <v>3136982541</v>
      </c>
      <c r="D66" s="448">
        <f>LN_IB1+LN_IB13</f>
        <v>3223176429</v>
      </c>
      <c r="E66" s="448">
        <f>D66-C66</f>
        <v>86193888</v>
      </c>
      <c r="F66" s="449">
        <f>IF(C66=0,0,E66/C66)</f>
        <v>2.7476687190143977E-2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658</v>
      </c>
      <c r="C67" s="448">
        <f>C43+C57</f>
        <v>1311882701</v>
      </c>
      <c r="D67" s="448">
        <f>LN_IB2+LN_IB14</f>
        <v>1423017092</v>
      </c>
      <c r="E67" s="448">
        <f>D67-C67</f>
        <v>111134391</v>
      </c>
      <c r="F67" s="449">
        <f>IF(C67=0,0,E67/C67)</f>
        <v>8.4713664503149808E-2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659</v>
      </c>
      <c r="C68" s="448">
        <f>C66-C67</f>
        <v>1825099840</v>
      </c>
      <c r="D68" s="448">
        <f>LN_IB21-LN_IB22</f>
        <v>1800159337</v>
      </c>
      <c r="E68" s="448">
        <f>D68-C68</f>
        <v>-24940503</v>
      </c>
      <c r="F68" s="449">
        <f>IF(C68=0,0,E68/C68)</f>
        <v>-1.3665281456602396E-2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668</v>
      </c>
      <c r="C70" s="441">
        <f>C50+C63</f>
        <v>-545145005.19918823</v>
      </c>
      <c r="D70" s="441">
        <f>LN_IB9+LN_IB20</f>
        <v>-564252042.0293324</v>
      </c>
      <c r="E70" s="448">
        <f>D70-C70</f>
        <v>-19107036.830144167</v>
      </c>
      <c r="F70" s="449">
        <f>IF(C70=0,0,E70/C70)</f>
        <v>3.5049457755121E-2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669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670</v>
      </c>
      <c r="C73" s="488">
        <v>2976359272</v>
      </c>
      <c r="D73" s="488">
        <v>3045751782</v>
      </c>
      <c r="E73" s="488">
        <f>D73-C73</f>
        <v>69392510</v>
      </c>
      <c r="F73" s="489">
        <f>IF(C73=0,0,E73/C73)</f>
        <v>2.331456106552986E-2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671</v>
      </c>
      <c r="C74" s="488">
        <v>1289201506</v>
      </c>
      <c r="D74" s="488">
        <v>1342232256</v>
      </c>
      <c r="E74" s="488">
        <f>D74-C74</f>
        <v>53030750</v>
      </c>
      <c r="F74" s="489">
        <f>IF(C74=0,0,E74/C74)</f>
        <v>4.1134570315961141E-2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672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673</v>
      </c>
      <c r="C76" s="441">
        <f>C73-C74</f>
        <v>1687157766</v>
      </c>
      <c r="D76" s="441">
        <f>LN_IB32-LN_IB33</f>
        <v>1703519526</v>
      </c>
      <c r="E76" s="488">
        <f>D76-C76</f>
        <v>16361760</v>
      </c>
      <c r="F76" s="489">
        <f>IF(E76=0,0,E76/C76)</f>
        <v>9.6978245483179074E-3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674</v>
      </c>
      <c r="C77" s="453">
        <f>IF(C73=0,0,C76/C73)</f>
        <v>0.56685286009383351</v>
      </c>
      <c r="D77" s="453">
        <f>IF(LN_IB32=0,0,LN_IB34/LN_IB32)</f>
        <v>0.55931003178511807</v>
      </c>
      <c r="E77" s="493">
        <f>D77-C77</f>
        <v>-7.5428283087154435E-3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675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676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641</v>
      </c>
      <c r="C83" s="448">
        <v>65761465</v>
      </c>
      <c r="D83" s="448">
        <v>80469795</v>
      </c>
      <c r="E83" s="448">
        <f t="shared" ref="E83:E95" si="8">D83-C83</f>
        <v>14708330</v>
      </c>
      <c r="F83" s="449">
        <f t="shared" ref="F83:F95" si="9">IF(C83=0,0,E83/C83)</f>
        <v>0.22366183600076428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642</v>
      </c>
      <c r="C84" s="448">
        <v>12191274</v>
      </c>
      <c r="D84" s="448">
        <v>27560241</v>
      </c>
      <c r="E84" s="448">
        <f t="shared" si="8"/>
        <v>15368967</v>
      </c>
      <c r="F84" s="449">
        <f t="shared" si="9"/>
        <v>1.2606530703846046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643</v>
      </c>
      <c r="C85" s="453">
        <f>IF(C83=0,0,C84/C83)</f>
        <v>0.18538628967587628</v>
      </c>
      <c r="D85" s="453">
        <f>IF(LN_IC1=0,0,LN_IC2/LN_IC1)</f>
        <v>0.34249175109741486</v>
      </c>
      <c r="E85" s="454">
        <f t="shared" si="8"/>
        <v>0.15710546142153858</v>
      </c>
      <c r="F85" s="449">
        <f t="shared" si="9"/>
        <v>0.84744919215016912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952</v>
      </c>
      <c r="D86" s="456">
        <v>1339</v>
      </c>
      <c r="E86" s="456">
        <f t="shared" si="8"/>
        <v>387</v>
      </c>
      <c r="F86" s="449">
        <f t="shared" si="9"/>
        <v>0.40651260504201681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644</v>
      </c>
      <c r="C87" s="459">
        <v>1.55003</v>
      </c>
      <c r="D87" s="459">
        <v>1.6</v>
      </c>
      <c r="E87" s="460">
        <f t="shared" si="8"/>
        <v>4.997000000000007E-2</v>
      </c>
      <c r="F87" s="449">
        <f t="shared" si="9"/>
        <v>3.2238085714470087E-2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645</v>
      </c>
      <c r="C88" s="463">
        <f>C86*C87</f>
        <v>1475.6285600000001</v>
      </c>
      <c r="D88" s="463">
        <f>LN_IC4*LN_IC5</f>
        <v>2142.4</v>
      </c>
      <c r="E88" s="463">
        <f t="shared" si="8"/>
        <v>666.77143999999998</v>
      </c>
      <c r="F88" s="449">
        <f t="shared" si="9"/>
        <v>0.45185587896184387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646</v>
      </c>
      <c r="C89" s="465">
        <f>IF(C88=0,0,C84/C88)</f>
        <v>8261.7498267992305</v>
      </c>
      <c r="D89" s="465">
        <f>IF(LN_IC6=0,0,LN_IC2/LN_IC6)</f>
        <v>12864.190160567587</v>
      </c>
      <c r="E89" s="465">
        <f t="shared" si="8"/>
        <v>4602.4403337683561</v>
      </c>
      <c r="F89" s="449">
        <f t="shared" si="9"/>
        <v>0.55707815296453189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677</v>
      </c>
      <c r="C90" s="465">
        <f>C48-C89</f>
        <v>7589.4453418129633</v>
      </c>
      <c r="D90" s="465">
        <f>LN_IB7-LN_IC7</f>
        <v>3928.3059559506128</v>
      </c>
      <c r="E90" s="465">
        <f t="shared" si="8"/>
        <v>-3661.1393858623505</v>
      </c>
      <c r="F90" s="449">
        <f t="shared" si="9"/>
        <v>-0.48239880794605988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678</v>
      </c>
      <c r="C91" s="465">
        <f>C21-C89</f>
        <v>2866.4578744920182</v>
      </c>
      <c r="D91" s="465">
        <f>LN_IA7-LN_IC7</f>
        <v>-518.83706347510815</v>
      </c>
      <c r="E91" s="465">
        <f t="shared" si="8"/>
        <v>-3385.2949379671263</v>
      </c>
      <c r="F91" s="449">
        <f t="shared" si="9"/>
        <v>-1.1810028565541206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663</v>
      </c>
      <c r="C92" s="441">
        <f>C91*C88</f>
        <v>4229827.1056373175</v>
      </c>
      <c r="D92" s="441">
        <f>LN_IC9*LN_IC6</f>
        <v>-1111556.5247890716</v>
      </c>
      <c r="E92" s="441">
        <f t="shared" si="8"/>
        <v>-5341383.6304263892</v>
      </c>
      <c r="F92" s="449">
        <f t="shared" si="9"/>
        <v>-1.2627900613969874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4336</v>
      </c>
      <c r="D93" s="456">
        <v>6526</v>
      </c>
      <c r="E93" s="456">
        <f t="shared" si="8"/>
        <v>2190</v>
      </c>
      <c r="F93" s="449">
        <f t="shared" si="9"/>
        <v>0.50507380073800734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647</v>
      </c>
      <c r="C94" s="499">
        <f>IF(C93=0,0,C84/C93)</f>
        <v>2811.6406826568264</v>
      </c>
      <c r="D94" s="499">
        <f>IF(LN_IC11=0,0,LN_IC2/LN_IC11)</f>
        <v>4223.1444989273677</v>
      </c>
      <c r="E94" s="499">
        <f t="shared" si="8"/>
        <v>1411.5038162705414</v>
      </c>
      <c r="F94" s="449">
        <f t="shared" si="9"/>
        <v>0.50202140870175405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648</v>
      </c>
      <c r="C95" s="466">
        <f>IF(C86=0,0,C93/C86)</f>
        <v>4.5546218487394956</v>
      </c>
      <c r="D95" s="466">
        <f>IF(LN_IC4=0,0,LN_IC11/LN_IC4)</f>
        <v>4.8737864077669899</v>
      </c>
      <c r="E95" s="466">
        <f t="shared" si="8"/>
        <v>0.3191645590274943</v>
      </c>
      <c r="F95" s="449">
        <f t="shared" si="9"/>
        <v>7.0074875506036569E-2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679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650</v>
      </c>
      <c r="C98" s="448">
        <v>94861804</v>
      </c>
      <c r="D98" s="448">
        <v>96954852</v>
      </c>
      <c r="E98" s="448">
        <f t="shared" ref="E98:E106" si="10">D98-C98</f>
        <v>2093048</v>
      </c>
      <c r="F98" s="449">
        <f t="shared" ref="F98:F106" si="11">IF(C98=0,0,E98/C98)</f>
        <v>2.2064180858293609E-2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651</v>
      </c>
      <c r="C99" s="448">
        <v>10489921</v>
      </c>
      <c r="D99" s="448">
        <v>12752235</v>
      </c>
      <c r="E99" s="448">
        <f t="shared" si="10"/>
        <v>2262314</v>
      </c>
      <c r="F99" s="449">
        <f t="shared" si="11"/>
        <v>0.2156654945256499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652</v>
      </c>
      <c r="C100" s="453">
        <f>IF(C98=0,0,C99/C98)</f>
        <v>0.11058108277173392</v>
      </c>
      <c r="D100" s="453">
        <f>IF(LN_IC14=0,0,LN_IC15/LN_IC14)</f>
        <v>0.1315275588270714</v>
      </c>
      <c r="E100" s="454">
        <f t="shared" si="10"/>
        <v>2.0946476055337476E-2</v>
      </c>
      <c r="F100" s="449">
        <f t="shared" si="11"/>
        <v>0.18942187515541031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653</v>
      </c>
      <c r="C101" s="453">
        <f>IF(C83=0,0,C98/C83)</f>
        <v>1.4425135449765298</v>
      </c>
      <c r="D101" s="453">
        <f>IF(LN_IC1=0,0,LN_IC14/LN_IC1)</f>
        <v>1.2048601838739617</v>
      </c>
      <c r="E101" s="454">
        <f t="shared" si="10"/>
        <v>-0.23765336110256818</v>
      </c>
      <c r="F101" s="449">
        <f t="shared" si="11"/>
        <v>-0.16474948324068242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654</v>
      </c>
      <c r="C102" s="463">
        <f>C101*C86</f>
        <v>1373.2728948176564</v>
      </c>
      <c r="D102" s="463">
        <f>LN_IC17*LN_IC4</f>
        <v>1613.3077862072346</v>
      </c>
      <c r="E102" s="463">
        <f t="shared" si="10"/>
        <v>240.03489138957821</v>
      </c>
      <c r="F102" s="449">
        <f t="shared" si="11"/>
        <v>0.17479038018983847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655</v>
      </c>
      <c r="C103" s="465">
        <f>IF(C102=0,0,C99/C102)</f>
        <v>7638.6281558355922</v>
      </c>
      <c r="D103" s="465">
        <f>IF(LN_IC18=0,0,LN_IC15/LN_IC18)</f>
        <v>7904.4030587489733</v>
      </c>
      <c r="E103" s="465">
        <f t="shared" si="10"/>
        <v>265.77490291338108</v>
      </c>
      <c r="F103" s="449">
        <f t="shared" si="11"/>
        <v>3.4793538511275771E-2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680</v>
      </c>
      <c r="C104" s="465">
        <f>C61-C103</f>
        <v>14160.258799090701</v>
      </c>
      <c r="D104" s="465">
        <f>LN_IB18-LN_IC19</f>
        <v>15170.57304285877</v>
      </c>
      <c r="E104" s="465">
        <f t="shared" si="10"/>
        <v>1010.314243768069</v>
      </c>
      <c r="F104" s="449">
        <f t="shared" si="11"/>
        <v>7.1348571950743317E-2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681</v>
      </c>
      <c r="C105" s="465">
        <f>C32-C103</f>
        <v>2763.3573903505103</v>
      </c>
      <c r="D105" s="465">
        <f>LN_IA16-LN_IC19</f>
        <v>3207.8766042293946</v>
      </c>
      <c r="E105" s="465">
        <f t="shared" si="10"/>
        <v>444.51921387888433</v>
      </c>
      <c r="F105" s="449">
        <f t="shared" si="11"/>
        <v>0.16086200627943406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666</v>
      </c>
      <c r="C106" s="448">
        <f>C105*C102</f>
        <v>3794843.8028624095</v>
      </c>
      <c r="D106" s="448">
        <f>LN_IC21*LN_IC18</f>
        <v>5175292.3027953058</v>
      </c>
      <c r="E106" s="448">
        <f t="shared" si="10"/>
        <v>1380448.4999328963</v>
      </c>
      <c r="F106" s="449">
        <f t="shared" si="11"/>
        <v>0.36376951770495508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682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657</v>
      </c>
      <c r="C109" s="448">
        <f>C83+C98</f>
        <v>160623269</v>
      </c>
      <c r="D109" s="448">
        <f>LN_IC1+LN_IC14</f>
        <v>177424647</v>
      </c>
      <c r="E109" s="448">
        <f>D109-C109</f>
        <v>16801378</v>
      </c>
      <c r="F109" s="449">
        <f>IF(C109=0,0,E109/C109)</f>
        <v>0.10460114592736872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658</v>
      </c>
      <c r="C110" s="448">
        <f>C84+C99</f>
        <v>22681195</v>
      </c>
      <c r="D110" s="448">
        <f>LN_IC2+LN_IC15</f>
        <v>40312476</v>
      </c>
      <c r="E110" s="448">
        <f>D110-C110</f>
        <v>17631281</v>
      </c>
      <c r="F110" s="449">
        <f>IF(C110=0,0,E110/C110)</f>
        <v>0.77735238376990279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659</v>
      </c>
      <c r="C111" s="448">
        <f>C109-C110</f>
        <v>137942074</v>
      </c>
      <c r="D111" s="448">
        <f>LN_IC23-LN_IC24</f>
        <v>137112171</v>
      </c>
      <c r="E111" s="448">
        <f>D111-C111</f>
        <v>-829903</v>
      </c>
      <c r="F111" s="449">
        <f>IF(C111=0,0,E111/C111)</f>
        <v>-6.0163152251864792E-3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668</v>
      </c>
      <c r="C113" s="448">
        <f>C92+C106</f>
        <v>8024670.908499727</v>
      </c>
      <c r="D113" s="448">
        <f>LN_IC10+LN_IC22</f>
        <v>4063735.7780062342</v>
      </c>
      <c r="E113" s="448">
        <f>D113-C113</f>
        <v>-3960935.1304934928</v>
      </c>
      <c r="F113" s="449">
        <f>IF(C113=0,0,E113/C113)</f>
        <v>-0.49359471256298776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683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684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641</v>
      </c>
      <c r="C118" s="448">
        <v>1096846915</v>
      </c>
      <c r="D118" s="448">
        <v>1148213273</v>
      </c>
      <c r="E118" s="448">
        <f t="shared" ref="E118:E130" si="12">D118-C118</f>
        <v>51366358</v>
      </c>
      <c r="F118" s="449">
        <f t="shared" ref="F118:F130" si="13">IF(C118=0,0,E118/C118)</f>
        <v>4.6830927176378122E-2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642</v>
      </c>
      <c r="C119" s="448">
        <v>115925541</v>
      </c>
      <c r="D119" s="448">
        <v>130960728</v>
      </c>
      <c r="E119" s="448">
        <f t="shared" si="12"/>
        <v>15035187</v>
      </c>
      <c r="F119" s="449">
        <f t="shared" si="13"/>
        <v>0.12969693192978068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643</v>
      </c>
      <c r="C120" s="453">
        <f>IF(C118=0,0,C119/C118)</f>
        <v>0.10568980904687142</v>
      </c>
      <c r="D120" s="453">
        <f>IF(LN_ID1=0,0,LN_1D2/LN_ID1)</f>
        <v>0.11405610009874881</v>
      </c>
      <c r="E120" s="454">
        <f t="shared" si="12"/>
        <v>8.3662910518773892E-3</v>
      </c>
      <c r="F120" s="449">
        <f t="shared" si="13"/>
        <v>7.9158919174194917E-2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22415</v>
      </c>
      <c r="D121" s="456">
        <v>22248</v>
      </c>
      <c r="E121" s="456">
        <f t="shared" si="12"/>
        <v>-167</v>
      </c>
      <c r="F121" s="449">
        <f t="shared" si="13"/>
        <v>-7.4503680571046177E-3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644</v>
      </c>
      <c r="C122" s="459">
        <v>1.2309300000000001</v>
      </c>
      <c r="D122" s="459">
        <v>1.27</v>
      </c>
      <c r="E122" s="460">
        <f t="shared" si="12"/>
        <v>3.9069999999999938E-2</v>
      </c>
      <c r="F122" s="449">
        <f t="shared" si="13"/>
        <v>3.1740228932595628E-2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645</v>
      </c>
      <c r="C123" s="463">
        <f>C121*C122</f>
        <v>27591.295950000003</v>
      </c>
      <c r="D123" s="463">
        <f>LN_ID4*LN_ID5</f>
        <v>28254.959999999999</v>
      </c>
      <c r="E123" s="463">
        <f t="shared" si="12"/>
        <v>663.66404999999577</v>
      </c>
      <c r="F123" s="449">
        <f t="shared" si="13"/>
        <v>2.4053384487726308E-2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646</v>
      </c>
      <c r="C124" s="465">
        <f>IF(C123=0,0,C119/C123)</f>
        <v>4201.5257713909587</v>
      </c>
      <c r="D124" s="465">
        <f>IF(LN_ID6=0,0,LN_1D2/LN_ID6)</f>
        <v>4634.9641974364858</v>
      </c>
      <c r="E124" s="465">
        <f t="shared" si="12"/>
        <v>433.43842604552719</v>
      </c>
      <c r="F124" s="449">
        <f t="shared" si="13"/>
        <v>0.10316214861679474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685</v>
      </c>
      <c r="C125" s="465">
        <f>C48-C124</f>
        <v>11649.669397221234</v>
      </c>
      <c r="D125" s="465">
        <f>LN_IB7-LN_ID7</f>
        <v>12157.531919081714</v>
      </c>
      <c r="E125" s="465">
        <f t="shared" si="12"/>
        <v>507.86252186047932</v>
      </c>
      <c r="F125" s="449">
        <f t="shared" si="13"/>
        <v>4.3594586639653349E-2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686</v>
      </c>
      <c r="C126" s="465">
        <f>C21-C124</f>
        <v>6926.68192990029</v>
      </c>
      <c r="D126" s="465">
        <f>LN_IA7-LN_ID7</f>
        <v>7710.3888996559926</v>
      </c>
      <c r="E126" s="465">
        <f t="shared" si="12"/>
        <v>783.70696975570263</v>
      </c>
      <c r="F126" s="449">
        <f t="shared" si="13"/>
        <v>0.11314320156274076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663</v>
      </c>
      <c r="C127" s="479">
        <f>C126*C123</f>
        <v>191116131.07939607</v>
      </c>
      <c r="D127" s="479">
        <f>LN_ID9*LN_ID6</f>
        <v>217856729.94422409</v>
      </c>
      <c r="E127" s="479">
        <f t="shared" si="12"/>
        <v>26740598.86482802</v>
      </c>
      <c r="F127" s="449">
        <f t="shared" si="13"/>
        <v>0.13991806297982809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120382</v>
      </c>
      <c r="D128" s="456">
        <v>122293</v>
      </c>
      <c r="E128" s="456">
        <f t="shared" si="12"/>
        <v>1911</v>
      </c>
      <c r="F128" s="449">
        <f t="shared" si="13"/>
        <v>1.5874466282334569E-2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647</v>
      </c>
      <c r="C129" s="465">
        <f>IF(C128=0,0,C119/C128)</f>
        <v>962.98068648136768</v>
      </c>
      <c r="D129" s="465">
        <f>IF(LN_ID11=0,0,LN_1D2/LN_ID11)</f>
        <v>1070.8767304751702</v>
      </c>
      <c r="E129" s="465">
        <f t="shared" si="12"/>
        <v>107.89604399380255</v>
      </c>
      <c r="F129" s="449">
        <f t="shared" si="13"/>
        <v>0.11204382965149964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648</v>
      </c>
      <c r="C130" s="466">
        <f>IF(C121=0,0,C128/C121)</f>
        <v>5.3706000446129822</v>
      </c>
      <c r="D130" s="466">
        <f>IF(LN_ID4=0,0,LN_ID11/LN_ID4)</f>
        <v>5.4968087019057892</v>
      </c>
      <c r="E130" s="466">
        <f t="shared" si="12"/>
        <v>0.12620865729280695</v>
      </c>
      <c r="F130" s="449">
        <f t="shared" si="13"/>
        <v>2.349991737318094E-2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687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650</v>
      </c>
      <c r="C133" s="448">
        <v>697483038</v>
      </c>
      <c r="D133" s="448">
        <v>781303401</v>
      </c>
      <c r="E133" s="448">
        <f t="shared" ref="E133:E141" si="14">D133-C133</f>
        <v>83820363</v>
      </c>
      <c r="F133" s="449">
        <f t="shared" ref="F133:F141" si="15">IF(C133=0,0,E133/C133)</f>
        <v>0.12017548590192383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651</v>
      </c>
      <c r="C134" s="448">
        <v>97347700</v>
      </c>
      <c r="D134" s="448">
        <v>119432312</v>
      </c>
      <c r="E134" s="448">
        <f t="shared" si="14"/>
        <v>22084612</v>
      </c>
      <c r="F134" s="449">
        <f t="shared" si="15"/>
        <v>0.22686321299835538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652</v>
      </c>
      <c r="C135" s="453">
        <f>IF(C133=0,0,C134/C133)</f>
        <v>0.13956998908409296</v>
      </c>
      <c r="D135" s="453">
        <f>IF(LN_ID14=0,0,LN_ID15/LN_ID14)</f>
        <v>0.15286291067866475</v>
      </c>
      <c r="E135" s="454">
        <f t="shared" si="14"/>
        <v>1.3292921594571794E-2</v>
      </c>
      <c r="F135" s="449">
        <f t="shared" si="15"/>
        <v>9.5241976314568697E-2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653</v>
      </c>
      <c r="C136" s="453">
        <f>IF(C118=0,0,C133/C118)</f>
        <v>0.63589825385979226</v>
      </c>
      <c r="D136" s="453">
        <f>IF(LN_ID1=0,0,LN_ID14/LN_ID1)</f>
        <v>0.6804514626090723</v>
      </c>
      <c r="E136" s="454">
        <f t="shared" si="14"/>
        <v>4.4553208749280038E-2</v>
      </c>
      <c r="F136" s="449">
        <f t="shared" si="15"/>
        <v>7.0063423635541966E-2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654</v>
      </c>
      <c r="C137" s="463">
        <f>C136*C121</f>
        <v>14253.659360267244</v>
      </c>
      <c r="D137" s="463">
        <f>LN_ID17*LN_ID4</f>
        <v>15138.684140126641</v>
      </c>
      <c r="E137" s="463">
        <f t="shared" si="14"/>
        <v>885.02477985939731</v>
      </c>
      <c r="F137" s="449">
        <f t="shared" si="15"/>
        <v>6.2091057285011748E-2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655</v>
      </c>
      <c r="C138" s="465">
        <f>IF(C137=0,0,C134/C137)</f>
        <v>6829.6637052630404</v>
      </c>
      <c r="D138" s="465">
        <f>IF(LN_ID18=0,0,LN_ID15/LN_ID18)</f>
        <v>7889.2135468651704</v>
      </c>
      <c r="E138" s="465">
        <f t="shared" si="14"/>
        <v>1059.5498416021301</v>
      </c>
      <c r="F138" s="449">
        <f t="shared" si="15"/>
        <v>0.1551393871393148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688</v>
      </c>
      <c r="C139" s="465">
        <f>C61-C138</f>
        <v>14969.223249663253</v>
      </c>
      <c r="D139" s="465">
        <f>LN_IB18-LN_ID19</f>
        <v>15185.762554742572</v>
      </c>
      <c r="E139" s="465">
        <f t="shared" si="14"/>
        <v>216.53930507931909</v>
      </c>
      <c r="F139" s="449">
        <f t="shared" si="15"/>
        <v>1.4465634019065775E-2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689</v>
      </c>
      <c r="C140" s="465">
        <f>C32-C138</f>
        <v>3572.3218409230622</v>
      </c>
      <c r="D140" s="465">
        <f>LN_IA16-LN_ID19</f>
        <v>3223.0661161131975</v>
      </c>
      <c r="E140" s="465">
        <f t="shared" si="14"/>
        <v>-349.25572480986466</v>
      </c>
      <c r="F140" s="449">
        <f t="shared" si="15"/>
        <v>-9.7767149871249986E-2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666</v>
      </c>
      <c r="C141" s="441">
        <f>C140*C137</f>
        <v>50918658.645760119</v>
      </c>
      <c r="D141" s="441">
        <f>LN_ID21*LN_ID18</f>
        <v>48792979.894582435</v>
      </c>
      <c r="E141" s="441">
        <f t="shared" si="14"/>
        <v>-2125678.7511776835</v>
      </c>
      <c r="F141" s="449">
        <f t="shared" si="15"/>
        <v>-4.1746558289486362E-2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690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657</v>
      </c>
      <c r="C144" s="448">
        <f>C118+C133</f>
        <v>1794329953</v>
      </c>
      <c r="D144" s="448">
        <f>LN_ID1+LN_ID14</f>
        <v>1929516674</v>
      </c>
      <c r="E144" s="448">
        <f>D144-C144</f>
        <v>135186721</v>
      </c>
      <c r="F144" s="449">
        <f>IF(C144=0,0,E144/C144)</f>
        <v>7.5341060195744283E-2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658</v>
      </c>
      <c r="C145" s="448">
        <f>C119+C134</f>
        <v>213273241</v>
      </c>
      <c r="D145" s="448">
        <f>LN_1D2+LN_ID15</f>
        <v>250393040</v>
      </c>
      <c r="E145" s="448">
        <f>D145-C145</f>
        <v>37119799</v>
      </c>
      <c r="F145" s="449">
        <f>IF(C145=0,0,E145/C145)</f>
        <v>0.17404808416635822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659</v>
      </c>
      <c r="C146" s="448">
        <f>C144-C145</f>
        <v>1581056712</v>
      </c>
      <c r="D146" s="448">
        <f>LN_ID23-LN_ID24</f>
        <v>1679123634</v>
      </c>
      <c r="E146" s="448">
        <f>D146-C146</f>
        <v>98066922</v>
      </c>
      <c r="F146" s="449">
        <f>IF(C146=0,0,E146/C146)</f>
        <v>6.2026188722824255E-2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668</v>
      </c>
      <c r="C148" s="448">
        <f>C127+C141</f>
        <v>242034789.72515619</v>
      </c>
      <c r="D148" s="448">
        <f>LN_ID10+LN_ID22</f>
        <v>266649709.83880651</v>
      </c>
      <c r="E148" s="448">
        <f>D148-C148</f>
        <v>24614920.113650322</v>
      </c>
      <c r="F148" s="503">
        <f>IF(C148=0,0,E148/C148)</f>
        <v>0.10169992562474972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691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692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641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642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643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644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645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646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693</v>
      </c>
      <c r="C160" s="465">
        <f>C48-C159</f>
        <v>15851.195168612194</v>
      </c>
      <c r="D160" s="465">
        <f>LN_IB7-LN_IE7</f>
        <v>16792.496116518199</v>
      </c>
      <c r="E160" s="465">
        <f t="shared" si="16"/>
        <v>941.3009479060056</v>
      </c>
      <c r="F160" s="449">
        <f t="shared" si="17"/>
        <v>5.9383594605530207E-2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694</v>
      </c>
      <c r="C161" s="465">
        <f>C21-C159</f>
        <v>11128.207701291249</v>
      </c>
      <c r="D161" s="465">
        <f>LN_IA7-LN_IE7</f>
        <v>12345.353097092478</v>
      </c>
      <c r="E161" s="465">
        <f t="shared" si="16"/>
        <v>1217.1453958012298</v>
      </c>
      <c r="F161" s="449">
        <f t="shared" si="17"/>
        <v>0.1093747913835217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663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647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648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695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650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651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652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653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654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655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696</v>
      </c>
      <c r="C174" s="465">
        <f>C61-C173</f>
        <v>21798.886954926293</v>
      </c>
      <c r="D174" s="465">
        <f>LN_IB18-LN_IE19</f>
        <v>23074.976101607743</v>
      </c>
      <c r="E174" s="465">
        <f t="shared" si="18"/>
        <v>1276.0891466814501</v>
      </c>
      <c r="F174" s="449">
        <f t="shared" si="19"/>
        <v>5.8539188231033462E-2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697</v>
      </c>
      <c r="C175" s="465">
        <f>C32-C173</f>
        <v>10401.985546186103</v>
      </c>
      <c r="D175" s="465">
        <f>LN_IA16-LN_IE19</f>
        <v>11112.279662978368</v>
      </c>
      <c r="E175" s="465">
        <f t="shared" si="18"/>
        <v>710.29411679226541</v>
      </c>
      <c r="F175" s="449">
        <f t="shared" si="19"/>
        <v>6.8284474501379727E-2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666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698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657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658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659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699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700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701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641</v>
      </c>
      <c r="C188" s="448">
        <f>C118+C153</f>
        <v>1096846915</v>
      </c>
      <c r="D188" s="448">
        <f>LN_ID1+LN_IE1</f>
        <v>1148213273</v>
      </c>
      <c r="E188" s="448">
        <f t="shared" ref="E188:E200" si="20">D188-C188</f>
        <v>51366358</v>
      </c>
      <c r="F188" s="449">
        <f t="shared" ref="F188:F200" si="21">IF(C188=0,0,E188/C188)</f>
        <v>4.6830927176378122E-2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642</v>
      </c>
      <c r="C189" s="448">
        <f>C119+C154</f>
        <v>115925541</v>
      </c>
      <c r="D189" s="448">
        <f>LN_1D2+LN_IE2</f>
        <v>130960728</v>
      </c>
      <c r="E189" s="448">
        <f t="shared" si="20"/>
        <v>15035187</v>
      </c>
      <c r="F189" s="449">
        <f t="shared" si="21"/>
        <v>0.12969693192978068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643</v>
      </c>
      <c r="C190" s="453">
        <f>IF(C188=0,0,C189/C188)</f>
        <v>0.10568980904687142</v>
      </c>
      <c r="D190" s="453">
        <f>IF(LN_IF1=0,0,LN_IF2/LN_IF1)</f>
        <v>0.11405610009874881</v>
      </c>
      <c r="E190" s="454">
        <f t="shared" si="20"/>
        <v>8.3662910518773892E-3</v>
      </c>
      <c r="F190" s="449">
        <f t="shared" si="21"/>
        <v>7.9158919174194917E-2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22415</v>
      </c>
      <c r="D191" s="456">
        <f>LN_ID4+LN_IE4</f>
        <v>22248</v>
      </c>
      <c r="E191" s="456">
        <f t="shared" si="20"/>
        <v>-167</v>
      </c>
      <c r="F191" s="449">
        <f t="shared" si="21"/>
        <v>-7.4503680571046177E-3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644</v>
      </c>
      <c r="C192" s="459">
        <f>IF((C121+C156)=0,0,(C123+C158)/(C121+C156))</f>
        <v>1.2309300000000001</v>
      </c>
      <c r="D192" s="459">
        <f>IF((LN_ID4+LN_IE4)=0,0,(LN_ID6+LN_IE6)/(LN_ID4+LN_IE4))</f>
        <v>1.27</v>
      </c>
      <c r="E192" s="460">
        <f t="shared" si="20"/>
        <v>3.9069999999999938E-2</v>
      </c>
      <c r="F192" s="449">
        <f t="shared" si="21"/>
        <v>3.1740228932595628E-2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645</v>
      </c>
      <c r="C193" s="463">
        <f>C123+C158</f>
        <v>27591.295950000003</v>
      </c>
      <c r="D193" s="463">
        <f>LN_IF4*LN_IF5</f>
        <v>28254.959999999999</v>
      </c>
      <c r="E193" s="463">
        <f t="shared" si="20"/>
        <v>663.66404999999577</v>
      </c>
      <c r="F193" s="449">
        <f t="shared" si="21"/>
        <v>2.4053384487726308E-2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646</v>
      </c>
      <c r="C194" s="465">
        <f>IF(C193=0,0,C189/C193)</f>
        <v>4201.5257713909587</v>
      </c>
      <c r="D194" s="465">
        <f>IF(LN_IF6=0,0,LN_IF2/LN_IF6)</f>
        <v>4634.9641974364858</v>
      </c>
      <c r="E194" s="465">
        <f t="shared" si="20"/>
        <v>433.43842604552719</v>
      </c>
      <c r="F194" s="449">
        <f t="shared" si="21"/>
        <v>0.10316214861679474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702</v>
      </c>
      <c r="C195" s="465">
        <f>C48-C194</f>
        <v>11649.669397221234</v>
      </c>
      <c r="D195" s="465">
        <f>LN_IB7-LN_IF7</f>
        <v>12157.531919081714</v>
      </c>
      <c r="E195" s="465">
        <f t="shared" si="20"/>
        <v>507.86252186047932</v>
      </c>
      <c r="F195" s="449">
        <f t="shared" si="21"/>
        <v>4.3594586639653349E-2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703</v>
      </c>
      <c r="C196" s="465">
        <f>C21-C194</f>
        <v>6926.68192990029</v>
      </c>
      <c r="D196" s="465">
        <f>LN_IA7-LN_IF7</f>
        <v>7710.3888996559926</v>
      </c>
      <c r="E196" s="465">
        <f t="shared" si="20"/>
        <v>783.70696975570263</v>
      </c>
      <c r="F196" s="449">
        <f t="shared" si="21"/>
        <v>0.11314320156274076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663</v>
      </c>
      <c r="C197" s="479">
        <f>C127+C162</f>
        <v>191116131.07939607</v>
      </c>
      <c r="D197" s="479">
        <f>LN_IF9*LN_IF6</f>
        <v>217856729.94422409</v>
      </c>
      <c r="E197" s="479">
        <f t="shared" si="20"/>
        <v>26740598.86482802</v>
      </c>
      <c r="F197" s="449">
        <f t="shared" si="21"/>
        <v>0.13991806297982809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120382</v>
      </c>
      <c r="D198" s="456">
        <f>LN_ID11+LN_IE11</f>
        <v>122293</v>
      </c>
      <c r="E198" s="456">
        <f t="shared" si="20"/>
        <v>1911</v>
      </c>
      <c r="F198" s="449">
        <f t="shared" si="21"/>
        <v>1.5874466282334569E-2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647</v>
      </c>
      <c r="C199" s="519">
        <f>IF(C198=0,0,C189/C198)</f>
        <v>962.98068648136768</v>
      </c>
      <c r="D199" s="519">
        <f>IF(LN_IF11=0,0,LN_IF2/LN_IF11)</f>
        <v>1070.8767304751702</v>
      </c>
      <c r="E199" s="519">
        <f t="shared" si="20"/>
        <v>107.89604399380255</v>
      </c>
      <c r="F199" s="449">
        <f t="shared" si="21"/>
        <v>0.11204382965149964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648</v>
      </c>
      <c r="C200" s="466">
        <f>IF(C191=0,0,C198/C191)</f>
        <v>5.3706000446129822</v>
      </c>
      <c r="D200" s="466">
        <f>IF(LN_IF4=0,0,LN_IF11/LN_IF4)</f>
        <v>5.4968087019057892</v>
      </c>
      <c r="E200" s="466">
        <f t="shared" si="20"/>
        <v>0.12620865729280695</v>
      </c>
      <c r="F200" s="449">
        <f t="shared" si="21"/>
        <v>2.349991737318094E-2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704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650</v>
      </c>
      <c r="C203" s="448">
        <f>C133+C168</f>
        <v>697483038</v>
      </c>
      <c r="D203" s="448">
        <f>LN_ID14+LN_IE14</f>
        <v>781303401</v>
      </c>
      <c r="E203" s="448">
        <f t="shared" ref="E203:E211" si="22">D203-C203</f>
        <v>83820363</v>
      </c>
      <c r="F203" s="449">
        <f t="shared" ref="F203:F211" si="23">IF(C203=0,0,E203/C203)</f>
        <v>0.12017548590192383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651</v>
      </c>
      <c r="C204" s="448">
        <f>C134+C169</f>
        <v>97347700</v>
      </c>
      <c r="D204" s="448">
        <f>LN_ID15+LN_IE15</f>
        <v>119432312</v>
      </c>
      <c r="E204" s="448">
        <f t="shared" si="22"/>
        <v>22084612</v>
      </c>
      <c r="F204" s="449">
        <f t="shared" si="23"/>
        <v>0.22686321299835538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652</v>
      </c>
      <c r="C205" s="453">
        <f>IF(C203=0,0,C204/C203)</f>
        <v>0.13956998908409296</v>
      </c>
      <c r="D205" s="453">
        <f>IF(LN_IF14=0,0,LN_IF15/LN_IF14)</f>
        <v>0.15286291067866475</v>
      </c>
      <c r="E205" s="454">
        <f t="shared" si="22"/>
        <v>1.3292921594571794E-2</v>
      </c>
      <c r="F205" s="449">
        <f t="shared" si="23"/>
        <v>9.5241976314568697E-2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653</v>
      </c>
      <c r="C206" s="453">
        <f>IF(C188=0,0,C203/C188)</f>
        <v>0.63589825385979226</v>
      </c>
      <c r="D206" s="453">
        <f>IF(LN_IF1=0,0,LN_IF14/LN_IF1)</f>
        <v>0.6804514626090723</v>
      </c>
      <c r="E206" s="454">
        <f t="shared" si="22"/>
        <v>4.4553208749280038E-2</v>
      </c>
      <c r="F206" s="449">
        <f t="shared" si="23"/>
        <v>7.0063423635541966E-2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654</v>
      </c>
      <c r="C207" s="463">
        <f>C137+C172</f>
        <v>14253.659360267244</v>
      </c>
      <c r="D207" s="463">
        <f>LN_ID18+LN_IE18</f>
        <v>15138.684140126641</v>
      </c>
      <c r="E207" s="463">
        <f t="shared" si="22"/>
        <v>885.02477985939731</v>
      </c>
      <c r="F207" s="449">
        <f t="shared" si="23"/>
        <v>6.2091057285011748E-2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655</v>
      </c>
      <c r="C208" s="465">
        <f>IF(C207=0,0,C204/C207)</f>
        <v>6829.6637052630404</v>
      </c>
      <c r="D208" s="465">
        <f>IF(LN_IF18=0,0,LN_IF15/LN_IF18)</f>
        <v>7889.2135468651704</v>
      </c>
      <c r="E208" s="465">
        <f t="shared" si="22"/>
        <v>1059.5498416021301</v>
      </c>
      <c r="F208" s="449">
        <f t="shared" si="23"/>
        <v>0.1551393871393148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705</v>
      </c>
      <c r="C209" s="465">
        <f>C61-C208</f>
        <v>14969.223249663253</v>
      </c>
      <c r="D209" s="465">
        <f>LN_IB18-LN_IF19</f>
        <v>15185.762554742572</v>
      </c>
      <c r="E209" s="465">
        <f t="shared" si="22"/>
        <v>216.53930507931909</v>
      </c>
      <c r="F209" s="449">
        <f t="shared" si="23"/>
        <v>1.4465634019065775E-2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706</v>
      </c>
      <c r="C210" s="465">
        <f>C32-C208</f>
        <v>3572.3218409230622</v>
      </c>
      <c r="D210" s="465">
        <f>LN_IA16-LN_IF19</f>
        <v>3223.0661161131975</v>
      </c>
      <c r="E210" s="465">
        <f t="shared" si="22"/>
        <v>-349.25572480986466</v>
      </c>
      <c r="F210" s="449">
        <f t="shared" si="23"/>
        <v>-9.7767149871249986E-2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666</v>
      </c>
      <c r="C211" s="479">
        <f>C141+C176</f>
        <v>50918658.645760119</v>
      </c>
      <c r="D211" s="441">
        <f>LN_IF21*LN_IF18</f>
        <v>48792979.894582435</v>
      </c>
      <c r="E211" s="441">
        <f t="shared" si="22"/>
        <v>-2125678.7511776835</v>
      </c>
      <c r="F211" s="449">
        <f t="shared" si="23"/>
        <v>-4.1746558289486362E-2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707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657</v>
      </c>
      <c r="C214" s="448">
        <f>C188+C203</f>
        <v>1794329953</v>
      </c>
      <c r="D214" s="448">
        <f>LN_IF1+LN_IF14</f>
        <v>1929516674</v>
      </c>
      <c r="E214" s="448">
        <f>D214-C214</f>
        <v>135186721</v>
      </c>
      <c r="F214" s="449">
        <f>IF(C214=0,0,E214/C214)</f>
        <v>7.5341060195744283E-2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658</v>
      </c>
      <c r="C215" s="448">
        <f>C189+C204</f>
        <v>213273241</v>
      </c>
      <c r="D215" s="448">
        <f>LN_IF2+LN_IF15</f>
        <v>250393040</v>
      </c>
      <c r="E215" s="448">
        <f>D215-C215</f>
        <v>37119799</v>
      </c>
      <c r="F215" s="449">
        <f>IF(C215=0,0,E215/C215)</f>
        <v>0.17404808416635822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659</v>
      </c>
      <c r="C216" s="448">
        <f>C214-C215</f>
        <v>1581056712</v>
      </c>
      <c r="D216" s="448">
        <f>LN_IF23-LN_IF24</f>
        <v>1679123634</v>
      </c>
      <c r="E216" s="448">
        <f>D216-C216</f>
        <v>98066922</v>
      </c>
      <c r="F216" s="449">
        <f>IF(C216=0,0,E216/C216)</f>
        <v>6.2026188722824255E-2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708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709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641</v>
      </c>
      <c r="C221" s="448">
        <v>25295301</v>
      </c>
      <c r="D221" s="448">
        <v>20042376</v>
      </c>
      <c r="E221" s="448">
        <f t="shared" ref="E221:E230" si="24">D221-C221</f>
        <v>-5252925</v>
      </c>
      <c r="F221" s="449">
        <f t="shared" ref="F221:F230" si="25">IF(C221=0,0,E221/C221)</f>
        <v>-0.20766406377216068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642</v>
      </c>
      <c r="C222" s="448">
        <v>2112365</v>
      </c>
      <c r="D222" s="448">
        <v>4483239</v>
      </c>
      <c r="E222" s="448">
        <f t="shared" si="24"/>
        <v>2370874</v>
      </c>
      <c r="F222" s="449">
        <f t="shared" si="25"/>
        <v>1.1223789449266581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643</v>
      </c>
      <c r="C223" s="453">
        <f>IF(C221=0,0,C222/C221)</f>
        <v>8.3508197826940272E-2</v>
      </c>
      <c r="D223" s="453">
        <f>IF(LN_IG1=0,0,LN_IG2/LN_IG1)</f>
        <v>0.22368799986588417</v>
      </c>
      <c r="E223" s="454">
        <f t="shared" si="24"/>
        <v>0.1401798020389439</v>
      </c>
      <c r="F223" s="449">
        <f t="shared" si="25"/>
        <v>1.6786352200947749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400</v>
      </c>
      <c r="D224" s="456">
        <v>413</v>
      </c>
      <c r="E224" s="456">
        <f t="shared" si="24"/>
        <v>13</v>
      </c>
      <c r="F224" s="449">
        <f t="shared" si="25"/>
        <v>3.2500000000000001E-2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644</v>
      </c>
      <c r="C225" s="459">
        <v>1.4174100000000001</v>
      </c>
      <c r="D225" s="459">
        <v>1.32</v>
      </c>
      <c r="E225" s="460">
        <f t="shared" si="24"/>
        <v>-9.7409999999999997E-2</v>
      </c>
      <c r="F225" s="449">
        <f t="shared" si="25"/>
        <v>-6.8723940144347781E-2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645</v>
      </c>
      <c r="C226" s="463">
        <f>C224*C225</f>
        <v>566.96400000000006</v>
      </c>
      <c r="D226" s="463">
        <f>LN_IG3*LN_IG4</f>
        <v>545.16000000000008</v>
      </c>
      <c r="E226" s="463">
        <f t="shared" si="24"/>
        <v>-21.803999999999974</v>
      </c>
      <c r="F226" s="449">
        <f t="shared" si="25"/>
        <v>-3.8457468199039044E-2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646</v>
      </c>
      <c r="C227" s="465">
        <f>IF(C226=0,0,C222/C226)</f>
        <v>3725.748019274592</v>
      </c>
      <c r="D227" s="465">
        <f>IF(LN_IG5=0,0,LN_IG2/LN_IG5)</f>
        <v>8223.7123046445067</v>
      </c>
      <c r="E227" s="465">
        <f t="shared" si="24"/>
        <v>4497.9642853699152</v>
      </c>
      <c r="F227" s="449">
        <f t="shared" si="25"/>
        <v>1.2072647592108696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1625</v>
      </c>
      <c r="D228" s="456">
        <v>1577</v>
      </c>
      <c r="E228" s="456">
        <f t="shared" si="24"/>
        <v>-48</v>
      </c>
      <c r="F228" s="449">
        <f t="shared" si="25"/>
        <v>-2.9538461538461538E-2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647</v>
      </c>
      <c r="C229" s="465">
        <f>IF(C228=0,0,C222/C228)</f>
        <v>1299.916923076923</v>
      </c>
      <c r="D229" s="465">
        <f>IF(LN_IG6=0,0,LN_IG2/LN_IG6)</f>
        <v>2842.8909321496512</v>
      </c>
      <c r="E229" s="465">
        <f t="shared" si="24"/>
        <v>1542.9740090727282</v>
      </c>
      <c r="F229" s="449">
        <f t="shared" si="25"/>
        <v>1.1869789381774378</v>
      </c>
      <c r="Q229" s="421"/>
      <c r="U229" s="462"/>
    </row>
    <row r="230" spans="1:21" ht="15.75" customHeight="1" x14ac:dyDescent="0.2">
      <c r="A230" s="451">
        <v>10</v>
      </c>
      <c r="B230" s="447" t="s">
        <v>648</v>
      </c>
      <c r="C230" s="466">
        <f>IF(C224=0,0,C228/C224)</f>
        <v>4.0625</v>
      </c>
      <c r="D230" s="466">
        <f>IF(LN_IG3=0,0,LN_IG6/LN_IG3)</f>
        <v>3.8184019370460049</v>
      </c>
      <c r="E230" s="466">
        <f t="shared" si="24"/>
        <v>-0.24409806295399505</v>
      </c>
      <c r="F230" s="449">
        <f t="shared" si="25"/>
        <v>-6.0085677034829553E-2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710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650</v>
      </c>
      <c r="C233" s="448">
        <v>22072889</v>
      </c>
      <c r="D233" s="448">
        <v>19908475</v>
      </c>
      <c r="E233" s="448">
        <f>D233-C233</f>
        <v>-2164414</v>
      </c>
      <c r="F233" s="449">
        <f>IF(C233=0,0,E233/C233)</f>
        <v>-9.8057576423276532E-2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651</v>
      </c>
      <c r="C234" s="448">
        <v>2274341</v>
      </c>
      <c r="D234" s="448">
        <v>1519605</v>
      </c>
      <c r="E234" s="448">
        <f>D234-C234</f>
        <v>-754736</v>
      </c>
      <c r="F234" s="449">
        <f>IF(C234=0,0,E234/C234)</f>
        <v>-0.33184821449378082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711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657</v>
      </c>
      <c r="C237" s="448">
        <f>C221+C233</f>
        <v>47368190</v>
      </c>
      <c r="D237" s="448">
        <f>LN_IG1+LN_IG9</f>
        <v>39950851</v>
      </c>
      <c r="E237" s="448">
        <f>D237-C237</f>
        <v>-7417339</v>
      </c>
      <c r="F237" s="449">
        <f>IF(C237=0,0,E237/C237)</f>
        <v>-0.15658903158427628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658</v>
      </c>
      <c r="C238" s="448">
        <f>C222+C234</f>
        <v>4386706</v>
      </c>
      <c r="D238" s="448">
        <f>LN_IG2+LN_IG10</f>
        <v>6002844</v>
      </c>
      <c r="E238" s="448">
        <f>D238-C238</f>
        <v>1616138</v>
      </c>
      <c r="F238" s="449">
        <f>IF(C238=0,0,E238/C238)</f>
        <v>0.36841721328030647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659</v>
      </c>
      <c r="C239" s="448">
        <f>C237-C238</f>
        <v>42981484</v>
      </c>
      <c r="D239" s="448">
        <f>LN_IG13-LN_IG14</f>
        <v>33948007</v>
      </c>
      <c r="E239" s="448">
        <f>D239-C239</f>
        <v>-9033477</v>
      </c>
      <c r="F239" s="449">
        <f>IF(C239=0,0,E239/C239)</f>
        <v>-0.21017136123080349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712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713</v>
      </c>
      <c r="C243" s="448">
        <v>3296108</v>
      </c>
      <c r="D243" s="448">
        <v>3237338</v>
      </c>
      <c r="E243" s="441">
        <f>D243-C243</f>
        <v>-58770</v>
      </c>
      <c r="F243" s="503">
        <f>IF(C243=0,0,E243/C243)</f>
        <v>-1.7830119644137873E-2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714</v>
      </c>
      <c r="C244" s="448">
        <v>2267358000</v>
      </c>
      <c r="D244" s="448">
        <v>2413364000</v>
      </c>
      <c r="E244" s="441">
        <f>D244-C244</f>
        <v>146006000</v>
      </c>
      <c r="F244" s="503">
        <f>IF(C244=0,0,E244/C244)</f>
        <v>6.4394771359441258E-2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715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716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717</v>
      </c>
      <c r="C248" s="441">
        <v>43211397</v>
      </c>
      <c r="D248" s="441">
        <v>41146000</v>
      </c>
      <c r="E248" s="441">
        <f>D248-C248</f>
        <v>-2065397</v>
      </c>
      <c r="F248" s="449">
        <f>IF(C248=0,0,E248/C248)</f>
        <v>-4.7797505829307023E-2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718</v>
      </c>
      <c r="C249" s="441">
        <v>157929603</v>
      </c>
      <c r="D249" s="441">
        <v>134519000</v>
      </c>
      <c r="E249" s="441">
        <f>D249-C249</f>
        <v>-23410603</v>
      </c>
      <c r="F249" s="449">
        <f>IF(C249=0,0,E249/C249)</f>
        <v>-0.14823441935708531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719</v>
      </c>
      <c r="C250" s="441">
        <f>C248+C249</f>
        <v>201141000</v>
      </c>
      <c r="D250" s="441">
        <f>LN_IH4+LN_IH5</f>
        <v>175665000</v>
      </c>
      <c r="E250" s="441">
        <f>D250-C250</f>
        <v>-25476000</v>
      </c>
      <c r="F250" s="449">
        <f>IF(C250=0,0,E250/C250)</f>
        <v>-0.12665741942219638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720</v>
      </c>
      <c r="C251" s="441">
        <f>C250*C313</f>
        <v>53819202.804170154</v>
      </c>
      <c r="D251" s="441">
        <f>LN_IH6*LN_III10</f>
        <v>49871409.675459579</v>
      </c>
      <c r="E251" s="441">
        <f>D251-C251</f>
        <v>-3947793.1287105754</v>
      </c>
      <c r="F251" s="449">
        <f>IF(C251=0,0,E251/C251)</f>
        <v>-7.3352872636840372E-2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721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657</v>
      </c>
      <c r="C254" s="441">
        <f>C188+C203</f>
        <v>1794329953</v>
      </c>
      <c r="D254" s="441">
        <f>LN_IF23</f>
        <v>1929516674</v>
      </c>
      <c r="E254" s="441">
        <f>D254-C254</f>
        <v>135186721</v>
      </c>
      <c r="F254" s="449">
        <f>IF(C254=0,0,E254/C254)</f>
        <v>7.5341060195744283E-2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658</v>
      </c>
      <c r="C255" s="441">
        <f>C189+C204</f>
        <v>213273241</v>
      </c>
      <c r="D255" s="441">
        <f>LN_IF24</f>
        <v>250393040</v>
      </c>
      <c r="E255" s="441">
        <f>D255-C255</f>
        <v>37119799</v>
      </c>
      <c r="F255" s="449">
        <f>IF(C255=0,0,E255/C255)</f>
        <v>0.17404808416635822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722</v>
      </c>
      <c r="C256" s="441">
        <f>C254*C313</f>
        <v>480108021.92543584</v>
      </c>
      <c r="D256" s="441">
        <f>LN_IH8*LN_III10</f>
        <v>547791059.82799184</v>
      </c>
      <c r="E256" s="441">
        <f>D256-C256</f>
        <v>67683037.902556002</v>
      </c>
      <c r="F256" s="449">
        <f>IF(C256=0,0,E256/C256)</f>
        <v>0.14097460323849298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723</v>
      </c>
      <c r="C257" s="441">
        <f>C256-C255</f>
        <v>266834780.92543584</v>
      </c>
      <c r="D257" s="441">
        <f>LN_IH10-LN_IH9</f>
        <v>297398019.82799184</v>
      </c>
      <c r="E257" s="441">
        <f>D257-C257</f>
        <v>30563238.902556002</v>
      </c>
      <c r="F257" s="449">
        <f>IF(C257=0,0,E257/C257)</f>
        <v>0.11453993664752637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724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725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4554559396</v>
      </c>
      <c r="D261" s="448">
        <f>LN_IA1+LN_IB1+LN_IF1+LN_IG1</f>
        <v>4627986391</v>
      </c>
      <c r="E261" s="448">
        <f t="shared" ref="E261:E274" si="26">D261-C261</f>
        <v>73426995</v>
      </c>
      <c r="F261" s="503">
        <f t="shared" ref="F261:F274" si="27">IF(C261=0,0,E261/C261)</f>
        <v>1.6121646160655319E-2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1307021996</v>
      </c>
      <c r="D262" s="448">
        <f>+LN_IA2+LN_IB2+LN_IF2+LN_IG2</f>
        <v>1446941593</v>
      </c>
      <c r="E262" s="448">
        <f t="shared" si="26"/>
        <v>139919597</v>
      </c>
      <c r="F262" s="503">
        <f t="shared" si="27"/>
        <v>0.10705221291470905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726</v>
      </c>
      <c r="C263" s="453">
        <f>IF(C261=0,0,C262/C261)</f>
        <v>0.28697001891069424</v>
      </c>
      <c r="D263" s="453">
        <f>IF(LN_IIA1=0,0,LN_IIA2/LN_IIA1)</f>
        <v>0.31265035606281238</v>
      </c>
      <c r="E263" s="454">
        <f t="shared" si="26"/>
        <v>2.5680337152118149E-2</v>
      </c>
      <c r="F263" s="458">
        <f t="shared" si="27"/>
        <v>8.9487874899258843E-2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78529</v>
      </c>
      <c r="D264" s="456">
        <f>LN_IA4+LN_IB4+LN_IF4+LN_IG3</f>
        <v>78452</v>
      </c>
      <c r="E264" s="456">
        <f t="shared" si="26"/>
        <v>-77</v>
      </c>
      <c r="F264" s="503">
        <f t="shared" si="27"/>
        <v>-9.8052948592239819E-4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727</v>
      </c>
      <c r="C265" s="525">
        <f>IF(C264=0,0,C266/C264)</f>
        <v>1.5057475015599333</v>
      </c>
      <c r="D265" s="525">
        <f>IF(LN_IIA4=0,0,LN_IIA6/LN_IIA4)</f>
        <v>1.5341833222862387</v>
      </c>
      <c r="E265" s="525">
        <f t="shared" si="26"/>
        <v>2.843582072630535E-2</v>
      </c>
      <c r="F265" s="503">
        <f t="shared" si="27"/>
        <v>1.8884853334869386E-2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728</v>
      </c>
      <c r="C266" s="463">
        <f>C20+C47+C193+C226</f>
        <v>118244.84555</v>
      </c>
      <c r="D266" s="463">
        <f>LN_IA6+LN_IB6+LN_IF6+LN_IG5</f>
        <v>120359.75</v>
      </c>
      <c r="E266" s="463">
        <f t="shared" si="26"/>
        <v>2114.9044500000018</v>
      </c>
      <c r="F266" s="503">
        <f t="shared" si="27"/>
        <v>1.7885806693414906E-2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3830419171</v>
      </c>
      <c r="D267" s="448">
        <f>LN_IA11+LN_IB13+LN_IF14+LN_IG9</f>
        <v>4095528402</v>
      </c>
      <c r="E267" s="448">
        <f t="shared" si="26"/>
        <v>265109231</v>
      </c>
      <c r="F267" s="503">
        <f t="shared" si="27"/>
        <v>6.9211545568468022E-2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653</v>
      </c>
      <c r="C268" s="453">
        <f>IF(C261=0,0,C267/C261)</f>
        <v>0.84100762290289388</v>
      </c>
      <c r="D268" s="453">
        <f>IF(LN_IIA1=0,0,LN_IIA7/LN_IIA1)</f>
        <v>0.88494823795604372</v>
      </c>
      <c r="E268" s="454">
        <f t="shared" si="26"/>
        <v>4.3940615053149834E-2</v>
      </c>
      <c r="F268" s="458">
        <f t="shared" si="27"/>
        <v>5.2247582372060605E-2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999741703</v>
      </c>
      <c r="D269" s="448">
        <f>LN_IA12+LN_IB14+LN_IF15+LN_IG10</f>
        <v>1108695215</v>
      </c>
      <c r="E269" s="448">
        <f t="shared" si="26"/>
        <v>108953512</v>
      </c>
      <c r="F269" s="503">
        <f t="shared" si="27"/>
        <v>0.10898166163625567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652</v>
      </c>
      <c r="C270" s="453">
        <f>IF(C267=0,0,C269/C267)</f>
        <v>0.26100060029174282</v>
      </c>
      <c r="D270" s="453">
        <f>IF(LN_IIA7=0,0,LN_IIA9/LN_IIA7)</f>
        <v>0.27070871110516109</v>
      </c>
      <c r="E270" s="454">
        <f t="shared" si="26"/>
        <v>9.7081108134182692E-3</v>
      </c>
      <c r="F270" s="458">
        <f t="shared" si="27"/>
        <v>3.7195741322306075E-2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729</v>
      </c>
      <c r="C271" s="441">
        <f>C261+C267</f>
        <v>8384978567</v>
      </c>
      <c r="D271" s="441">
        <f>LN_IIA1+LN_IIA7</f>
        <v>8723514793</v>
      </c>
      <c r="E271" s="441">
        <f t="shared" si="26"/>
        <v>338536226</v>
      </c>
      <c r="F271" s="503">
        <f t="shared" si="27"/>
        <v>4.0374131346303771E-2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730</v>
      </c>
      <c r="C272" s="441">
        <f>C262+C269</f>
        <v>2306763699</v>
      </c>
      <c r="D272" s="441">
        <f>LN_IIA2+LN_IIA9</f>
        <v>2555636808</v>
      </c>
      <c r="E272" s="441">
        <f t="shared" si="26"/>
        <v>248873109</v>
      </c>
      <c r="F272" s="503">
        <f t="shared" si="27"/>
        <v>0.10788842789050671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731</v>
      </c>
      <c r="C273" s="453">
        <f>IF(C271=0,0,C272/C271)</f>
        <v>0.27510668996561549</v>
      </c>
      <c r="D273" s="453">
        <f>IF(LN_IIA11=0,0,LN_IIA12/LN_IIA11)</f>
        <v>0.29295953163863686</v>
      </c>
      <c r="E273" s="454">
        <f t="shared" si="26"/>
        <v>1.7852841673021369E-2</v>
      </c>
      <c r="F273" s="458">
        <f t="shared" si="27"/>
        <v>6.489424766534295E-2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426515</v>
      </c>
      <c r="D274" s="508">
        <f>LN_IA8+LN_IB10+LN_IF11+LN_IG6</f>
        <v>428640</v>
      </c>
      <c r="E274" s="528">
        <f t="shared" si="26"/>
        <v>2125</v>
      </c>
      <c r="F274" s="458">
        <f t="shared" si="27"/>
        <v>4.982239780546991E-3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732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733</v>
      </c>
      <c r="C277" s="448">
        <f>C15+C188+C221</f>
        <v>3092577402</v>
      </c>
      <c r="D277" s="448">
        <f>LN_IA1+LN_IF1+LN_IG1</f>
        <v>3132723203</v>
      </c>
      <c r="E277" s="448">
        <f t="shared" ref="E277:E291" si="28">D277-C277</f>
        <v>40145801</v>
      </c>
      <c r="F277" s="503">
        <f t="shared" ref="F277:F291" si="29">IF(C277=0,0,E277/C277)</f>
        <v>1.2981340733472771E-2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734</v>
      </c>
      <c r="C278" s="448">
        <f>C16+C189+C222</f>
        <v>681155362</v>
      </c>
      <c r="D278" s="448">
        <f>LN_IA2+LN_IF2+LN_IG2</f>
        <v>762871724</v>
      </c>
      <c r="E278" s="448">
        <f t="shared" si="28"/>
        <v>81716362</v>
      </c>
      <c r="F278" s="503">
        <f t="shared" si="29"/>
        <v>0.11996728875489641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735</v>
      </c>
      <c r="C279" s="453">
        <f>IF(C277=0,0,C278/C277)</f>
        <v>0.22025491150504112</v>
      </c>
      <c r="D279" s="453">
        <f>IF(D277=0,0,LN_IIB2/D277)</f>
        <v>0.24351711739787563</v>
      </c>
      <c r="E279" s="454">
        <f t="shared" si="28"/>
        <v>2.3262205892834509E-2</v>
      </c>
      <c r="F279" s="458">
        <f t="shared" si="29"/>
        <v>0.10561492469738679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736</v>
      </c>
      <c r="C280" s="456">
        <f>C18+C191+C224</f>
        <v>51061</v>
      </c>
      <c r="D280" s="456">
        <f>LN_IA4+LN_IF4+LN_IG3</f>
        <v>50740</v>
      </c>
      <c r="E280" s="456">
        <f t="shared" si="28"/>
        <v>-321</v>
      </c>
      <c r="F280" s="503">
        <f t="shared" si="29"/>
        <v>-6.2865983823270207E-3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737</v>
      </c>
      <c r="C281" s="525">
        <f>IF(C280=0,0,C282/C280)</f>
        <v>1.5424877881357595</v>
      </c>
      <c r="D281" s="525">
        <f>IF(LN_IIB4=0,0,LN_IIB6/LN_IIB4)</f>
        <v>1.5692374852187623</v>
      </c>
      <c r="E281" s="525">
        <f t="shared" si="28"/>
        <v>2.6749697083002788E-2</v>
      </c>
      <c r="F281" s="503">
        <f t="shared" si="29"/>
        <v>1.7341918223762597E-2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738</v>
      </c>
      <c r="C282" s="463">
        <f>C20+C193+C226</f>
        <v>78760.968950000009</v>
      </c>
      <c r="D282" s="463">
        <f>LN_IA6+LN_IF6+LN_IG5</f>
        <v>79623.11</v>
      </c>
      <c r="E282" s="463">
        <f t="shared" si="28"/>
        <v>862.14104999999108</v>
      </c>
      <c r="F282" s="503">
        <f t="shared" si="29"/>
        <v>1.0946298166383732E-2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739</v>
      </c>
      <c r="C283" s="448">
        <f>C27+C203+C233</f>
        <v>2155418624</v>
      </c>
      <c r="D283" s="448">
        <f>LN_IA11+LN_IF14+LN_IG9</f>
        <v>2367615161</v>
      </c>
      <c r="E283" s="448">
        <f t="shared" si="28"/>
        <v>212196537</v>
      </c>
      <c r="F283" s="503">
        <f t="shared" si="29"/>
        <v>9.8447946323395971E-2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740</v>
      </c>
      <c r="C284" s="453">
        <f>IF(C277=0,0,C283/C277)</f>
        <v>0.69696513419714889</v>
      </c>
      <c r="D284" s="453">
        <f>IF(D277=0,0,LN_IIB7/D277)</f>
        <v>0.75576902508740418</v>
      </c>
      <c r="E284" s="454">
        <f t="shared" si="28"/>
        <v>5.8803890890255284E-2</v>
      </c>
      <c r="F284" s="458">
        <f t="shared" si="29"/>
        <v>8.4371352317347867E-2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741</v>
      </c>
      <c r="C285" s="448">
        <f>C28+C204+C234</f>
        <v>313725636</v>
      </c>
      <c r="D285" s="448">
        <f>LN_IA12+LN_IF15+LN_IG10</f>
        <v>369747992</v>
      </c>
      <c r="E285" s="448">
        <f t="shared" si="28"/>
        <v>56022356</v>
      </c>
      <c r="F285" s="503">
        <f t="shared" si="29"/>
        <v>0.1785711767590456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742</v>
      </c>
      <c r="C286" s="453">
        <f>IF(C283=0,0,C285/C283)</f>
        <v>0.14555206701229653</v>
      </c>
      <c r="D286" s="453">
        <f>IF(LN_IIB7=0,0,LN_IIB9/LN_IIB7)</f>
        <v>0.15616895773037331</v>
      </c>
      <c r="E286" s="454">
        <f t="shared" si="28"/>
        <v>1.0616890718076782E-2</v>
      </c>
      <c r="F286" s="458">
        <f t="shared" si="29"/>
        <v>7.2942218795009256E-2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743</v>
      </c>
      <c r="C287" s="441">
        <f>C277+C283</f>
        <v>5247996026</v>
      </c>
      <c r="D287" s="441">
        <f>D277+LN_IIB7</f>
        <v>5500338364</v>
      </c>
      <c r="E287" s="441">
        <f t="shared" si="28"/>
        <v>252342338</v>
      </c>
      <c r="F287" s="503">
        <f t="shared" si="29"/>
        <v>4.808356118217838E-2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744</v>
      </c>
      <c r="C288" s="441">
        <f>C278+C285</f>
        <v>994880998</v>
      </c>
      <c r="D288" s="441">
        <f>LN_IIB2+LN_IIB9</f>
        <v>1132619716</v>
      </c>
      <c r="E288" s="441">
        <f t="shared" si="28"/>
        <v>137738718</v>
      </c>
      <c r="F288" s="503">
        <f t="shared" si="29"/>
        <v>0.13844743067451773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745</v>
      </c>
      <c r="C289" s="453">
        <f>IF(C287=0,0,C288/C287)</f>
        <v>0.18957350445219259</v>
      </c>
      <c r="D289" s="453">
        <f>IF(LN_IIB11=0,0,LN_IIB12/LN_IIB11)</f>
        <v>0.2059181892177861</v>
      </c>
      <c r="E289" s="454">
        <f t="shared" si="28"/>
        <v>1.6344684765593503E-2</v>
      </c>
      <c r="F289" s="458">
        <f t="shared" si="29"/>
        <v>8.6218191792278506E-2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303729</v>
      </c>
      <c r="D290" s="508">
        <f>LN_IA8+LN_IF11+LN_IG6</f>
        <v>303679</v>
      </c>
      <c r="E290" s="528">
        <f t="shared" si="28"/>
        <v>-50</v>
      </c>
      <c r="F290" s="458">
        <f t="shared" si="29"/>
        <v>-1.6462043466379569E-4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746</v>
      </c>
      <c r="C291" s="448">
        <f>C287-C288</f>
        <v>4253115028</v>
      </c>
      <c r="D291" s="516">
        <f>LN_IIB11-LN_IIB12</f>
        <v>4367718648</v>
      </c>
      <c r="E291" s="441">
        <f t="shared" si="28"/>
        <v>114603620</v>
      </c>
      <c r="F291" s="503">
        <f t="shared" si="29"/>
        <v>2.6945807777480124E-2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648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639</v>
      </c>
      <c r="C294" s="466">
        <f>IF(C18=0,0,C22/C18)</f>
        <v>6.4335481130071512</v>
      </c>
      <c r="D294" s="466">
        <f>IF(LN_IA4=0,0,LN_IA8/LN_IA4)</f>
        <v>6.4036824673243347</v>
      </c>
      <c r="E294" s="466">
        <f t="shared" ref="E294:E300" si="30">D294-C294</f>
        <v>-2.9865645682816577E-2</v>
      </c>
      <c r="F294" s="503">
        <f t="shared" ref="F294:F300" si="31">IF(C294=0,0,E294/C294)</f>
        <v>-4.6421733634718805E-3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660</v>
      </c>
      <c r="C295" s="466">
        <f>IF(C45=0,0,C51/C45)</f>
        <v>4.4701470802388235</v>
      </c>
      <c r="D295" s="466">
        <f>IF(LN_IB4=0,0,(LN_IB10)/(LN_IB4))</f>
        <v>4.50927396073903</v>
      </c>
      <c r="E295" s="466">
        <f t="shared" si="30"/>
        <v>3.9126880500206518E-2</v>
      </c>
      <c r="F295" s="503">
        <f t="shared" si="31"/>
        <v>8.7529291090162765E-3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675</v>
      </c>
      <c r="C296" s="466">
        <f>IF(C86=0,0,C93/C86)</f>
        <v>4.5546218487394956</v>
      </c>
      <c r="D296" s="466">
        <f>IF(LN_IC4=0,0,LN_IC11/LN_IC4)</f>
        <v>4.8737864077669899</v>
      </c>
      <c r="E296" s="466">
        <f t="shared" si="30"/>
        <v>0.3191645590274943</v>
      </c>
      <c r="F296" s="503">
        <f t="shared" si="31"/>
        <v>7.0074875506036569E-2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5.3706000446129822</v>
      </c>
      <c r="D297" s="466">
        <f>IF(LN_ID4=0,0,LN_ID11/LN_ID4)</f>
        <v>5.4968087019057892</v>
      </c>
      <c r="E297" s="466">
        <f t="shared" si="30"/>
        <v>0.12620865729280695</v>
      </c>
      <c r="F297" s="503">
        <f t="shared" si="31"/>
        <v>2.349991737318094E-2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747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4.0625</v>
      </c>
      <c r="D299" s="466">
        <f>IF(LN_IG3=0,0,LN_IG6/LN_IG3)</f>
        <v>3.8184019370460049</v>
      </c>
      <c r="E299" s="466">
        <f t="shared" si="30"/>
        <v>-0.24409806295399505</v>
      </c>
      <c r="F299" s="503">
        <f t="shared" si="31"/>
        <v>-6.0085677034829553E-2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748</v>
      </c>
      <c r="C300" s="466">
        <f>IF(C264=0,0,C274/C264)</f>
        <v>5.4313056323141771</v>
      </c>
      <c r="D300" s="466">
        <f>IF(LN_IIA4=0,0,LN_IIA14/LN_IIA4)</f>
        <v>5.4637230408402591</v>
      </c>
      <c r="E300" s="466">
        <f t="shared" si="30"/>
        <v>3.2417408526081992E-2</v>
      </c>
      <c r="F300" s="503">
        <f t="shared" si="31"/>
        <v>5.9686216760130185E-3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749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743</v>
      </c>
      <c r="C304" s="441">
        <f>C35+C66+C214+C221+C233</f>
        <v>8384978567</v>
      </c>
      <c r="D304" s="441">
        <f>LN_IIA11</f>
        <v>8723514793</v>
      </c>
      <c r="E304" s="441">
        <f t="shared" ref="E304:E316" si="32">D304-C304</f>
        <v>338536226</v>
      </c>
      <c r="F304" s="449">
        <f>IF(C304=0,0,E304/C304)</f>
        <v>4.0374131346303771E-2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746</v>
      </c>
      <c r="C305" s="441">
        <f>C291</f>
        <v>4253115028</v>
      </c>
      <c r="D305" s="441">
        <f>LN_IIB14</f>
        <v>4367718648</v>
      </c>
      <c r="E305" s="441">
        <f t="shared" si="32"/>
        <v>114603620</v>
      </c>
      <c r="F305" s="449">
        <f>IF(C305=0,0,E305/C305)</f>
        <v>2.6945807777480124E-2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750</v>
      </c>
      <c r="C306" s="441">
        <f>C250</f>
        <v>201141000</v>
      </c>
      <c r="D306" s="441">
        <f>LN_IH6</f>
        <v>175665000</v>
      </c>
      <c r="E306" s="441">
        <f t="shared" si="32"/>
        <v>-25476000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751</v>
      </c>
      <c r="C307" s="441">
        <f>C73-C74</f>
        <v>1687157766</v>
      </c>
      <c r="D307" s="441">
        <f>LN_IB32-LN_IB33</f>
        <v>1703519526</v>
      </c>
      <c r="E307" s="441">
        <f t="shared" si="32"/>
        <v>16361760</v>
      </c>
      <c r="F307" s="449">
        <f t="shared" ref="F307:F316" si="33">IF(C307=0,0,E307/C307)</f>
        <v>9.6978245483179074E-3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752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753</v>
      </c>
      <c r="C309" s="441">
        <f>C305+C307+C308+C306</f>
        <v>6141413794</v>
      </c>
      <c r="D309" s="441">
        <f>LN_III2+LN_III3+LN_III4+LN_III5</f>
        <v>6246903174</v>
      </c>
      <c r="E309" s="441">
        <f t="shared" si="32"/>
        <v>105489380</v>
      </c>
      <c r="F309" s="449">
        <f t="shared" si="33"/>
        <v>1.7176725675618919E-2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754</v>
      </c>
      <c r="C310" s="441">
        <f>C304-C309</f>
        <v>2243564773</v>
      </c>
      <c r="D310" s="441">
        <f>LN_III1-LN_III6</f>
        <v>2476611619</v>
      </c>
      <c r="E310" s="441">
        <f t="shared" si="32"/>
        <v>233046846</v>
      </c>
      <c r="F310" s="449">
        <f t="shared" si="33"/>
        <v>0.10387346458840126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755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756</v>
      </c>
      <c r="C312" s="441">
        <f>C310+C311</f>
        <v>2243564773</v>
      </c>
      <c r="D312" s="441">
        <f>LN_III7+LN_III8</f>
        <v>2476611619</v>
      </c>
      <c r="E312" s="441">
        <f t="shared" si="32"/>
        <v>233046846</v>
      </c>
      <c r="F312" s="449">
        <f t="shared" si="33"/>
        <v>0.10387346458840126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757</v>
      </c>
      <c r="C313" s="532">
        <f>IF(C304=0,0,C312/C304)</f>
        <v>0.26756952985303917</v>
      </c>
      <c r="D313" s="532">
        <f>IF(LN_III1=0,0,LN_III9/LN_III1)</f>
        <v>0.28390066134665176</v>
      </c>
      <c r="E313" s="532">
        <f t="shared" si="32"/>
        <v>1.6331131493612594E-2</v>
      </c>
      <c r="F313" s="449">
        <f t="shared" si="33"/>
        <v>6.103509432700488E-2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720</v>
      </c>
      <c r="C314" s="441">
        <f>C306*C313</f>
        <v>53819202.804170154</v>
      </c>
      <c r="D314" s="441">
        <f>D313*LN_III5</f>
        <v>49871409.675459579</v>
      </c>
      <c r="E314" s="441">
        <f t="shared" si="32"/>
        <v>-3947793.1287105754</v>
      </c>
      <c r="F314" s="449">
        <f t="shared" si="33"/>
        <v>-7.3352872636840372E-2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723</v>
      </c>
      <c r="C315" s="441">
        <f>(C214*C313)-C215</f>
        <v>266834780.92543584</v>
      </c>
      <c r="D315" s="441">
        <f>D313*LN_IH8-LN_IH9</f>
        <v>297398019.82799184</v>
      </c>
      <c r="E315" s="441">
        <f t="shared" si="32"/>
        <v>30563238.902556002</v>
      </c>
      <c r="F315" s="449">
        <f t="shared" si="33"/>
        <v>0.11453993664752637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758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759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760</v>
      </c>
      <c r="C318" s="441">
        <f>C314+C315+C316</f>
        <v>320653983.72960597</v>
      </c>
      <c r="D318" s="441">
        <f>D314+D315+D316</f>
        <v>347269429.50345141</v>
      </c>
      <c r="E318" s="441">
        <f>D318-C318</f>
        <v>26615445.773845434</v>
      </c>
      <c r="F318" s="449">
        <f>IF(C318=0,0,E318/C318)</f>
        <v>8.3003633587440853E-2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761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50918658.645760119</v>
      </c>
      <c r="D322" s="441">
        <f>LN_ID22</f>
        <v>48792979.894582435</v>
      </c>
      <c r="E322" s="441">
        <f>LN_IV2-C322</f>
        <v>-2125678.7511776835</v>
      </c>
      <c r="F322" s="449">
        <f>IF(C322=0,0,E322/C322)</f>
        <v>-4.1746558289486362E-2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747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762</v>
      </c>
      <c r="C324" s="441">
        <f>C92+C106</f>
        <v>8024670.908499727</v>
      </c>
      <c r="D324" s="441">
        <f>LN_IC10+LN_IC22</f>
        <v>4063735.7780062342</v>
      </c>
      <c r="E324" s="441">
        <f>LN_IV1-C324</f>
        <v>-3960935.1304934928</v>
      </c>
      <c r="F324" s="449">
        <f>IF(C324=0,0,E324/C324)</f>
        <v>-0.49359471256298776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763</v>
      </c>
      <c r="C325" s="516">
        <f>C324+C322+C323</f>
        <v>58943329.554259844</v>
      </c>
      <c r="D325" s="516">
        <f>LN_IV1+LN_IV2+LN_IV3</f>
        <v>52856715.672588669</v>
      </c>
      <c r="E325" s="441">
        <f>LN_IV4-C325</f>
        <v>-6086613.8816711754</v>
      </c>
      <c r="F325" s="449">
        <f>IF(C325=0,0,E325/C325)</f>
        <v>-0.10326213208007173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764</v>
      </c>
      <c r="B327" s="530" t="s">
        <v>765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766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767</v>
      </c>
      <c r="C330" s="516">
        <v>31589301</v>
      </c>
      <c r="D330" s="516">
        <v>-97646807</v>
      </c>
      <c r="E330" s="518">
        <f t="shared" si="34"/>
        <v>-129236108</v>
      </c>
      <c r="F330" s="543">
        <f t="shared" si="35"/>
        <v>-4.0911354132210773</v>
      </c>
    </row>
    <row r="331" spans="1:22" s="420" customFormat="1" ht="15.75" customHeight="1" x14ac:dyDescent="0.2">
      <c r="A331" s="427">
        <v>3</v>
      </c>
      <c r="B331" s="447" t="s">
        <v>768</v>
      </c>
      <c r="C331" s="516">
        <v>2338353000</v>
      </c>
      <c r="D331" s="516">
        <v>2457990000</v>
      </c>
      <c r="E331" s="518">
        <f t="shared" si="34"/>
        <v>119637000</v>
      </c>
      <c r="F331" s="542">
        <f t="shared" si="35"/>
        <v>5.1162933911175941E-2</v>
      </c>
    </row>
    <row r="332" spans="1:22" s="420" customFormat="1" ht="27" customHeight="1" x14ac:dyDescent="0.2">
      <c r="A332" s="451">
        <v>4</v>
      </c>
      <c r="B332" s="447" t="s">
        <v>769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770</v>
      </c>
      <c r="C333" s="516">
        <v>8384978567</v>
      </c>
      <c r="D333" s="516">
        <v>8723514793</v>
      </c>
      <c r="E333" s="518">
        <f t="shared" si="34"/>
        <v>338536226</v>
      </c>
      <c r="F333" s="542">
        <f t="shared" si="35"/>
        <v>4.0374131346303771E-2</v>
      </c>
    </row>
    <row r="334" spans="1:22" s="420" customFormat="1" ht="15.75" customHeight="1" x14ac:dyDescent="0.2">
      <c r="A334" s="427">
        <v>6</v>
      </c>
      <c r="B334" s="447" t="s">
        <v>771</v>
      </c>
      <c r="C334" s="516">
        <v>612000</v>
      </c>
      <c r="D334" s="516">
        <v>596000</v>
      </c>
      <c r="E334" s="516">
        <f t="shared" si="34"/>
        <v>-16000</v>
      </c>
      <c r="F334" s="543">
        <f t="shared" si="35"/>
        <v>-2.6143790849673203E-2</v>
      </c>
    </row>
    <row r="335" spans="1:22" s="420" customFormat="1" ht="15.75" customHeight="1" x14ac:dyDescent="0.2">
      <c r="A335" s="451">
        <v>7</v>
      </c>
      <c r="B335" s="447" t="s">
        <v>772</v>
      </c>
      <c r="C335" s="516">
        <v>201753000</v>
      </c>
      <c r="D335" s="516">
        <v>176261000</v>
      </c>
      <c r="E335" s="516">
        <f t="shared" si="34"/>
        <v>-25492000</v>
      </c>
      <c r="F335" s="542">
        <f t="shared" si="35"/>
        <v>-0.12635252016079068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FILING&amp;RYALE-NEW HAVEN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633</v>
      </c>
      <c r="B3" s="820"/>
      <c r="C3" s="820"/>
      <c r="D3" s="820"/>
      <c r="E3" s="820"/>
    </row>
    <row r="4" spans="1:5" s="428" customFormat="1" ht="15.75" customHeight="1" x14ac:dyDescent="0.25">
      <c r="A4" s="820" t="s">
        <v>773</v>
      </c>
      <c r="B4" s="820"/>
      <c r="C4" s="820"/>
      <c r="D4" s="820"/>
      <c r="E4" s="820"/>
    </row>
    <row r="5" spans="1:5" s="428" customFormat="1" ht="15.75" customHeight="1" x14ac:dyDescent="0.25">
      <c r="A5" s="820" t="s">
        <v>774</v>
      </c>
      <c r="B5" s="820"/>
      <c r="C5" s="820"/>
      <c r="D5" s="820"/>
      <c r="E5" s="820"/>
    </row>
    <row r="6" spans="1:5" s="428" customFormat="1" ht="15.75" customHeight="1" x14ac:dyDescent="0.25">
      <c r="A6" s="820" t="s">
        <v>775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776</v>
      </c>
      <c r="D9" s="573" t="s">
        <v>777</v>
      </c>
      <c r="E9" s="573" t="s">
        <v>778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779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780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660</v>
      </c>
      <c r="C14" s="589">
        <v>1461981994</v>
      </c>
      <c r="D14" s="589">
        <v>1495263188</v>
      </c>
      <c r="E14" s="590">
        <f t="shared" ref="E14:E22" si="0">D14-C14</f>
        <v>33281194</v>
      </c>
    </row>
    <row r="15" spans="1:5" s="421" customFormat="1" x14ac:dyDescent="0.2">
      <c r="A15" s="588">
        <v>2</v>
      </c>
      <c r="B15" s="587" t="s">
        <v>639</v>
      </c>
      <c r="C15" s="589">
        <v>1970435186</v>
      </c>
      <c r="D15" s="591">
        <v>1964467554</v>
      </c>
      <c r="E15" s="590">
        <f t="shared" si="0"/>
        <v>-5967632</v>
      </c>
    </row>
    <row r="16" spans="1:5" s="421" customFormat="1" x14ac:dyDescent="0.2">
      <c r="A16" s="588">
        <v>3</v>
      </c>
      <c r="B16" s="587" t="s">
        <v>781</v>
      </c>
      <c r="C16" s="589">
        <v>1096846915</v>
      </c>
      <c r="D16" s="591">
        <v>1148213273</v>
      </c>
      <c r="E16" s="590">
        <f t="shared" si="0"/>
        <v>51366358</v>
      </c>
    </row>
    <row r="17" spans="1:5" s="421" customFormat="1" x14ac:dyDescent="0.2">
      <c r="A17" s="588">
        <v>4</v>
      </c>
      <c r="B17" s="587" t="s">
        <v>115</v>
      </c>
      <c r="C17" s="589">
        <v>1096846915</v>
      </c>
      <c r="D17" s="591">
        <v>1148213273</v>
      </c>
      <c r="E17" s="590">
        <f t="shared" si="0"/>
        <v>51366358</v>
      </c>
    </row>
    <row r="18" spans="1:5" s="421" customFormat="1" x14ac:dyDescent="0.2">
      <c r="A18" s="588">
        <v>5</v>
      </c>
      <c r="B18" s="587" t="s">
        <v>747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25295301</v>
      </c>
      <c r="D19" s="591">
        <v>20042376</v>
      </c>
      <c r="E19" s="590">
        <f t="shared" si="0"/>
        <v>-5252925</v>
      </c>
    </row>
    <row r="20" spans="1:5" s="421" customFormat="1" x14ac:dyDescent="0.2">
      <c r="A20" s="588">
        <v>7</v>
      </c>
      <c r="B20" s="587" t="s">
        <v>762</v>
      </c>
      <c r="C20" s="589">
        <v>65761465</v>
      </c>
      <c r="D20" s="591">
        <v>80469795</v>
      </c>
      <c r="E20" s="590">
        <f t="shared" si="0"/>
        <v>14708330</v>
      </c>
    </row>
    <row r="21" spans="1:5" s="421" customFormat="1" x14ac:dyDescent="0.2">
      <c r="A21" s="588"/>
      <c r="B21" s="592" t="s">
        <v>782</v>
      </c>
      <c r="C21" s="593">
        <f>SUM(C15+C16+C19)</f>
        <v>3092577402</v>
      </c>
      <c r="D21" s="593">
        <f>SUM(D15+D16+D19)</f>
        <v>3132723203</v>
      </c>
      <c r="E21" s="593">
        <f t="shared" si="0"/>
        <v>40145801</v>
      </c>
    </row>
    <row r="22" spans="1:5" s="421" customFormat="1" x14ac:dyDescent="0.2">
      <c r="A22" s="588"/>
      <c r="B22" s="592" t="s">
        <v>465</v>
      </c>
      <c r="C22" s="593">
        <f>SUM(C14+C21)</f>
        <v>4554559396</v>
      </c>
      <c r="D22" s="593">
        <f>SUM(D14+D21)</f>
        <v>4627986391</v>
      </c>
      <c r="E22" s="593">
        <f t="shared" si="0"/>
        <v>73426995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783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660</v>
      </c>
      <c r="C25" s="589">
        <v>1675000547</v>
      </c>
      <c r="D25" s="589">
        <v>1727913241</v>
      </c>
      <c r="E25" s="590">
        <f t="shared" ref="E25:E33" si="1">D25-C25</f>
        <v>52912694</v>
      </c>
    </row>
    <row r="26" spans="1:5" s="421" customFormat="1" x14ac:dyDescent="0.2">
      <c r="A26" s="588">
        <v>2</v>
      </c>
      <c r="B26" s="587" t="s">
        <v>639</v>
      </c>
      <c r="C26" s="589">
        <v>1435862697</v>
      </c>
      <c r="D26" s="591">
        <v>1566403285</v>
      </c>
      <c r="E26" s="590">
        <f t="shared" si="1"/>
        <v>130540588</v>
      </c>
    </row>
    <row r="27" spans="1:5" s="421" customFormat="1" x14ac:dyDescent="0.2">
      <c r="A27" s="588">
        <v>3</v>
      </c>
      <c r="B27" s="587" t="s">
        <v>781</v>
      </c>
      <c r="C27" s="589">
        <v>697483038</v>
      </c>
      <c r="D27" s="591">
        <v>781303401</v>
      </c>
      <c r="E27" s="590">
        <f t="shared" si="1"/>
        <v>83820363</v>
      </c>
    </row>
    <row r="28" spans="1:5" s="421" customFormat="1" x14ac:dyDescent="0.2">
      <c r="A28" s="588">
        <v>4</v>
      </c>
      <c r="B28" s="587" t="s">
        <v>115</v>
      </c>
      <c r="C28" s="589">
        <v>697483038</v>
      </c>
      <c r="D28" s="591">
        <v>781303401</v>
      </c>
      <c r="E28" s="590">
        <f t="shared" si="1"/>
        <v>83820363</v>
      </c>
    </row>
    <row r="29" spans="1:5" s="421" customFormat="1" x14ac:dyDescent="0.2">
      <c r="A29" s="588">
        <v>5</v>
      </c>
      <c r="B29" s="587" t="s">
        <v>747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22072889</v>
      </c>
      <c r="D30" s="591">
        <v>19908475</v>
      </c>
      <c r="E30" s="590">
        <f t="shared" si="1"/>
        <v>-2164414</v>
      </c>
    </row>
    <row r="31" spans="1:5" s="421" customFormat="1" x14ac:dyDescent="0.2">
      <c r="A31" s="588">
        <v>7</v>
      </c>
      <c r="B31" s="587" t="s">
        <v>762</v>
      </c>
      <c r="C31" s="590">
        <v>94861804</v>
      </c>
      <c r="D31" s="594">
        <v>96954852</v>
      </c>
      <c r="E31" s="590">
        <f t="shared" si="1"/>
        <v>2093048</v>
      </c>
    </row>
    <row r="32" spans="1:5" s="421" customFormat="1" x14ac:dyDescent="0.2">
      <c r="A32" s="588"/>
      <c r="B32" s="592" t="s">
        <v>784</v>
      </c>
      <c r="C32" s="593">
        <f>SUM(C26+C27+C30)</f>
        <v>2155418624</v>
      </c>
      <c r="D32" s="593">
        <f>SUM(D26+D27+D30)</f>
        <v>2367615161</v>
      </c>
      <c r="E32" s="593">
        <f t="shared" si="1"/>
        <v>212196537</v>
      </c>
    </row>
    <row r="33" spans="1:5" s="421" customFormat="1" x14ac:dyDescent="0.2">
      <c r="A33" s="588"/>
      <c r="B33" s="592" t="s">
        <v>467</v>
      </c>
      <c r="C33" s="593">
        <f>SUM(C25+C32)</f>
        <v>3830419171</v>
      </c>
      <c r="D33" s="593">
        <f>SUM(D25+D32)</f>
        <v>4095528402</v>
      </c>
      <c r="E33" s="593">
        <f t="shared" si="1"/>
        <v>265109231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657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785</v>
      </c>
      <c r="C36" s="590">
        <f t="shared" ref="C36:D42" si="2">C14+C25</f>
        <v>3136982541</v>
      </c>
      <c r="D36" s="590">
        <f t="shared" si="2"/>
        <v>3223176429</v>
      </c>
      <c r="E36" s="590">
        <f t="shared" ref="E36:E44" si="3">D36-C36</f>
        <v>86193888</v>
      </c>
    </row>
    <row r="37" spans="1:5" s="421" customFormat="1" x14ac:dyDescent="0.2">
      <c r="A37" s="588">
        <v>2</v>
      </c>
      <c r="B37" s="587" t="s">
        <v>786</v>
      </c>
      <c r="C37" s="590">
        <f t="shared" si="2"/>
        <v>3406297883</v>
      </c>
      <c r="D37" s="590">
        <f t="shared" si="2"/>
        <v>3530870839</v>
      </c>
      <c r="E37" s="590">
        <f t="shared" si="3"/>
        <v>124572956</v>
      </c>
    </row>
    <row r="38" spans="1:5" s="421" customFormat="1" x14ac:dyDescent="0.2">
      <c r="A38" s="588">
        <v>3</v>
      </c>
      <c r="B38" s="587" t="s">
        <v>787</v>
      </c>
      <c r="C38" s="590">
        <f t="shared" si="2"/>
        <v>1794329953</v>
      </c>
      <c r="D38" s="590">
        <f t="shared" si="2"/>
        <v>1929516674</v>
      </c>
      <c r="E38" s="590">
        <f t="shared" si="3"/>
        <v>135186721</v>
      </c>
    </row>
    <row r="39" spans="1:5" s="421" customFormat="1" x14ac:dyDescent="0.2">
      <c r="A39" s="588">
        <v>4</v>
      </c>
      <c r="B39" s="587" t="s">
        <v>788</v>
      </c>
      <c r="C39" s="590">
        <f t="shared" si="2"/>
        <v>1794329953</v>
      </c>
      <c r="D39" s="590">
        <f t="shared" si="2"/>
        <v>1929516674</v>
      </c>
      <c r="E39" s="590">
        <f t="shared" si="3"/>
        <v>135186721</v>
      </c>
    </row>
    <row r="40" spans="1:5" s="421" customFormat="1" x14ac:dyDescent="0.2">
      <c r="A40" s="588">
        <v>5</v>
      </c>
      <c r="B40" s="587" t="s">
        <v>789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790</v>
      </c>
      <c r="C41" s="590">
        <f t="shared" si="2"/>
        <v>47368190</v>
      </c>
      <c r="D41" s="590">
        <f t="shared" si="2"/>
        <v>39950851</v>
      </c>
      <c r="E41" s="590">
        <f t="shared" si="3"/>
        <v>-7417339</v>
      </c>
    </row>
    <row r="42" spans="1:5" s="421" customFormat="1" x14ac:dyDescent="0.2">
      <c r="A42" s="588">
        <v>7</v>
      </c>
      <c r="B42" s="587" t="s">
        <v>791</v>
      </c>
      <c r="C42" s="590">
        <f t="shared" si="2"/>
        <v>160623269</v>
      </c>
      <c r="D42" s="590">
        <f t="shared" si="2"/>
        <v>177424647</v>
      </c>
      <c r="E42" s="590">
        <f t="shared" si="3"/>
        <v>16801378</v>
      </c>
    </row>
    <row r="43" spans="1:5" s="421" customFormat="1" x14ac:dyDescent="0.2">
      <c r="A43" s="588"/>
      <c r="B43" s="592" t="s">
        <v>792</v>
      </c>
      <c r="C43" s="593">
        <f>SUM(C37+C38+C41)</f>
        <v>5247996026</v>
      </c>
      <c r="D43" s="593">
        <f>SUM(D37+D38+D41)</f>
        <v>5500338364</v>
      </c>
      <c r="E43" s="593">
        <f t="shared" si="3"/>
        <v>252342338</v>
      </c>
    </row>
    <row r="44" spans="1:5" s="421" customFormat="1" x14ac:dyDescent="0.2">
      <c r="A44" s="588"/>
      <c r="B44" s="592" t="s">
        <v>729</v>
      </c>
      <c r="C44" s="593">
        <f>SUM(C36+C43)</f>
        <v>8384978567</v>
      </c>
      <c r="D44" s="593">
        <f>SUM(D36+D43)</f>
        <v>8723514793</v>
      </c>
      <c r="E44" s="593">
        <f t="shared" si="3"/>
        <v>338536226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793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660</v>
      </c>
      <c r="C47" s="589">
        <v>625866634</v>
      </c>
      <c r="D47" s="589">
        <v>684069869</v>
      </c>
      <c r="E47" s="590">
        <f t="shared" ref="E47:E55" si="4">D47-C47</f>
        <v>58203235</v>
      </c>
    </row>
    <row r="48" spans="1:5" s="421" customFormat="1" x14ac:dyDescent="0.2">
      <c r="A48" s="588">
        <v>2</v>
      </c>
      <c r="B48" s="587" t="s">
        <v>639</v>
      </c>
      <c r="C48" s="589">
        <v>563117456</v>
      </c>
      <c r="D48" s="591">
        <v>627427757</v>
      </c>
      <c r="E48" s="590">
        <f t="shared" si="4"/>
        <v>64310301</v>
      </c>
    </row>
    <row r="49" spans="1:5" s="421" customFormat="1" x14ac:dyDescent="0.2">
      <c r="A49" s="588">
        <v>3</v>
      </c>
      <c r="B49" s="587" t="s">
        <v>781</v>
      </c>
      <c r="C49" s="589">
        <v>115925541</v>
      </c>
      <c r="D49" s="591">
        <v>130960728</v>
      </c>
      <c r="E49" s="590">
        <f t="shared" si="4"/>
        <v>15035187</v>
      </c>
    </row>
    <row r="50" spans="1:5" s="421" customFormat="1" x14ac:dyDescent="0.2">
      <c r="A50" s="588">
        <v>4</v>
      </c>
      <c r="B50" s="587" t="s">
        <v>115</v>
      </c>
      <c r="C50" s="589">
        <v>115925541</v>
      </c>
      <c r="D50" s="591">
        <v>130960728</v>
      </c>
      <c r="E50" s="590">
        <f t="shared" si="4"/>
        <v>15035187</v>
      </c>
    </row>
    <row r="51" spans="1:5" s="421" customFormat="1" x14ac:dyDescent="0.2">
      <c r="A51" s="588">
        <v>5</v>
      </c>
      <c r="B51" s="587" t="s">
        <v>747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2112365</v>
      </c>
      <c r="D52" s="591">
        <v>4483239</v>
      </c>
      <c r="E52" s="590">
        <f t="shared" si="4"/>
        <v>2370874</v>
      </c>
    </row>
    <row r="53" spans="1:5" s="421" customFormat="1" x14ac:dyDescent="0.2">
      <c r="A53" s="588">
        <v>7</v>
      </c>
      <c r="B53" s="587" t="s">
        <v>762</v>
      </c>
      <c r="C53" s="589">
        <v>12191274</v>
      </c>
      <c r="D53" s="591">
        <v>27560241</v>
      </c>
      <c r="E53" s="590">
        <f t="shared" si="4"/>
        <v>15368967</v>
      </c>
    </row>
    <row r="54" spans="1:5" s="421" customFormat="1" x14ac:dyDescent="0.2">
      <c r="A54" s="588"/>
      <c r="B54" s="592" t="s">
        <v>794</v>
      </c>
      <c r="C54" s="593">
        <f>SUM(C48+C49+C52)</f>
        <v>681155362</v>
      </c>
      <c r="D54" s="593">
        <f>SUM(D48+D49+D52)</f>
        <v>762871724</v>
      </c>
      <c r="E54" s="593">
        <f t="shared" si="4"/>
        <v>81716362</v>
      </c>
    </row>
    <row r="55" spans="1:5" s="421" customFormat="1" x14ac:dyDescent="0.2">
      <c r="A55" s="588"/>
      <c r="B55" s="592" t="s">
        <v>466</v>
      </c>
      <c r="C55" s="593">
        <f>SUM(C47+C54)</f>
        <v>1307021996</v>
      </c>
      <c r="D55" s="593">
        <f>SUM(D47+D54)</f>
        <v>1446941593</v>
      </c>
      <c r="E55" s="593">
        <f t="shared" si="4"/>
        <v>139919597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795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660</v>
      </c>
      <c r="C58" s="589">
        <v>686016067</v>
      </c>
      <c r="D58" s="589">
        <v>738947223</v>
      </c>
      <c r="E58" s="590">
        <f t="shared" ref="E58:E66" si="5">D58-C58</f>
        <v>52931156</v>
      </c>
    </row>
    <row r="59" spans="1:5" s="421" customFormat="1" x14ac:dyDescent="0.2">
      <c r="A59" s="588">
        <v>2</v>
      </c>
      <c r="B59" s="587" t="s">
        <v>639</v>
      </c>
      <c r="C59" s="589">
        <v>214103595</v>
      </c>
      <c r="D59" s="591">
        <v>248796075</v>
      </c>
      <c r="E59" s="590">
        <f t="shared" si="5"/>
        <v>34692480</v>
      </c>
    </row>
    <row r="60" spans="1:5" s="421" customFormat="1" x14ac:dyDescent="0.2">
      <c r="A60" s="588">
        <v>3</v>
      </c>
      <c r="B60" s="587" t="s">
        <v>781</v>
      </c>
      <c r="C60" s="589">
        <f>C61+C62</f>
        <v>97347700</v>
      </c>
      <c r="D60" s="591">
        <f>D61+D62</f>
        <v>119432312</v>
      </c>
      <c r="E60" s="590">
        <f t="shared" si="5"/>
        <v>22084612</v>
      </c>
    </row>
    <row r="61" spans="1:5" s="421" customFormat="1" x14ac:dyDescent="0.2">
      <c r="A61" s="588">
        <v>4</v>
      </c>
      <c r="B61" s="587" t="s">
        <v>115</v>
      </c>
      <c r="C61" s="589">
        <v>97347700</v>
      </c>
      <c r="D61" s="591">
        <v>119432312</v>
      </c>
      <c r="E61" s="590">
        <f t="shared" si="5"/>
        <v>22084612</v>
      </c>
    </row>
    <row r="62" spans="1:5" s="421" customFormat="1" x14ac:dyDescent="0.2">
      <c r="A62" s="588">
        <v>5</v>
      </c>
      <c r="B62" s="587" t="s">
        <v>747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2274341</v>
      </c>
      <c r="D63" s="591">
        <v>1519605</v>
      </c>
      <c r="E63" s="590">
        <f t="shared" si="5"/>
        <v>-754736</v>
      </c>
    </row>
    <row r="64" spans="1:5" s="421" customFormat="1" x14ac:dyDescent="0.2">
      <c r="A64" s="588">
        <v>7</v>
      </c>
      <c r="B64" s="587" t="s">
        <v>762</v>
      </c>
      <c r="C64" s="589">
        <v>10489921</v>
      </c>
      <c r="D64" s="591">
        <v>12752235</v>
      </c>
      <c r="E64" s="590">
        <f t="shared" si="5"/>
        <v>2262314</v>
      </c>
    </row>
    <row r="65" spans="1:5" s="421" customFormat="1" x14ac:dyDescent="0.2">
      <c r="A65" s="588"/>
      <c r="B65" s="592" t="s">
        <v>796</v>
      </c>
      <c r="C65" s="593">
        <f>SUM(C59+C60+C63)</f>
        <v>313725636</v>
      </c>
      <c r="D65" s="593">
        <f>SUM(D59+D60+D63)</f>
        <v>369747992</v>
      </c>
      <c r="E65" s="593">
        <f t="shared" si="5"/>
        <v>56022356</v>
      </c>
    </row>
    <row r="66" spans="1:5" s="421" customFormat="1" x14ac:dyDescent="0.2">
      <c r="A66" s="588"/>
      <c r="B66" s="592" t="s">
        <v>468</v>
      </c>
      <c r="C66" s="593">
        <f>SUM(C58+C65)</f>
        <v>999741703</v>
      </c>
      <c r="D66" s="593">
        <f>SUM(D58+D65)</f>
        <v>1108695215</v>
      </c>
      <c r="E66" s="593">
        <f t="shared" si="5"/>
        <v>108953512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658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785</v>
      </c>
      <c r="C69" s="590">
        <f t="shared" ref="C69:D75" si="6">C47+C58</f>
        <v>1311882701</v>
      </c>
      <c r="D69" s="590">
        <f t="shared" si="6"/>
        <v>1423017092</v>
      </c>
      <c r="E69" s="590">
        <f t="shared" ref="E69:E77" si="7">D69-C69</f>
        <v>111134391</v>
      </c>
    </row>
    <row r="70" spans="1:5" s="421" customFormat="1" x14ac:dyDescent="0.2">
      <c r="A70" s="588">
        <v>2</v>
      </c>
      <c r="B70" s="587" t="s">
        <v>786</v>
      </c>
      <c r="C70" s="590">
        <f t="shared" si="6"/>
        <v>777221051</v>
      </c>
      <c r="D70" s="590">
        <f t="shared" si="6"/>
        <v>876223832</v>
      </c>
      <c r="E70" s="590">
        <f t="shared" si="7"/>
        <v>99002781</v>
      </c>
    </row>
    <row r="71" spans="1:5" s="421" customFormat="1" x14ac:dyDescent="0.2">
      <c r="A71" s="588">
        <v>3</v>
      </c>
      <c r="B71" s="587" t="s">
        <v>787</v>
      </c>
      <c r="C71" s="590">
        <f t="shared" si="6"/>
        <v>213273241</v>
      </c>
      <c r="D71" s="590">
        <f t="shared" si="6"/>
        <v>250393040</v>
      </c>
      <c r="E71" s="590">
        <f t="shared" si="7"/>
        <v>37119799</v>
      </c>
    </row>
    <row r="72" spans="1:5" s="421" customFormat="1" x14ac:dyDescent="0.2">
      <c r="A72" s="588">
        <v>4</v>
      </c>
      <c r="B72" s="587" t="s">
        <v>788</v>
      </c>
      <c r="C72" s="590">
        <f t="shared" si="6"/>
        <v>213273241</v>
      </c>
      <c r="D72" s="590">
        <f t="shared" si="6"/>
        <v>250393040</v>
      </c>
      <c r="E72" s="590">
        <f t="shared" si="7"/>
        <v>37119799</v>
      </c>
    </row>
    <row r="73" spans="1:5" s="421" customFormat="1" x14ac:dyDescent="0.2">
      <c r="A73" s="588">
        <v>5</v>
      </c>
      <c r="B73" s="587" t="s">
        <v>789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790</v>
      </c>
      <c r="C74" s="590">
        <f t="shared" si="6"/>
        <v>4386706</v>
      </c>
      <c r="D74" s="590">
        <f t="shared" si="6"/>
        <v>6002844</v>
      </c>
      <c r="E74" s="590">
        <f t="shared" si="7"/>
        <v>1616138</v>
      </c>
    </row>
    <row r="75" spans="1:5" s="421" customFormat="1" x14ac:dyDescent="0.2">
      <c r="A75" s="588">
        <v>7</v>
      </c>
      <c r="B75" s="587" t="s">
        <v>791</v>
      </c>
      <c r="C75" s="590">
        <f t="shared" si="6"/>
        <v>22681195</v>
      </c>
      <c r="D75" s="590">
        <f t="shared" si="6"/>
        <v>40312476</v>
      </c>
      <c r="E75" s="590">
        <f t="shared" si="7"/>
        <v>17631281</v>
      </c>
    </row>
    <row r="76" spans="1:5" s="421" customFormat="1" x14ac:dyDescent="0.2">
      <c r="A76" s="588"/>
      <c r="B76" s="592" t="s">
        <v>797</v>
      </c>
      <c r="C76" s="593">
        <f>SUM(C70+C71+C74)</f>
        <v>994880998</v>
      </c>
      <c r="D76" s="593">
        <f>SUM(D70+D71+D74)</f>
        <v>1132619716</v>
      </c>
      <c r="E76" s="593">
        <f t="shared" si="7"/>
        <v>137738718</v>
      </c>
    </row>
    <row r="77" spans="1:5" s="421" customFormat="1" x14ac:dyDescent="0.2">
      <c r="A77" s="588"/>
      <c r="B77" s="592" t="s">
        <v>730</v>
      </c>
      <c r="C77" s="593">
        <f>SUM(C69+C76)</f>
        <v>2306763699</v>
      </c>
      <c r="D77" s="593">
        <f>SUM(D69+D76)</f>
        <v>2555636808</v>
      </c>
      <c r="E77" s="593">
        <f t="shared" si="7"/>
        <v>248873109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798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799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660</v>
      </c>
      <c r="C83" s="599">
        <f t="shared" ref="C83:D89" si="8">IF(C$44=0,0,C14/C$44)</f>
        <v>0.17435727262962722</v>
      </c>
      <c r="D83" s="599">
        <f t="shared" si="8"/>
        <v>0.17140604715886334</v>
      </c>
      <c r="E83" s="599">
        <f t="shared" ref="E83:E91" si="9">D83-C83</f>
        <v>-2.9512254707638741E-3</v>
      </c>
    </row>
    <row r="84" spans="1:5" s="421" customFormat="1" x14ac:dyDescent="0.2">
      <c r="A84" s="588">
        <v>2</v>
      </c>
      <c r="B84" s="587" t="s">
        <v>639</v>
      </c>
      <c r="C84" s="599">
        <f t="shared" si="8"/>
        <v>0.23499585243483664</v>
      </c>
      <c r="D84" s="599">
        <f t="shared" si="8"/>
        <v>0.22519220756940145</v>
      </c>
      <c r="E84" s="599">
        <f t="shared" si="9"/>
        <v>-9.803644865435196E-3</v>
      </c>
    </row>
    <row r="85" spans="1:5" s="421" customFormat="1" x14ac:dyDescent="0.2">
      <c r="A85" s="588">
        <v>3</v>
      </c>
      <c r="B85" s="587" t="s">
        <v>781</v>
      </c>
      <c r="C85" s="599">
        <f t="shared" si="8"/>
        <v>0.13081093842228303</v>
      </c>
      <c r="D85" s="599">
        <f t="shared" si="8"/>
        <v>0.13162278052435464</v>
      </c>
      <c r="E85" s="599">
        <f t="shared" si="9"/>
        <v>8.1184210207160823E-4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0.13081093842228303</v>
      </c>
      <c r="D86" s="599">
        <f t="shared" si="8"/>
        <v>0.13162278052435464</v>
      </c>
      <c r="E86" s="599">
        <f t="shared" si="9"/>
        <v>8.1184210207160823E-4</v>
      </c>
    </row>
    <row r="87" spans="1:5" s="421" customFormat="1" x14ac:dyDescent="0.2">
      <c r="A87" s="588">
        <v>5</v>
      </c>
      <c r="B87" s="587" t="s">
        <v>747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3.0167400903745208E-3</v>
      </c>
      <c r="D88" s="599">
        <f t="shared" si="8"/>
        <v>2.2975115507435813E-3</v>
      </c>
      <c r="E88" s="599">
        <f t="shared" si="9"/>
        <v>-7.1922853963093947E-4</v>
      </c>
    </row>
    <row r="89" spans="1:5" s="421" customFormat="1" x14ac:dyDescent="0.2">
      <c r="A89" s="588">
        <v>7</v>
      </c>
      <c r="B89" s="587" t="s">
        <v>762</v>
      </c>
      <c r="C89" s="599">
        <f t="shared" si="8"/>
        <v>7.8427707923800112E-3</v>
      </c>
      <c r="D89" s="599">
        <f t="shared" si="8"/>
        <v>9.2244693692238918E-3</v>
      </c>
      <c r="E89" s="599">
        <f t="shared" si="9"/>
        <v>1.3816985768438806E-3</v>
      </c>
    </row>
    <row r="90" spans="1:5" s="421" customFormat="1" x14ac:dyDescent="0.2">
      <c r="A90" s="588"/>
      <c r="B90" s="592" t="s">
        <v>800</v>
      </c>
      <c r="C90" s="600">
        <f>SUM(C84+C85+C88)</f>
        <v>0.36882353094749415</v>
      </c>
      <c r="D90" s="600">
        <f>SUM(D84+D85+D88)</f>
        <v>0.35911249964449971</v>
      </c>
      <c r="E90" s="601">
        <f t="shared" si="9"/>
        <v>-9.7110313029944439E-3</v>
      </c>
    </row>
    <row r="91" spans="1:5" s="421" customFormat="1" x14ac:dyDescent="0.2">
      <c r="A91" s="588"/>
      <c r="B91" s="592" t="s">
        <v>801</v>
      </c>
      <c r="C91" s="600">
        <f>SUM(C83+C90)</f>
        <v>0.5431808035771214</v>
      </c>
      <c r="D91" s="600">
        <f>SUM(D83+D90)</f>
        <v>0.53051854680336308</v>
      </c>
      <c r="E91" s="601">
        <f t="shared" si="9"/>
        <v>-1.2662256773758318E-2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802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660</v>
      </c>
      <c r="C95" s="599">
        <f t="shared" ref="C95:D101" si="10">IF(C$44=0,0,C25/C$44)</f>
        <v>0.19976205468099201</v>
      </c>
      <c r="D95" s="599">
        <f t="shared" si="10"/>
        <v>0.19807534944361274</v>
      </c>
      <c r="E95" s="599">
        <f t="shared" ref="E95:E103" si="11">D95-C95</f>
        <v>-1.6867052373792657E-3</v>
      </c>
    </row>
    <row r="96" spans="1:5" s="421" customFormat="1" x14ac:dyDescent="0.2">
      <c r="A96" s="588">
        <v>2</v>
      </c>
      <c r="B96" s="587" t="s">
        <v>639</v>
      </c>
      <c r="C96" s="599">
        <f t="shared" si="10"/>
        <v>0.17124226204357809</v>
      </c>
      <c r="D96" s="599">
        <f t="shared" si="10"/>
        <v>0.17956102811414124</v>
      </c>
      <c r="E96" s="599">
        <f t="shared" si="11"/>
        <v>8.3187660705631439E-3</v>
      </c>
    </row>
    <row r="97" spans="1:5" s="421" customFormat="1" x14ac:dyDescent="0.2">
      <c r="A97" s="588">
        <v>3</v>
      </c>
      <c r="B97" s="587" t="s">
        <v>781</v>
      </c>
      <c r="C97" s="599">
        <f t="shared" si="10"/>
        <v>8.3182447328490589E-2</v>
      </c>
      <c r="D97" s="599">
        <f t="shared" si="10"/>
        <v>8.9562913520470022E-2</v>
      </c>
      <c r="E97" s="599">
        <f t="shared" si="11"/>
        <v>6.3804661919794337E-3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8.3182447328490589E-2</v>
      </c>
      <c r="D98" s="599">
        <f t="shared" si="10"/>
        <v>8.9562913520470022E-2</v>
      </c>
      <c r="E98" s="599">
        <f t="shared" si="11"/>
        <v>6.3804661919794337E-3</v>
      </c>
    </row>
    <row r="99" spans="1:5" s="421" customFormat="1" x14ac:dyDescent="0.2">
      <c r="A99" s="588">
        <v>5</v>
      </c>
      <c r="B99" s="587" t="s">
        <v>747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2.6324323698178869E-3</v>
      </c>
      <c r="D100" s="599">
        <f t="shared" si="10"/>
        <v>2.2821621184129972E-3</v>
      </c>
      <c r="E100" s="599">
        <f t="shared" si="11"/>
        <v>-3.5027025140488971E-4</v>
      </c>
    </row>
    <row r="101" spans="1:5" s="421" customFormat="1" x14ac:dyDescent="0.2">
      <c r="A101" s="588">
        <v>7</v>
      </c>
      <c r="B101" s="587" t="s">
        <v>762</v>
      </c>
      <c r="C101" s="599">
        <f t="shared" si="10"/>
        <v>1.1313303098154478E-2</v>
      </c>
      <c r="D101" s="599">
        <f t="shared" si="10"/>
        <v>1.1114195860342825E-2</v>
      </c>
      <c r="E101" s="599">
        <f t="shared" si="11"/>
        <v>-1.9910723781165277E-4</v>
      </c>
    </row>
    <row r="102" spans="1:5" s="421" customFormat="1" x14ac:dyDescent="0.2">
      <c r="A102" s="588"/>
      <c r="B102" s="592" t="s">
        <v>803</v>
      </c>
      <c r="C102" s="600">
        <f>SUM(C96+C97+C100)</f>
        <v>0.25705714174188654</v>
      </c>
      <c r="D102" s="600">
        <f>SUM(D96+D97+D100)</f>
        <v>0.27140610375302426</v>
      </c>
      <c r="E102" s="601">
        <f t="shared" si="11"/>
        <v>1.4348962011137723E-2</v>
      </c>
    </row>
    <row r="103" spans="1:5" s="421" customFormat="1" x14ac:dyDescent="0.2">
      <c r="A103" s="588"/>
      <c r="B103" s="592" t="s">
        <v>804</v>
      </c>
      <c r="C103" s="600">
        <f>SUM(C95+C102)</f>
        <v>0.45681919642287855</v>
      </c>
      <c r="D103" s="600">
        <f>SUM(D95+D102)</f>
        <v>0.46948145319663703</v>
      </c>
      <c r="E103" s="601">
        <f t="shared" si="11"/>
        <v>1.2662256773758485E-2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805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806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660</v>
      </c>
      <c r="C109" s="599">
        <f t="shared" ref="C109:D115" si="12">IF(C$77=0,0,C47/C$77)</f>
        <v>0.27131805233076889</v>
      </c>
      <c r="D109" s="599">
        <f t="shared" si="12"/>
        <v>0.26767100350825751</v>
      </c>
      <c r="E109" s="599">
        <f t="shared" ref="E109:E117" si="13">D109-C109</f>
        <v>-3.6470488225113784E-3</v>
      </c>
    </row>
    <row r="110" spans="1:5" s="421" customFormat="1" x14ac:dyDescent="0.2">
      <c r="A110" s="588">
        <v>2</v>
      </c>
      <c r="B110" s="587" t="s">
        <v>639</v>
      </c>
      <c r="C110" s="599">
        <f t="shared" si="12"/>
        <v>0.24411579575494266</v>
      </c>
      <c r="D110" s="599">
        <f t="shared" si="12"/>
        <v>0.24550740349174061</v>
      </c>
      <c r="E110" s="599">
        <f t="shared" si="13"/>
        <v>1.3916077367979451E-3</v>
      </c>
    </row>
    <row r="111" spans="1:5" s="421" customFormat="1" x14ac:dyDescent="0.2">
      <c r="A111" s="588">
        <v>3</v>
      </c>
      <c r="B111" s="587" t="s">
        <v>781</v>
      </c>
      <c r="C111" s="599">
        <f t="shared" si="12"/>
        <v>5.0254623414723677E-2</v>
      </c>
      <c r="D111" s="599">
        <f t="shared" si="12"/>
        <v>5.1243872990891746E-2</v>
      </c>
      <c r="E111" s="599">
        <f t="shared" si="13"/>
        <v>9.8924957616806919E-4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5.0254623414723677E-2</v>
      </c>
      <c r="D112" s="599">
        <f t="shared" si="12"/>
        <v>5.1243872990891746E-2</v>
      </c>
      <c r="E112" s="599">
        <f t="shared" si="13"/>
        <v>9.8924957616806919E-4</v>
      </c>
    </row>
    <row r="113" spans="1:5" s="421" customFormat="1" x14ac:dyDescent="0.2">
      <c r="A113" s="588">
        <v>5</v>
      </c>
      <c r="B113" s="587" t="s">
        <v>747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9.1572665241599152E-4</v>
      </c>
      <c r="D114" s="599">
        <f t="shared" si="12"/>
        <v>1.7542551374929171E-3</v>
      </c>
      <c r="E114" s="599">
        <f t="shared" si="13"/>
        <v>8.3852848507692563E-4</v>
      </c>
    </row>
    <row r="115" spans="1:5" s="421" customFormat="1" x14ac:dyDescent="0.2">
      <c r="A115" s="588">
        <v>7</v>
      </c>
      <c r="B115" s="587" t="s">
        <v>762</v>
      </c>
      <c r="C115" s="599">
        <f t="shared" si="12"/>
        <v>5.2850120735318546E-3</v>
      </c>
      <c r="D115" s="599">
        <f t="shared" si="12"/>
        <v>1.0784099256094295E-2</v>
      </c>
      <c r="E115" s="599">
        <f t="shared" si="13"/>
        <v>5.4990871825624406E-3</v>
      </c>
    </row>
    <row r="116" spans="1:5" s="421" customFormat="1" x14ac:dyDescent="0.2">
      <c r="A116" s="588"/>
      <c r="B116" s="592" t="s">
        <v>800</v>
      </c>
      <c r="C116" s="600">
        <f>SUM(C110+C111+C114)</f>
        <v>0.29528614582208235</v>
      </c>
      <c r="D116" s="600">
        <f>SUM(D110+D111+D114)</f>
        <v>0.29850553162012528</v>
      </c>
      <c r="E116" s="601">
        <f t="shared" si="13"/>
        <v>3.2193857980429286E-3</v>
      </c>
    </row>
    <row r="117" spans="1:5" s="421" customFormat="1" x14ac:dyDescent="0.2">
      <c r="A117" s="588"/>
      <c r="B117" s="592" t="s">
        <v>801</v>
      </c>
      <c r="C117" s="600">
        <f>SUM(C109+C116)</f>
        <v>0.56660419815285124</v>
      </c>
      <c r="D117" s="600">
        <f>SUM(D109+D116)</f>
        <v>0.56617653512838273</v>
      </c>
      <c r="E117" s="601">
        <f t="shared" si="13"/>
        <v>-4.2766302446850535E-4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807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660</v>
      </c>
      <c r="C121" s="599">
        <f t="shared" ref="C121:D127" si="14">IF(C$77=0,0,C58/C$77)</f>
        <v>0.29739329923450475</v>
      </c>
      <c r="D121" s="599">
        <f t="shared" si="14"/>
        <v>0.28914406800170017</v>
      </c>
      <c r="E121" s="599">
        <f t="shared" ref="E121:E129" si="15">D121-C121</f>
        <v>-8.2492312328045769E-3</v>
      </c>
    </row>
    <row r="122" spans="1:5" s="421" customFormat="1" x14ac:dyDescent="0.2">
      <c r="A122" s="588">
        <v>2</v>
      </c>
      <c r="B122" s="587" t="s">
        <v>639</v>
      </c>
      <c r="C122" s="599">
        <f t="shared" si="14"/>
        <v>9.281557321749756E-2</v>
      </c>
      <c r="D122" s="599">
        <f t="shared" si="14"/>
        <v>9.7351890621227899E-2</v>
      </c>
      <c r="E122" s="599">
        <f t="shared" si="15"/>
        <v>4.5363174037303389E-3</v>
      </c>
    </row>
    <row r="123" spans="1:5" s="421" customFormat="1" x14ac:dyDescent="0.2">
      <c r="A123" s="588">
        <v>3</v>
      </c>
      <c r="B123" s="587" t="s">
        <v>781</v>
      </c>
      <c r="C123" s="599">
        <f t="shared" si="14"/>
        <v>4.2200984887269116E-2</v>
      </c>
      <c r="D123" s="599">
        <f t="shared" si="14"/>
        <v>4.6732897110472356E-2</v>
      </c>
      <c r="E123" s="599">
        <f t="shared" si="15"/>
        <v>4.5319122232032397E-3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4.2200984887269116E-2</v>
      </c>
      <c r="D124" s="599">
        <f t="shared" si="14"/>
        <v>4.6732897110472356E-2</v>
      </c>
      <c r="E124" s="599">
        <f t="shared" si="15"/>
        <v>4.5319122232032397E-3</v>
      </c>
    </row>
    <row r="125" spans="1:5" s="421" customFormat="1" x14ac:dyDescent="0.2">
      <c r="A125" s="588">
        <v>5</v>
      </c>
      <c r="B125" s="587" t="s">
        <v>747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9.8594450787739736E-4</v>
      </c>
      <c r="D126" s="599">
        <f t="shared" si="14"/>
        <v>5.9460913821679474E-4</v>
      </c>
      <c r="E126" s="599">
        <f t="shared" si="15"/>
        <v>-3.9133536966060262E-4</v>
      </c>
    </row>
    <row r="127" spans="1:5" s="421" customFormat="1" x14ac:dyDescent="0.2">
      <c r="A127" s="588">
        <v>7</v>
      </c>
      <c r="B127" s="587" t="s">
        <v>762</v>
      </c>
      <c r="C127" s="599">
        <f t="shared" si="14"/>
        <v>4.5474623189828509E-3</v>
      </c>
      <c r="D127" s="599">
        <f t="shared" si="14"/>
        <v>4.9898463506556287E-3</v>
      </c>
      <c r="E127" s="599">
        <f t="shared" si="15"/>
        <v>4.4238403167277777E-4</v>
      </c>
    </row>
    <row r="128" spans="1:5" s="421" customFormat="1" x14ac:dyDescent="0.2">
      <c r="A128" s="588"/>
      <c r="B128" s="592" t="s">
        <v>803</v>
      </c>
      <c r="C128" s="600">
        <f>SUM(C122+C123+C126)</f>
        <v>0.13600250261264407</v>
      </c>
      <c r="D128" s="600">
        <f>SUM(D122+D123+D126)</f>
        <v>0.14467939686991704</v>
      </c>
      <c r="E128" s="601">
        <f t="shared" si="15"/>
        <v>8.6768942572729713E-3</v>
      </c>
    </row>
    <row r="129" spans="1:5" s="421" customFormat="1" x14ac:dyDescent="0.2">
      <c r="A129" s="588"/>
      <c r="B129" s="592" t="s">
        <v>804</v>
      </c>
      <c r="C129" s="600">
        <f>SUM(C121+C128)</f>
        <v>0.43339580184714882</v>
      </c>
      <c r="D129" s="600">
        <f>SUM(D121+D128)</f>
        <v>0.43382346487161721</v>
      </c>
      <c r="E129" s="601">
        <f t="shared" si="15"/>
        <v>4.2766302446839433E-4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808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809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810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660</v>
      </c>
      <c r="C137" s="606">
        <v>27468</v>
      </c>
      <c r="D137" s="606">
        <v>27712</v>
      </c>
      <c r="E137" s="607">
        <f t="shared" ref="E137:E145" si="16">D137-C137</f>
        <v>244</v>
      </c>
    </row>
    <row r="138" spans="1:5" s="421" customFormat="1" x14ac:dyDescent="0.2">
      <c r="A138" s="588">
        <v>2</v>
      </c>
      <c r="B138" s="587" t="s">
        <v>639</v>
      </c>
      <c r="C138" s="606">
        <v>28246</v>
      </c>
      <c r="D138" s="606">
        <v>28079</v>
      </c>
      <c r="E138" s="607">
        <f t="shared" si="16"/>
        <v>-167</v>
      </c>
    </row>
    <row r="139" spans="1:5" s="421" customFormat="1" x14ac:dyDescent="0.2">
      <c r="A139" s="588">
        <v>3</v>
      </c>
      <c r="B139" s="587" t="s">
        <v>781</v>
      </c>
      <c r="C139" s="606">
        <f>C140+C141</f>
        <v>22415</v>
      </c>
      <c r="D139" s="606">
        <f>D140+D141</f>
        <v>22248</v>
      </c>
      <c r="E139" s="607">
        <f t="shared" si="16"/>
        <v>-167</v>
      </c>
    </row>
    <row r="140" spans="1:5" s="421" customFormat="1" x14ac:dyDescent="0.2">
      <c r="A140" s="588">
        <v>4</v>
      </c>
      <c r="B140" s="587" t="s">
        <v>115</v>
      </c>
      <c r="C140" s="606">
        <v>22415</v>
      </c>
      <c r="D140" s="606">
        <v>22248</v>
      </c>
      <c r="E140" s="607">
        <f t="shared" si="16"/>
        <v>-167</v>
      </c>
    </row>
    <row r="141" spans="1:5" s="421" customFormat="1" x14ac:dyDescent="0.2">
      <c r="A141" s="588">
        <v>5</v>
      </c>
      <c r="B141" s="587" t="s">
        <v>747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400</v>
      </c>
      <c r="D142" s="606">
        <v>413</v>
      </c>
      <c r="E142" s="607">
        <f t="shared" si="16"/>
        <v>13</v>
      </c>
    </row>
    <row r="143" spans="1:5" s="421" customFormat="1" x14ac:dyDescent="0.2">
      <c r="A143" s="588">
        <v>7</v>
      </c>
      <c r="B143" s="587" t="s">
        <v>762</v>
      </c>
      <c r="C143" s="606">
        <v>952</v>
      </c>
      <c r="D143" s="606">
        <v>1339</v>
      </c>
      <c r="E143" s="607">
        <f t="shared" si="16"/>
        <v>387</v>
      </c>
    </row>
    <row r="144" spans="1:5" s="421" customFormat="1" x14ac:dyDescent="0.2">
      <c r="A144" s="588"/>
      <c r="B144" s="592" t="s">
        <v>811</v>
      </c>
      <c r="C144" s="608">
        <f>SUM(C138+C139+C142)</f>
        <v>51061</v>
      </c>
      <c r="D144" s="608">
        <f>SUM(D138+D139+D142)</f>
        <v>50740</v>
      </c>
      <c r="E144" s="609">
        <f t="shared" si="16"/>
        <v>-321</v>
      </c>
    </row>
    <row r="145" spans="1:5" s="421" customFormat="1" x14ac:dyDescent="0.2">
      <c r="A145" s="588"/>
      <c r="B145" s="592" t="s">
        <v>138</v>
      </c>
      <c r="C145" s="608">
        <f>SUM(C137+C144)</f>
        <v>78529</v>
      </c>
      <c r="D145" s="608">
        <f>SUM(D137+D144)</f>
        <v>78452</v>
      </c>
      <c r="E145" s="609">
        <f t="shared" si="16"/>
        <v>-77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660</v>
      </c>
      <c r="C149" s="610">
        <v>122786</v>
      </c>
      <c r="D149" s="610">
        <v>124961</v>
      </c>
      <c r="E149" s="607">
        <f t="shared" ref="E149:E157" si="17">D149-C149</f>
        <v>2175</v>
      </c>
    </row>
    <row r="150" spans="1:5" s="421" customFormat="1" x14ac:dyDescent="0.2">
      <c r="A150" s="588">
        <v>2</v>
      </c>
      <c r="B150" s="587" t="s">
        <v>639</v>
      </c>
      <c r="C150" s="610">
        <v>181722</v>
      </c>
      <c r="D150" s="610">
        <v>179809</v>
      </c>
      <c r="E150" s="607">
        <f t="shared" si="17"/>
        <v>-1913</v>
      </c>
    </row>
    <row r="151" spans="1:5" s="421" customFormat="1" x14ac:dyDescent="0.2">
      <c r="A151" s="588">
        <v>3</v>
      </c>
      <c r="B151" s="587" t="s">
        <v>781</v>
      </c>
      <c r="C151" s="610">
        <f>C152+C153</f>
        <v>120382</v>
      </c>
      <c r="D151" s="610">
        <f>D152+D153</f>
        <v>122293</v>
      </c>
      <c r="E151" s="607">
        <f t="shared" si="17"/>
        <v>1911</v>
      </c>
    </row>
    <row r="152" spans="1:5" s="421" customFormat="1" x14ac:dyDescent="0.2">
      <c r="A152" s="588">
        <v>4</v>
      </c>
      <c r="B152" s="587" t="s">
        <v>115</v>
      </c>
      <c r="C152" s="610">
        <v>120382</v>
      </c>
      <c r="D152" s="610">
        <v>122293</v>
      </c>
      <c r="E152" s="607">
        <f t="shared" si="17"/>
        <v>1911</v>
      </c>
    </row>
    <row r="153" spans="1:5" s="421" customFormat="1" x14ac:dyDescent="0.2">
      <c r="A153" s="588">
        <v>5</v>
      </c>
      <c r="B153" s="587" t="s">
        <v>747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1625</v>
      </c>
      <c r="D154" s="610">
        <v>1577</v>
      </c>
      <c r="E154" s="607">
        <f t="shared" si="17"/>
        <v>-48</v>
      </c>
    </row>
    <row r="155" spans="1:5" s="421" customFormat="1" x14ac:dyDescent="0.2">
      <c r="A155" s="588">
        <v>7</v>
      </c>
      <c r="B155" s="587" t="s">
        <v>762</v>
      </c>
      <c r="C155" s="610">
        <v>4336</v>
      </c>
      <c r="D155" s="610">
        <v>6526</v>
      </c>
      <c r="E155" s="607">
        <f t="shared" si="17"/>
        <v>2190</v>
      </c>
    </row>
    <row r="156" spans="1:5" s="421" customFormat="1" x14ac:dyDescent="0.2">
      <c r="A156" s="588"/>
      <c r="B156" s="592" t="s">
        <v>812</v>
      </c>
      <c r="C156" s="608">
        <f>SUM(C150+C151+C154)</f>
        <v>303729</v>
      </c>
      <c r="D156" s="608">
        <f>SUM(D150+D151+D154)</f>
        <v>303679</v>
      </c>
      <c r="E156" s="609">
        <f t="shared" si="17"/>
        <v>-50</v>
      </c>
    </row>
    <row r="157" spans="1:5" s="421" customFormat="1" x14ac:dyDescent="0.2">
      <c r="A157" s="588"/>
      <c r="B157" s="592" t="s">
        <v>140</v>
      </c>
      <c r="C157" s="608">
        <f>SUM(C149+C156)</f>
        <v>426515</v>
      </c>
      <c r="D157" s="608">
        <f>SUM(D149+D156)</f>
        <v>428640</v>
      </c>
      <c r="E157" s="609">
        <f t="shared" si="17"/>
        <v>2125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813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660</v>
      </c>
      <c r="C161" s="612">
        <f t="shared" ref="C161:D169" si="18">IF(C137=0,0,C149/C137)</f>
        <v>4.4701470802388235</v>
      </c>
      <c r="D161" s="612">
        <f t="shared" si="18"/>
        <v>4.50927396073903</v>
      </c>
      <c r="E161" s="613">
        <f t="shared" ref="E161:E169" si="19">D161-C161</f>
        <v>3.9126880500206518E-2</v>
      </c>
    </row>
    <row r="162" spans="1:5" s="421" customFormat="1" x14ac:dyDescent="0.2">
      <c r="A162" s="588">
        <v>2</v>
      </c>
      <c r="B162" s="587" t="s">
        <v>639</v>
      </c>
      <c r="C162" s="612">
        <f t="shared" si="18"/>
        <v>6.4335481130071512</v>
      </c>
      <c r="D162" s="612">
        <f t="shared" si="18"/>
        <v>6.4036824673243347</v>
      </c>
      <c r="E162" s="613">
        <f t="shared" si="19"/>
        <v>-2.9865645682816577E-2</v>
      </c>
    </row>
    <row r="163" spans="1:5" s="421" customFormat="1" x14ac:dyDescent="0.2">
      <c r="A163" s="588">
        <v>3</v>
      </c>
      <c r="B163" s="587" t="s">
        <v>781</v>
      </c>
      <c r="C163" s="612">
        <f t="shared" si="18"/>
        <v>5.3706000446129822</v>
      </c>
      <c r="D163" s="612">
        <f t="shared" si="18"/>
        <v>5.4968087019057892</v>
      </c>
      <c r="E163" s="613">
        <f t="shared" si="19"/>
        <v>0.12620865729280695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5.3706000446129822</v>
      </c>
      <c r="D164" s="612">
        <f t="shared" si="18"/>
        <v>5.4968087019057892</v>
      </c>
      <c r="E164" s="613">
        <f t="shared" si="19"/>
        <v>0.12620865729280695</v>
      </c>
    </row>
    <row r="165" spans="1:5" s="421" customFormat="1" x14ac:dyDescent="0.2">
      <c r="A165" s="588">
        <v>5</v>
      </c>
      <c r="B165" s="587" t="s">
        <v>747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4.0625</v>
      </c>
      <c r="D166" s="612">
        <f t="shared" si="18"/>
        <v>3.8184019370460049</v>
      </c>
      <c r="E166" s="613">
        <f t="shared" si="19"/>
        <v>-0.24409806295399505</v>
      </c>
    </row>
    <row r="167" spans="1:5" s="421" customFormat="1" x14ac:dyDescent="0.2">
      <c r="A167" s="588">
        <v>7</v>
      </c>
      <c r="B167" s="587" t="s">
        <v>762</v>
      </c>
      <c r="C167" s="612">
        <f t="shared" si="18"/>
        <v>4.5546218487394956</v>
      </c>
      <c r="D167" s="612">
        <f t="shared" si="18"/>
        <v>4.8737864077669899</v>
      </c>
      <c r="E167" s="613">
        <f t="shared" si="19"/>
        <v>0.3191645590274943</v>
      </c>
    </row>
    <row r="168" spans="1:5" s="421" customFormat="1" x14ac:dyDescent="0.2">
      <c r="A168" s="588"/>
      <c r="B168" s="592" t="s">
        <v>814</v>
      </c>
      <c r="C168" s="614">
        <f t="shared" si="18"/>
        <v>5.9483558880554632</v>
      </c>
      <c r="D168" s="614">
        <f t="shared" si="18"/>
        <v>5.9850019708316911</v>
      </c>
      <c r="E168" s="615">
        <f t="shared" si="19"/>
        <v>3.6646082776227829E-2</v>
      </c>
    </row>
    <row r="169" spans="1:5" s="421" customFormat="1" x14ac:dyDescent="0.2">
      <c r="A169" s="588"/>
      <c r="B169" s="592" t="s">
        <v>748</v>
      </c>
      <c r="C169" s="614">
        <f t="shared" si="18"/>
        <v>5.4313056323141771</v>
      </c>
      <c r="D169" s="614">
        <f t="shared" si="18"/>
        <v>5.4637230408402591</v>
      </c>
      <c r="E169" s="615">
        <f t="shared" si="19"/>
        <v>3.2417408526081992E-2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815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660</v>
      </c>
      <c r="C173" s="617">
        <f t="shared" ref="C173:D181" si="20">IF(C137=0,0,C203/C137)</f>
        <v>1.4374499999999999</v>
      </c>
      <c r="D173" s="617">
        <f t="shared" si="20"/>
        <v>1.47</v>
      </c>
      <c r="E173" s="618">
        <f t="shared" ref="E173:E181" si="21">D173-C173</f>
        <v>3.2550000000000079E-2</v>
      </c>
    </row>
    <row r="174" spans="1:5" s="421" customFormat="1" x14ac:dyDescent="0.2">
      <c r="A174" s="588">
        <v>2</v>
      </c>
      <c r="B174" s="587" t="s">
        <v>639</v>
      </c>
      <c r="C174" s="617">
        <f t="shared" si="20"/>
        <v>1.7915000000000001</v>
      </c>
      <c r="D174" s="617">
        <f t="shared" si="20"/>
        <v>1.8099999999999998</v>
      </c>
      <c r="E174" s="618">
        <f t="shared" si="21"/>
        <v>1.8499999999999739E-2</v>
      </c>
    </row>
    <row r="175" spans="1:5" s="421" customFormat="1" x14ac:dyDescent="0.2">
      <c r="A175" s="588">
        <v>3</v>
      </c>
      <c r="B175" s="587" t="s">
        <v>781</v>
      </c>
      <c r="C175" s="617">
        <f t="shared" si="20"/>
        <v>1.2309300000000001</v>
      </c>
      <c r="D175" s="617">
        <f t="shared" si="20"/>
        <v>1.27</v>
      </c>
      <c r="E175" s="618">
        <f t="shared" si="21"/>
        <v>3.9069999999999938E-2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1.2309300000000001</v>
      </c>
      <c r="D176" s="617">
        <f t="shared" si="20"/>
        <v>1.27</v>
      </c>
      <c r="E176" s="618">
        <f t="shared" si="21"/>
        <v>3.9069999999999938E-2</v>
      </c>
    </row>
    <row r="177" spans="1:5" s="421" customFormat="1" x14ac:dyDescent="0.2">
      <c r="A177" s="588">
        <v>5</v>
      </c>
      <c r="B177" s="587" t="s">
        <v>747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1.4174100000000001</v>
      </c>
      <c r="D178" s="617">
        <f t="shared" si="20"/>
        <v>1.3200000000000003</v>
      </c>
      <c r="E178" s="618">
        <f t="shared" si="21"/>
        <v>-9.7409999999999775E-2</v>
      </c>
    </row>
    <row r="179" spans="1:5" s="421" customFormat="1" x14ac:dyDescent="0.2">
      <c r="A179" s="588">
        <v>7</v>
      </c>
      <c r="B179" s="587" t="s">
        <v>762</v>
      </c>
      <c r="C179" s="617">
        <f t="shared" si="20"/>
        <v>1.55003</v>
      </c>
      <c r="D179" s="617">
        <f t="shared" si="20"/>
        <v>1.6</v>
      </c>
      <c r="E179" s="618">
        <f t="shared" si="21"/>
        <v>4.997000000000007E-2</v>
      </c>
    </row>
    <row r="180" spans="1:5" s="421" customFormat="1" x14ac:dyDescent="0.2">
      <c r="A180" s="588"/>
      <c r="B180" s="592" t="s">
        <v>816</v>
      </c>
      <c r="C180" s="619">
        <f t="shared" si="20"/>
        <v>1.5424877881357595</v>
      </c>
      <c r="D180" s="619">
        <f t="shared" si="20"/>
        <v>1.5692374852187623</v>
      </c>
      <c r="E180" s="620">
        <f t="shared" si="21"/>
        <v>2.6749697083002788E-2</v>
      </c>
    </row>
    <row r="181" spans="1:5" s="421" customFormat="1" x14ac:dyDescent="0.2">
      <c r="A181" s="588"/>
      <c r="B181" s="592" t="s">
        <v>727</v>
      </c>
      <c r="C181" s="619">
        <f t="shared" si="20"/>
        <v>1.5057475015599333</v>
      </c>
      <c r="D181" s="619">
        <f t="shared" si="20"/>
        <v>1.5341833222862387</v>
      </c>
      <c r="E181" s="620">
        <f t="shared" si="21"/>
        <v>2.843582072630535E-2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817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818</v>
      </c>
      <c r="C185" s="589">
        <v>2976359272</v>
      </c>
      <c r="D185" s="589">
        <v>3045751782</v>
      </c>
      <c r="E185" s="590">
        <f>D185-C185</f>
        <v>69392510</v>
      </c>
    </row>
    <row r="186" spans="1:5" s="421" customFormat="1" ht="25.5" x14ac:dyDescent="0.2">
      <c r="A186" s="588">
        <v>2</v>
      </c>
      <c r="B186" s="587" t="s">
        <v>819</v>
      </c>
      <c r="C186" s="589">
        <v>1289201506</v>
      </c>
      <c r="D186" s="589">
        <v>1342232256</v>
      </c>
      <c r="E186" s="590">
        <f>D186-C186</f>
        <v>53030750</v>
      </c>
    </row>
    <row r="187" spans="1:5" s="421" customFormat="1" x14ac:dyDescent="0.2">
      <c r="A187" s="588"/>
      <c r="B187" s="587" t="s">
        <v>672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751</v>
      </c>
      <c r="C188" s="622">
        <f>+C185-C186</f>
        <v>1687157766</v>
      </c>
      <c r="D188" s="622">
        <f>+D185-D186</f>
        <v>1703519526</v>
      </c>
      <c r="E188" s="590">
        <f t="shared" ref="E188:E197" si="22">D188-C188</f>
        <v>16361760</v>
      </c>
    </row>
    <row r="189" spans="1:5" s="421" customFormat="1" x14ac:dyDescent="0.2">
      <c r="A189" s="588">
        <v>4</v>
      </c>
      <c r="B189" s="587" t="s">
        <v>674</v>
      </c>
      <c r="C189" s="623">
        <f>IF(C185=0,0,+C188/C185)</f>
        <v>0.56685286009383351</v>
      </c>
      <c r="D189" s="623">
        <f>IF(D185=0,0,+D188/D185)</f>
        <v>0.55931003178511807</v>
      </c>
      <c r="E189" s="599">
        <f t="shared" si="22"/>
        <v>-7.5428283087154435E-3</v>
      </c>
    </row>
    <row r="190" spans="1:5" s="421" customFormat="1" x14ac:dyDescent="0.2">
      <c r="A190" s="588">
        <v>5</v>
      </c>
      <c r="B190" s="587" t="s">
        <v>766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752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820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821</v>
      </c>
      <c r="C193" s="589">
        <v>43211397</v>
      </c>
      <c r="D193" s="589">
        <v>41146000</v>
      </c>
      <c r="E193" s="622">
        <f t="shared" si="22"/>
        <v>-2065397</v>
      </c>
    </row>
    <row r="194" spans="1:5" s="421" customFormat="1" x14ac:dyDescent="0.2">
      <c r="A194" s="588">
        <v>9</v>
      </c>
      <c r="B194" s="587" t="s">
        <v>822</v>
      </c>
      <c r="C194" s="589">
        <v>157929603</v>
      </c>
      <c r="D194" s="589">
        <v>134519000</v>
      </c>
      <c r="E194" s="622">
        <f t="shared" si="22"/>
        <v>-23410603</v>
      </c>
    </row>
    <row r="195" spans="1:5" s="421" customFormat="1" x14ac:dyDescent="0.2">
      <c r="A195" s="588">
        <v>10</v>
      </c>
      <c r="B195" s="587" t="s">
        <v>823</v>
      </c>
      <c r="C195" s="589">
        <f>+C193+C194</f>
        <v>201141000</v>
      </c>
      <c r="D195" s="589">
        <f>+D193+D194</f>
        <v>175665000</v>
      </c>
      <c r="E195" s="625">
        <f t="shared" si="22"/>
        <v>-25476000</v>
      </c>
    </row>
    <row r="196" spans="1:5" s="421" customFormat="1" x14ac:dyDescent="0.2">
      <c r="A196" s="588">
        <v>11</v>
      </c>
      <c r="B196" s="587" t="s">
        <v>824</v>
      </c>
      <c r="C196" s="589">
        <v>3296108</v>
      </c>
      <c r="D196" s="589">
        <v>3237338</v>
      </c>
      <c r="E196" s="622">
        <f t="shared" si="22"/>
        <v>-58770</v>
      </c>
    </row>
    <row r="197" spans="1:5" s="421" customFormat="1" x14ac:dyDescent="0.2">
      <c r="A197" s="588">
        <v>12</v>
      </c>
      <c r="B197" s="587" t="s">
        <v>714</v>
      </c>
      <c r="C197" s="589">
        <v>2267358000</v>
      </c>
      <c r="D197" s="589">
        <v>2413364000</v>
      </c>
      <c r="E197" s="622">
        <f t="shared" si="22"/>
        <v>146006000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825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826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660</v>
      </c>
      <c r="C203" s="629">
        <v>39483.876599999996</v>
      </c>
      <c r="D203" s="629">
        <v>40736.639999999999</v>
      </c>
      <c r="E203" s="630">
        <f t="shared" ref="E203:E211" si="23">D203-C203</f>
        <v>1252.7634000000035</v>
      </c>
    </row>
    <row r="204" spans="1:5" s="421" customFormat="1" x14ac:dyDescent="0.2">
      <c r="A204" s="588">
        <v>2</v>
      </c>
      <c r="B204" s="587" t="s">
        <v>639</v>
      </c>
      <c r="C204" s="629">
        <v>50602.709000000003</v>
      </c>
      <c r="D204" s="629">
        <v>50822.99</v>
      </c>
      <c r="E204" s="630">
        <f t="shared" si="23"/>
        <v>220.2809999999954</v>
      </c>
    </row>
    <row r="205" spans="1:5" s="421" customFormat="1" x14ac:dyDescent="0.2">
      <c r="A205" s="588">
        <v>3</v>
      </c>
      <c r="B205" s="587" t="s">
        <v>781</v>
      </c>
      <c r="C205" s="629">
        <f>C206+C207</f>
        <v>27591.295950000003</v>
      </c>
      <c r="D205" s="629">
        <f>D206+D207</f>
        <v>28254.959999999999</v>
      </c>
      <c r="E205" s="630">
        <f t="shared" si="23"/>
        <v>663.66404999999577</v>
      </c>
    </row>
    <row r="206" spans="1:5" s="421" customFormat="1" x14ac:dyDescent="0.2">
      <c r="A206" s="588">
        <v>4</v>
      </c>
      <c r="B206" s="587" t="s">
        <v>115</v>
      </c>
      <c r="C206" s="629">
        <v>27591.295950000003</v>
      </c>
      <c r="D206" s="629">
        <v>28254.959999999999</v>
      </c>
      <c r="E206" s="630">
        <f t="shared" si="23"/>
        <v>663.66404999999577</v>
      </c>
    </row>
    <row r="207" spans="1:5" s="421" customFormat="1" x14ac:dyDescent="0.2">
      <c r="A207" s="588">
        <v>5</v>
      </c>
      <c r="B207" s="587" t="s">
        <v>747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566.96400000000006</v>
      </c>
      <c r="D208" s="629">
        <v>545.16000000000008</v>
      </c>
      <c r="E208" s="630">
        <f t="shared" si="23"/>
        <v>-21.803999999999974</v>
      </c>
    </row>
    <row r="209" spans="1:5" s="421" customFormat="1" x14ac:dyDescent="0.2">
      <c r="A209" s="588">
        <v>7</v>
      </c>
      <c r="B209" s="587" t="s">
        <v>762</v>
      </c>
      <c r="C209" s="629">
        <v>1475.6285600000001</v>
      </c>
      <c r="D209" s="629">
        <v>2142.4</v>
      </c>
      <c r="E209" s="630">
        <f t="shared" si="23"/>
        <v>666.77143999999998</v>
      </c>
    </row>
    <row r="210" spans="1:5" s="421" customFormat="1" x14ac:dyDescent="0.2">
      <c r="A210" s="588"/>
      <c r="B210" s="592" t="s">
        <v>827</v>
      </c>
      <c r="C210" s="631">
        <f>C204+C205+C208</f>
        <v>78760.968950000009</v>
      </c>
      <c r="D210" s="631">
        <f>D204+D205+D208</f>
        <v>79623.11</v>
      </c>
      <c r="E210" s="632">
        <f t="shared" si="23"/>
        <v>862.14104999999108</v>
      </c>
    </row>
    <row r="211" spans="1:5" s="421" customFormat="1" x14ac:dyDescent="0.2">
      <c r="A211" s="588"/>
      <c r="B211" s="592" t="s">
        <v>728</v>
      </c>
      <c r="C211" s="631">
        <f>C210+C203</f>
        <v>118244.84555</v>
      </c>
      <c r="D211" s="631">
        <f>D210+D203</f>
        <v>120359.75</v>
      </c>
      <c r="E211" s="632">
        <f t="shared" si="23"/>
        <v>2114.9044500000018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828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660</v>
      </c>
      <c r="C215" s="633">
        <f>IF(C14*C137=0,0,C25/C14*C137)</f>
        <v>31470.233705898841</v>
      </c>
      <c r="D215" s="633">
        <f>IF(D14*D137=0,0,D25/D14*D137)</f>
        <v>32023.748139375712</v>
      </c>
      <c r="E215" s="633">
        <f t="shared" ref="E215:E223" si="24">D215-C215</f>
        <v>553.51443347687018</v>
      </c>
    </row>
    <row r="216" spans="1:5" s="421" customFormat="1" x14ac:dyDescent="0.2">
      <c r="A216" s="588">
        <v>2</v>
      </c>
      <c r="B216" s="587" t="s">
        <v>639</v>
      </c>
      <c r="C216" s="633">
        <f>IF(C15*C138=0,0,C26/C15*C138)</f>
        <v>20582.954480118584</v>
      </c>
      <c r="D216" s="633">
        <f>IF(D15*D138=0,0,D26/D15*D138)</f>
        <v>22389.292075584468</v>
      </c>
      <c r="E216" s="633">
        <f t="shared" si="24"/>
        <v>1806.3375954658841</v>
      </c>
    </row>
    <row r="217" spans="1:5" s="421" customFormat="1" x14ac:dyDescent="0.2">
      <c r="A217" s="588">
        <v>3</v>
      </c>
      <c r="B217" s="587" t="s">
        <v>781</v>
      </c>
      <c r="C217" s="633">
        <f>C218+C219</f>
        <v>14253.659360267244</v>
      </c>
      <c r="D217" s="633">
        <f>D218+D219</f>
        <v>15138.684140126641</v>
      </c>
      <c r="E217" s="633">
        <f t="shared" si="24"/>
        <v>885.02477985939731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14253.659360267244</v>
      </c>
      <c r="D218" s="633">
        <f t="shared" si="25"/>
        <v>15138.684140126641</v>
      </c>
      <c r="E218" s="633">
        <f t="shared" si="24"/>
        <v>885.02477985939731</v>
      </c>
    </row>
    <row r="219" spans="1:5" s="421" customFormat="1" x14ac:dyDescent="0.2">
      <c r="A219" s="588">
        <v>5</v>
      </c>
      <c r="B219" s="587" t="s">
        <v>747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349.04331045517114</v>
      </c>
      <c r="D220" s="633">
        <f t="shared" si="25"/>
        <v>410.24079056295523</v>
      </c>
      <c r="E220" s="633">
        <f t="shared" si="24"/>
        <v>61.197480107784088</v>
      </c>
    </row>
    <row r="221" spans="1:5" s="421" customFormat="1" x14ac:dyDescent="0.2">
      <c r="A221" s="588">
        <v>7</v>
      </c>
      <c r="B221" s="587" t="s">
        <v>762</v>
      </c>
      <c r="C221" s="633">
        <f t="shared" si="25"/>
        <v>1373.2728948176564</v>
      </c>
      <c r="D221" s="633">
        <f t="shared" si="25"/>
        <v>1613.3077862072346</v>
      </c>
      <c r="E221" s="633">
        <f t="shared" si="24"/>
        <v>240.03489138957821</v>
      </c>
    </row>
    <row r="222" spans="1:5" s="421" customFormat="1" x14ac:dyDescent="0.2">
      <c r="A222" s="588"/>
      <c r="B222" s="592" t="s">
        <v>829</v>
      </c>
      <c r="C222" s="634">
        <f>C216+C218+C219+C220</f>
        <v>35185.657150840998</v>
      </c>
      <c r="D222" s="634">
        <f>D216+D218+D219+D220</f>
        <v>37938.217006274062</v>
      </c>
      <c r="E222" s="634">
        <f t="shared" si="24"/>
        <v>2752.5598554330645</v>
      </c>
    </row>
    <row r="223" spans="1:5" s="421" customFormat="1" x14ac:dyDescent="0.2">
      <c r="A223" s="588"/>
      <c r="B223" s="592" t="s">
        <v>830</v>
      </c>
      <c r="C223" s="634">
        <f>C215+C222</f>
        <v>66655.890856739832</v>
      </c>
      <c r="D223" s="634">
        <f>D215+D222</f>
        <v>69961.965145649767</v>
      </c>
      <c r="E223" s="634">
        <f t="shared" si="24"/>
        <v>3306.0742889099347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831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660</v>
      </c>
      <c r="C227" s="636">
        <f t="shared" ref="C227:D235" si="26">IF(C203=0,0,C47/C203)</f>
        <v>15851.195168612194</v>
      </c>
      <c r="D227" s="636">
        <f t="shared" si="26"/>
        <v>16792.496116518199</v>
      </c>
      <c r="E227" s="636">
        <f t="shared" ref="E227:E235" si="27">D227-C227</f>
        <v>941.3009479060056</v>
      </c>
    </row>
    <row r="228" spans="1:5" s="421" customFormat="1" x14ac:dyDescent="0.2">
      <c r="A228" s="588">
        <v>2</v>
      </c>
      <c r="B228" s="587" t="s">
        <v>639</v>
      </c>
      <c r="C228" s="636">
        <f t="shared" si="26"/>
        <v>11128.207701291249</v>
      </c>
      <c r="D228" s="636">
        <f t="shared" si="26"/>
        <v>12345.353097092478</v>
      </c>
      <c r="E228" s="636">
        <f t="shared" si="27"/>
        <v>1217.1453958012298</v>
      </c>
    </row>
    <row r="229" spans="1:5" s="421" customFormat="1" x14ac:dyDescent="0.2">
      <c r="A229" s="588">
        <v>3</v>
      </c>
      <c r="B229" s="587" t="s">
        <v>781</v>
      </c>
      <c r="C229" s="636">
        <f t="shared" si="26"/>
        <v>4201.5257713909587</v>
      </c>
      <c r="D229" s="636">
        <f t="shared" si="26"/>
        <v>4634.9641974364858</v>
      </c>
      <c r="E229" s="636">
        <f t="shared" si="27"/>
        <v>433.43842604552719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4201.5257713909587</v>
      </c>
      <c r="D230" s="636">
        <f t="shared" si="26"/>
        <v>4634.9641974364858</v>
      </c>
      <c r="E230" s="636">
        <f t="shared" si="27"/>
        <v>433.43842604552719</v>
      </c>
    </row>
    <row r="231" spans="1:5" s="421" customFormat="1" x14ac:dyDescent="0.2">
      <c r="A231" s="588">
        <v>5</v>
      </c>
      <c r="B231" s="587" t="s">
        <v>747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3725.748019274592</v>
      </c>
      <c r="D232" s="636">
        <f t="shared" si="26"/>
        <v>8223.7123046445067</v>
      </c>
      <c r="E232" s="636">
        <f t="shared" si="27"/>
        <v>4497.9642853699152</v>
      </c>
    </row>
    <row r="233" spans="1:5" s="421" customFormat="1" x14ac:dyDescent="0.2">
      <c r="A233" s="588">
        <v>7</v>
      </c>
      <c r="B233" s="587" t="s">
        <v>762</v>
      </c>
      <c r="C233" s="636">
        <f t="shared" si="26"/>
        <v>8261.7498267992305</v>
      </c>
      <c r="D233" s="636">
        <f t="shared" si="26"/>
        <v>12864.190160567587</v>
      </c>
      <c r="E233" s="636">
        <f t="shared" si="27"/>
        <v>4602.4403337683561</v>
      </c>
    </row>
    <row r="234" spans="1:5" x14ac:dyDescent="0.2">
      <c r="A234" s="588"/>
      <c r="B234" s="592" t="s">
        <v>832</v>
      </c>
      <c r="C234" s="637">
        <f t="shared" si="26"/>
        <v>8648.387279648874</v>
      </c>
      <c r="D234" s="637">
        <f t="shared" si="26"/>
        <v>9581.0339987975858</v>
      </c>
      <c r="E234" s="637">
        <f t="shared" si="27"/>
        <v>932.64671914871178</v>
      </c>
    </row>
    <row r="235" spans="1:5" s="421" customFormat="1" x14ac:dyDescent="0.2">
      <c r="A235" s="588"/>
      <c r="B235" s="592" t="s">
        <v>833</v>
      </c>
      <c r="C235" s="637">
        <f t="shared" si="26"/>
        <v>11053.521952018822</v>
      </c>
      <c r="D235" s="637">
        <f t="shared" si="26"/>
        <v>12021.806235057817</v>
      </c>
      <c r="E235" s="637">
        <f t="shared" si="27"/>
        <v>968.28428303899454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834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660</v>
      </c>
      <c r="C239" s="636">
        <f t="shared" ref="C239:D247" si="28">IF(C215=0,0,C58/C215)</f>
        <v>21798.886954926293</v>
      </c>
      <c r="D239" s="636">
        <f t="shared" si="28"/>
        <v>23074.976101607743</v>
      </c>
      <c r="E239" s="638">
        <f t="shared" ref="E239:E247" si="29">D239-C239</f>
        <v>1276.0891466814501</v>
      </c>
    </row>
    <row r="240" spans="1:5" s="421" customFormat="1" x14ac:dyDescent="0.2">
      <c r="A240" s="588">
        <v>2</v>
      </c>
      <c r="B240" s="587" t="s">
        <v>639</v>
      </c>
      <c r="C240" s="636">
        <f t="shared" si="28"/>
        <v>10401.985546186103</v>
      </c>
      <c r="D240" s="636">
        <f t="shared" si="28"/>
        <v>11112.279662978368</v>
      </c>
      <c r="E240" s="638">
        <f t="shared" si="29"/>
        <v>710.29411679226541</v>
      </c>
    </row>
    <row r="241" spans="1:5" x14ac:dyDescent="0.2">
      <c r="A241" s="588">
        <v>3</v>
      </c>
      <c r="B241" s="587" t="s">
        <v>781</v>
      </c>
      <c r="C241" s="636">
        <f t="shared" si="28"/>
        <v>6829.6637052630404</v>
      </c>
      <c r="D241" s="636">
        <f t="shared" si="28"/>
        <v>7889.2135468651704</v>
      </c>
      <c r="E241" s="638">
        <f t="shared" si="29"/>
        <v>1059.5498416021301</v>
      </c>
    </row>
    <row r="242" spans="1:5" x14ac:dyDescent="0.2">
      <c r="A242" s="588">
        <v>4</v>
      </c>
      <c r="B242" s="587" t="s">
        <v>115</v>
      </c>
      <c r="C242" s="636">
        <f t="shared" si="28"/>
        <v>6829.6637052630404</v>
      </c>
      <c r="D242" s="636">
        <f t="shared" si="28"/>
        <v>7889.2135468651704</v>
      </c>
      <c r="E242" s="638">
        <f t="shared" si="29"/>
        <v>1059.5498416021301</v>
      </c>
    </row>
    <row r="243" spans="1:5" x14ac:dyDescent="0.2">
      <c r="A243" s="588">
        <v>5</v>
      </c>
      <c r="B243" s="587" t="s">
        <v>747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6515.9277713534684</v>
      </c>
      <c r="D244" s="636">
        <f t="shared" si="28"/>
        <v>3704.1782166876033</v>
      </c>
      <c r="E244" s="638">
        <f t="shared" si="29"/>
        <v>-2811.7495546658652</v>
      </c>
    </row>
    <row r="245" spans="1:5" x14ac:dyDescent="0.2">
      <c r="A245" s="588">
        <v>7</v>
      </c>
      <c r="B245" s="587" t="s">
        <v>762</v>
      </c>
      <c r="C245" s="636">
        <f t="shared" si="28"/>
        <v>7638.6281558355922</v>
      </c>
      <c r="D245" s="636">
        <f t="shared" si="28"/>
        <v>7904.4030587489733</v>
      </c>
      <c r="E245" s="638">
        <f t="shared" si="29"/>
        <v>265.77490291338108</v>
      </c>
    </row>
    <row r="246" spans="1:5" ht="25.5" x14ac:dyDescent="0.2">
      <c r="A246" s="588"/>
      <c r="B246" s="592" t="s">
        <v>835</v>
      </c>
      <c r="C246" s="637">
        <f t="shared" si="28"/>
        <v>8916.2932116077136</v>
      </c>
      <c r="D246" s="637">
        <f t="shared" si="28"/>
        <v>9746.0561190541102</v>
      </c>
      <c r="E246" s="639">
        <f t="shared" si="29"/>
        <v>829.76290744639664</v>
      </c>
    </row>
    <row r="247" spans="1:5" x14ac:dyDescent="0.2">
      <c r="A247" s="588"/>
      <c r="B247" s="592" t="s">
        <v>836</v>
      </c>
      <c r="C247" s="637">
        <f t="shared" si="28"/>
        <v>14998.54986783831</v>
      </c>
      <c r="D247" s="637">
        <f t="shared" si="28"/>
        <v>15847.113680867476</v>
      </c>
      <c r="E247" s="639">
        <f t="shared" si="29"/>
        <v>848.56381302916634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764</v>
      </c>
      <c r="B249" s="626" t="s">
        <v>761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50918658.645760119</v>
      </c>
      <c r="D251" s="622">
        <f>((IF((IF(D15=0,0,D26/D15)*D138)=0,0,D59/(IF(D15=0,0,D26/D15)*D138)))-(IF((IF(D17=0,0,D28/D17)*D140)=0,0,D61/(IF(D17=0,0,D28/D17)*D140))))*(IF(D17=0,0,D28/D17)*D140)</f>
        <v>48792979.894582435</v>
      </c>
      <c r="E251" s="622">
        <f>D251-C251</f>
        <v>-2125678.7511776835</v>
      </c>
    </row>
    <row r="252" spans="1:5" x14ac:dyDescent="0.2">
      <c r="A252" s="588">
        <v>2</v>
      </c>
      <c r="B252" s="587" t="s">
        <v>747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762</v>
      </c>
      <c r="C253" s="622">
        <f>IF(C233=0,0,(C228-C233)*C209+IF(C221=0,0,(C240-C245)*C221))</f>
        <v>8024670.908499727</v>
      </c>
      <c r="D253" s="622">
        <f>IF(D233=0,0,(D228-D233)*D209+IF(D221=0,0,(D240-D245)*D221))</f>
        <v>4063735.7780062342</v>
      </c>
      <c r="E253" s="622">
        <f>D253-C253</f>
        <v>-3960935.1304934928</v>
      </c>
    </row>
    <row r="254" spans="1:5" ht="15" customHeight="1" x14ac:dyDescent="0.2">
      <c r="A254" s="588"/>
      <c r="B254" s="592" t="s">
        <v>763</v>
      </c>
      <c r="C254" s="640">
        <f>+C251+C252+C253</f>
        <v>58943329.554259844</v>
      </c>
      <c r="D254" s="640">
        <f>+D251+D252+D253</f>
        <v>52856715.672588669</v>
      </c>
      <c r="E254" s="640">
        <f>D254-C254</f>
        <v>-6086613.8816711754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837</v>
      </c>
      <c r="B256" s="626" t="s">
        <v>838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729</v>
      </c>
      <c r="C258" s="622">
        <f>+C44</f>
        <v>8384978567</v>
      </c>
      <c r="D258" s="625">
        <f>+D44</f>
        <v>8723514793</v>
      </c>
      <c r="E258" s="622">
        <f t="shared" ref="E258:E271" si="30">D258-C258</f>
        <v>338536226</v>
      </c>
    </row>
    <row r="259" spans="1:5" x14ac:dyDescent="0.2">
      <c r="A259" s="588">
        <v>2</v>
      </c>
      <c r="B259" s="587" t="s">
        <v>746</v>
      </c>
      <c r="C259" s="622">
        <f>+(C43-C76)</f>
        <v>4253115028</v>
      </c>
      <c r="D259" s="625">
        <f>+(D43-D76)</f>
        <v>4367718648</v>
      </c>
      <c r="E259" s="622">
        <f t="shared" si="30"/>
        <v>114603620</v>
      </c>
    </row>
    <row r="260" spans="1:5" x14ac:dyDescent="0.2">
      <c r="A260" s="588">
        <v>3</v>
      </c>
      <c r="B260" s="587" t="s">
        <v>750</v>
      </c>
      <c r="C260" s="622">
        <f>C195</f>
        <v>201141000</v>
      </c>
      <c r="D260" s="622">
        <f>D195</f>
        <v>175665000</v>
      </c>
      <c r="E260" s="622">
        <f t="shared" si="30"/>
        <v>-25476000</v>
      </c>
    </row>
    <row r="261" spans="1:5" x14ac:dyDescent="0.2">
      <c r="A261" s="588">
        <v>4</v>
      </c>
      <c r="B261" s="587" t="s">
        <v>751</v>
      </c>
      <c r="C261" s="622">
        <f>C188</f>
        <v>1687157766</v>
      </c>
      <c r="D261" s="622">
        <f>D188</f>
        <v>1703519526</v>
      </c>
      <c r="E261" s="622">
        <f t="shared" si="30"/>
        <v>16361760</v>
      </c>
    </row>
    <row r="262" spans="1:5" x14ac:dyDescent="0.2">
      <c r="A262" s="588">
        <v>5</v>
      </c>
      <c r="B262" s="587" t="s">
        <v>752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753</v>
      </c>
      <c r="C263" s="622">
        <f>+C259+C260+C261+C262</f>
        <v>6141413794</v>
      </c>
      <c r="D263" s="622">
        <f>+D259+D260+D261+D262</f>
        <v>6246903174</v>
      </c>
      <c r="E263" s="622">
        <f t="shared" si="30"/>
        <v>105489380</v>
      </c>
    </row>
    <row r="264" spans="1:5" x14ac:dyDescent="0.2">
      <c r="A264" s="588">
        <v>7</v>
      </c>
      <c r="B264" s="587" t="s">
        <v>658</v>
      </c>
      <c r="C264" s="622">
        <f>+C258-C263</f>
        <v>2243564773</v>
      </c>
      <c r="D264" s="622">
        <f>+D258-D263</f>
        <v>2476611619</v>
      </c>
      <c r="E264" s="622">
        <f t="shared" si="30"/>
        <v>233046846</v>
      </c>
    </row>
    <row r="265" spans="1:5" x14ac:dyDescent="0.2">
      <c r="A265" s="588">
        <v>8</v>
      </c>
      <c r="B265" s="587" t="s">
        <v>839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840</v>
      </c>
      <c r="C266" s="622">
        <f>+C264+C265</f>
        <v>2243564773</v>
      </c>
      <c r="D266" s="622">
        <f>+D264+D265</f>
        <v>2476611619</v>
      </c>
      <c r="E266" s="641">
        <f t="shared" si="30"/>
        <v>233046846</v>
      </c>
    </row>
    <row r="267" spans="1:5" x14ac:dyDescent="0.2">
      <c r="A267" s="588">
        <v>10</v>
      </c>
      <c r="B267" s="587" t="s">
        <v>841</v>
      </c>
      <c r="C267" s="642">
        <f>IF(C258=0,0,C266/C258)</f>
        <v>0.26756952985303917</v>
      </c>
      <c r="D267" s="642">
        <f>IF(D258=0,0,D266/D258)</f>
        <v>0.28390066134665176</v>
      </c>
      <c r="E267" s="643">
        <f t="shared" si="30"/>
        <v>1.6331131493612594E-2</v>
      </c>
    </row>
    <row r="268" spans="1:5" x14ac:dyDescent="0.2">
      <c r="A268" s="588">
        <v>11</v>
      </c>
      <c r="B268" s="587" t="s">
        <v>720</v>
      </c>
      <c r="C268" s="622">
        <f>+C260*C267</f>
        <v>53819202.804170154</v>
      </c>
      <c r="D268" s="644">
        <f>+D260*D267</f>
        <v>49871409.675459579</v>
      </c>
      <c r="E268" s="622">
        <f t="shared" si="30"/>
        <v>-3947793.1287105754</v>
      </c>
    </row>
    <row r="269" spans="1:5" x14ac:dyDescent="0.2">
      <c r="A269" s="588">
        <v>12</v>
      </c>
      <c r="B269" s="587" t="s">
        <v>842</v>
      </c>
      <c r="C269" s="622">
        <f>((C17+C18+C28+C29)*C267)-(C50+C51+C61+C62)</f>
        <v>266834780.92543584</v>
      </c>
      <c r="D269" s="644">
        <f>((D17+D18+D28+D29)*D267)-(D50+D51+D61+D62)</f>
        <v>297398019.82799184</v>
      </c>
      <c r="E269" s="622">
        <f t="shared" si="30"/>
        <v>30563238.902556002</v>
      </c>
    </row>
    <row r="270" spans="1:5" s="648" customFormat="1" x14ac:dyDescent="0.2">
      <c r="A270" s="645">
        <v>13</v>
      </c>
      <c r="B270" s="646" t="s">
        <v>843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844</v>
      </c>
      <c r="C271" s="622">
        <f>+C268+C269+C270</f>
        <v>320653983.72960597</v>
      </c>
      <c r="D271" s="622">
        <f>+D268+D269+D270</f>
        <v>347269429.50345141</v>
      </c>
      <c r="E271" s="625">
        <f t="shared" si="30"/>
        <v>26615445.773845434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845</v>
      </c>
      <c r="B273" s="626" t="s">
        <v>846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847</v>
      </c>
      <c r="C275" s="425"/>
      <c r="D275" s="425"/>
      <c r="E275" s="596"/>
    </row>
    <row r="276" spans="1:5" x14ac:dyDescent="0.2">
      <c r="A276" s="588">
        <v>1</v>
      </c>
      <c r="B276" s="587" t="s">
        <v>660</v>
      </c>
      <c r="C276" s="623">
        <f t="shared" ref="C276:D284" si="31">IF(C14=0,0,+C47/C14)</f>
        <v>0.42809462535692488</v>
      </c>
      <c r="D276" s="623">
        <f t="shared" si="31"/>
        <v>0.457491279454945</v>
      </c>
      <c r="E276" s="650">
        <f t="shared" ref="E276:E284" si="32">D276-C276</f>
        <v>2.9396654098020114E-2</v>
      </c>
    </row>
    <row r="277" spans="1:5" x14ac:dyDescent="0.2">
      <c r="A277" s="588">
        <v>2</v>
      </c>
      <c r="B277" s="587" t="s">
        <v>639</v>
      </c>
      <c r="C277" s="623">
        <f t="shared" si="31"/>
        <v>0.28578329295018995</v>
      </c>
      <c r="D277" s="623">
        <f t="shared" si="31"/>
        <v>0.31938820049353689</v>
      </c>
      <c r="E277" s="650">
        <f t="shared" si="32"/>
        <v>3.360490754334694E-2</v>
      </c>
    </row>
    <row r="278" spans="1:5" x14ac:dyDescent="0.2">
      <c r="A278" s="588">
        <v>3</v>
      </c>
      <c r="B278" s="587" t="s">
        <v>781</v>
      </c>
      <c r="C278" s="623">
        <f t="shared" si="31"/>
        <v>0.10568980904687142</v>
      </c>
      <c r="D278" s="623">
        <f t="shared" si="31"/>
        <v>0.11405610009874881</v>
      </c>
      <c r="E278" s="650">
        <f t="shared" si="32"/>
        <v>8.3662910518773892E-3</v>
      </c>
    </row>
    <row r="279" spans="1:5" x14ac:dyDescent="0.2">
      <c r="A279" s="588">
        <v>4</v>
      </c>
      <c r="B279" s="587" t="s">
        <v>115</v>
      </c>
      <c r="C279" s="623">
        <f t="shared" si="31"/>
        <v>0.10568980904687142</v>
      </c>
      <c r="D279" s="623">
        <f t="shared" si="31"/>
        <v>0.11405610009874881</v>
      </c>
      <c r="E279" s="650">
        <f t="shared" si="32"/>
        <v>8.3662910518773892E-3</v>
      </c>
    </row>
    <row r="280" spans="1:5" x14ac:dyDescent="0.2">
      <c r="A280" s="588">
        <v>5</v>
      </c>
      <c r="B280" s="587" t="s">
        <v>747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8.3508197826940272E-2</v>
      </c>
      <c r="D281" s="623">
        <f t="shared" si="31"/>
        <v>0.22368799986588417</v>
      </c>
      <c r="E281" s="650">
        <f t="shared" si="32"/>
        <v>0.1401798020389439</v>
      </c>
    </row>
    <row r="282" spans="1:5" x14ac:dyDescent="0.2">
      <c r="A282" s="588">
        <v>7</v>
      </c>
      <c r="B282" s="587" t="s">
        <v>762</v>
      </c>
      <c r="C282" s="623">
        <f t="shared" si="31"/>
        <v>0.18538628967587628</v>
      </c>
      <c r="D282" s="623">
        <f t="shared" si="31"/>
        <v>0.34249175109741486</v>
      </c>
      <c r="E282" s="650">
        <f t="shared" si="32"/>
        <v>0.15710546142153858</v>
      </c>
    </row>
    <row r="283" spans="1:5" ht="29.25" customHeight="1" x14ac:dyDescent="0.2">
      <c r="A283" s="588"/>
      <c r="B283" s="592" t="s">
        <v>848</v>
      </c>
      <c r="C283" s="651">
        <f t="shared" si="31"/>
        <v>0.22025491150504112</v>
      </c>
      <c r="D283" s="651">
        <f t="shared" si="31"/>
        <v>0.24351711739787563</v>
      </c>
      <c r="E283" s="652">
        <f t="shared" si="32"/>
        <v>2.3262205892834509E-2</v>
      </c>
    </row>
    <row r="284" spans="1:5" x14ac:dyDescent="0.2">
      <c r="A284" s="588"/>
      <c r="B284" s="592" t="s">
        <v>849</v>
      </c>
      <c r="C284" s="651">
        <f t="shared" si="31"/>
        <v>0.28697001891069424</v>
      </c>
      <c r="D284" s="651">
        <f t="shared" si="31"/>
        <v>0.31265035606281238</v>
      </c>
      <c r="E284" s="652">
        <f t="shared" si="32"/>
        <v>2.5680337152118149E-2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850</v>
      </c>
      <c r="C286" s="596"/>
      <c r="D286" s="596"/>
      <c r="E286" s="596"/>
    </row>
    <row r="287" spans="1:5" x14ac:dyDescent="0.2">
      <c r="A287" s="588">
        <v>1</v>
      </c>
      <c r="B287" s="587" t="s">
        <v>660</v>
      </c>
      <c r="C287" s="623">
        <f t="shared" ref="C287:D295" si="33">IF(C25=0,0,+C58/C25)</f>
        <v>0.40956169729537406</v>
      </c>
      <c r="D287" s="623">
        <f t="shared" si="33"/>
        <v>0.42765296628686461</v>
      </c>
      <c r="E287" s="650">
        <f t="shared" ref="E287:E295" si="34">D287-C287</f>
        <v>1.809126899149055E-2</v>
      </c>
    </row>
    <row r="288" spans="1:5" x14ac:dyDescent="0.2">
      <c r="A288" s="588">
        <v>2</v>
      </c>
      <c r="B288" s="587" t="s">
        <v>639</v>
      </c>
      <c r="C288" s="623">
        <f t="shared" si="33"/>
        <v>0.14911146828128791</v>
      </c>
      <c r="D288" s="623">
        <f t="shared" si="33"/>
        <v>0.15883270763186633</v>
      </c>
      <c r="E288" s="650">
        <f t="shared" si="34"/>
        <v>9.72123935057842E-3</v>
      </c>
    </row>
    <row r="289" spans="1:5" x14ac:dyDescent="0.2">
      <c r="A289" s="588">
        <v>3</v>
      </c>
      <c r="B289" s="587" t="s">
        <v>781</v>
      </c>
      <c r="C289" s="623">
        <f t="shared" si="33"/>
        <v>0.13956998908409296</v>
      </c>
      <c r="D289" s="623">
        <f t="shared" si="33"/>
        <v>0.15286291067866475</v>
      </c>
      <c r="E289" s="650">
        <f t="shared" si="34"/>
        <v>1.3292921594571794E-2</v>
      </c>
    </row>
    <row r="290" spans="1:5" x14ac:dyDescent="0.2">
      <c r="A290" s="588">
        <v>4</v>
      </c>
      <c r="B290" s="587" t="s">
        <v>115</v>
      </c>
      <c r="C290" s="623">
        <f t="shared" si="33"/>
        <v>0.13956998908409296</v>
      </c>
      <c r="D290" s="623">
        <f t="shared" si="33"/>
        <v>0.15286291067866475</v>
      </c>
      <c r="E290" s="650">
        <f t="shared" si="34"/>
        <v>1.3292921594571794E-2</v>
      </c>
    </row>
    <row r="291" spans="1:5" x14ac:dyDescent="0.2">
      <c r="A291" s="588">
        <v>5</v>
      </c>
      <c r="B291" s="587" t="s">
        <v>747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0.10303775822004994</v>
      </c>
      <c r="D292" s="623">
        <f t="shared" si="33"/>
        <v>7.6329553117453749E-2</v>
      </c>
      <c r="E292" s="650">
        <f t="shared" si="34"/>
        <v>-2.6708205102596194E-2</v>
      </c>
    </row>
    <row r="293" spans="1:5" x14ac:dyDescent="0.2">
      <c r="A293" s="588">
        <v>7</v>
      </c>
      <c r="B293" s="587" t="s">
        <v>762</v>
      </c>
      <c r="C293" s="623">
        <f t="shared" si="33"/>
        <v>0.11058108277173392</v>
      </c>
      <c r="D293" s="623">
        <f t="shared" si="33"/>
        <v>0.1315275588270714</v>
      </c>
      <c r="E293" s="650">
        <f t="shared" si="34"/>
        <v>2.0946476055337476E-2</v>
      </c>
    </row>
    <row r="294" spans="1:5" ht="29.25" customHeight="1" x14ac:dyDescent="0.2">
      <c r="A294" s="588"/>
      <c r="B294" s="592" t="s">
        <v>851</v>
      </c>
      <c r="C294" s="651">
        <f t="shared" si="33"/>
        <v>0.14555206701229653</v>
      </c>
      <c r="D294" s="651">
        <f t="shared" si="33"/>
        <v>0.15616895773037331</v>
      </c>
      <c r="E294" s="652">
        <f t="shared" si="34"/>
        <v>1.0616890718076782E-2</v>
      </c>
    </row>
    <row r="295" spans="1:5" x14ac:dyDescent="0.2">
      <c r="A295" s="588"/>
      <c r="B295" s="592" t="s">
        <v>852</v>
      </c>
      <c r="C295" s="651">
        <f t="shared" si="33"/>
        <v>0.26100060029174282</v>
      </c>
      <c r="D295" s="651">
        <f t="shared" si="33"/>
        <v>0.27070871110516109</v>
      </c>
      <c r="E295" s="652">
        <f t="shared" si="34"/>
        <v>9.7081108134182692E-3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853</v>
      </c>
      <c r="B297" s="579" t="s">
        <v>854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855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658</v>
      </c>
      <c r="C301" s="590">
        <f>+C48+C47+C50+C51+C52+C59+C58+C61+C62+C63</f>
        <v>2306763699</v>
      </c>
      <c r="D301" s="590">
        <f>+D48+D47+D50+D51+D52+D59+D58+D61+D62+D63</f>
        <v>2555636808</v>
      </c>
      <c r="E301" s="590">
        <f>D301-C301</f>
        <v>248873109</v>
      </c>
    </row>
    <row r="302" spans="1:5" ht="25.5" x14ac:dyDescent="0.2">
      <c r="A302" s="588">
        <v>2</v>
      </c>
      <c r="B302" s="587" t="s">
        <v>856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857</v>
      </c>
      <c r="C303" s="593">
        <f>+C301+C302</f>
        <v>2306763699</v>
      </c>
      <c r="D303" s="593">
        <f>+D301+D302</f>
        <v>2555636808</v>
      </c>
      <c r="E303" s="593">
        <f>D303-C303</f>
        <v>248873109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858</v>
      </c>
      <c r="C305" s="589">
        <v>31589301</v>
      </c>
      <c r="D305" s="654">
        <v>-97646807</v>
      </c>
      <c r="E305" s="655">
        <f>D305-C305</f>
        <v>-129236108</v>
      </c>
    </row>
    <row r="306" spans="1:5" x14ac:dyDescent="0.2">
      <c r="A306" s="588">
        <v>4</v>
      </c>
      <c r="B306" s="592" t="s">
        <v>859</v>
      </c>
      <c r="C306" s="593">
        <f>+C303+C305+C194+C190-C191</f>
        <v>2496282603</v>
      </c>
      <c r="D306" s="593">
        <f>+D303+D305</f>
        <v>2457990001</v>
      </c>
      <c r="E306" s="656">
        <f>D306-C306</f>
        <v>-38292602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860</v>
      </c>
      <c r="C308" s="589">
        <v>2338353000</v>
      </c>
      <c r="D308" s="589">
        <v>2457990000</v>
      </c>
      <c r="E308" s="590">
        <f>D308-C308</f>
        <v>119637000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861</v>
      </c>
      <c r="C310" s="657">
        <f>C306-C308</f>
        <v>157929603</v>
      </c>
      <c r="D310" s="658">
        <f>D306-D308</f>
        <v>1</v>
      </c>
      <c r="E310" s="656">
        <f>D310-C310</f>
        <v>-157929602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862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863</v>
      </c>
      <c r="C314" s="590">
        <f>+C14+C15+C16+C19+C25+C26+C27+C30</f>
        <v>8384978567</v>
      </c>
      <c r="D314" s="590">
        <f>+D14+D15+D16+D19+D25+D26+D27+D30</f>
        <v>8723514793</v>
      </c>
      <c r="E314" s="590">
        <f>D314-C314</f>
        <v>338536226</v>
      </c>
    </row>
    <row r="315" spans="1:5" x14ac:dyDescent="0.2">
      <c r="A315" s="588">
        <v>2</v>
      </c>
      <c r="B315" s="659" t="s">
        <v>864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865</v>
      </c>
      <c r="C316" s="657">
        <f>C314+C315</f>
        <v>8384978567</v>
      </c>
      <c r="D316" s="657">
        <f>D314+D315</f>
        <v>8723514793</v>
      </c>
      <c r="E316" s="593">
        <f>D316-C316</f>
        <v>338536226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866</v>
      </c>
      <c r="C318" s="589">
        <v>8384978567</v>
      </c>
      <c r="D318" s="589">
        <v>8723514793</v>
      </c>
      <c r="E318" s="590">
        <f>D318-C318</f>
        <v>338536226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861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867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868</v>
      </c>
      <c r="C324" s="589">
        <f>+C193+C194</f>
        <v>201141000</v>
      </c>
      <c r="D324" s="589">
        <f>+D193+D194</f>
        <v>175665000</v>
      </c>
      <c r="E324" s="590">
        <f>D324-C324</f>
        <v>-25476000</v>
      </c>
    </row>
    <row r="325" spans="1:5" x14ac:dyDescent="0.2">
      <c r="A325" s="588">
        <v>2</v>
      </c>
      <c r="B325" s="587" t="s">
        <v>869</v>
      </c>
      <c r="C325" s="589">
        <v>612000</v>
      </c>
      <c r="D325" s="589">
        <v>596000</v>
      </c>
      <c r="E325" s="590">
        <f>D325-C325</f>
        <v>-16000</v>
      </c>
    </row>
    <row r="326" spans="1:5" x14ac:dyDescent="0.2">
      <c r="A326" s="588"/>
      <c r="B326" s="592" t="s">
        <v>870</v>
      </c>
      <c r="C326" s="657">
        <f>C324+C325</f>
        <v>201753000</v>
      </c>
      <c r="D326" s="657">
        <f>D324+D325</f>
        <v>176261000</v>
      </c>
      <c r="E326" s="593">
        <f>D326-C326</f>
        <v>-25492000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871</v>
      </c>
      <c r="C328" s="589">
        <v>201753000</v>
      </c>
      <c r="D328" s="589">
        <v>176261000</v>
      </c>
      <c r="E328" s="590">
        <f>D328-C328</f>
        <v>-25492000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872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9" fitToHeight="0" orientation="portrait" horizontalDpi="1200" verticalDpi="1200" r:id="rId1"/>
  <headerFooter>
    <oddHeader>_x000D_
                &amp;LOFFICE OF HEALTH CARE ACCESS&amp;CTWELVE MONTHS ACTUAL FILING&amp;RYALE-NEW HAVEN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633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873</v>
      </c>
      <c r="B5" s="824"/>
      <c r="C5" s="825"/>
      <c r="D5" s="661"/>
    </row>
    <row r="6" spans="1:58" s="662" customFormat="1" ht="15.75" customHeight="1" x14ac:dyDescent="0.25">
      <c r="A6" s="823" t="s">
        <v>874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875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876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780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660</v>
      </c>
      <c r="C14" s="589">
        <v>1495263188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639</v>
      </c>
      <c r="C15" s="591">
        <v>1964467554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781</v>
      </c>
      <c r="C16" s="591">
        <v>1148213273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1148213273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747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20042376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762</v>
      </c>
      <c r="C20" s="591">
        <v>80469795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782</v>
      </c>
      <c r="C21" s="593">
        <f>SUM(C15+C16+C19)</f>
        <v>3132723203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4627986391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783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660</v>
      </c>
      <c r="C25" s="589">
        <v>1727913241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639</v>
      </c>
      <c r="C26" s="591">
        <v>1566403285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781</v>
      </c>
      <c r="C27" s="591">
        <v>781303401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781303401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747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19908475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762</v>
      </c>
      <c r="C31" s="594">
        <v>96954852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784</v>
      </c>
      <c r="C32" s="593">
        <f>SUM(C26+C27+C30)</f>
        <v>2367615161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4095528402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657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877</v>
      </c>
      <c r="C36" s="590">
        <f>SUM(C14+C25)</f>
        <v>3223176429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878</v>
      </c>
      <c r="C37" s="594">
        <f>SUM(C21+C32)</f>
        <v>5500338364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657</v>
      </c>
      <c r="C38" s="593">
        <f>SUM(+C36+C37)</f>
        <v>8723514793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793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660</v>
      </c>
      <c r="C41" s="589">
        <v>684069869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639</v>
      </c>
      <c r="C42" s="591">
        <v>627427757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781</v>
      </c>
      <c r="C43" s="591">
        <v>130960728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130960728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747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4483239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762</v>
      </c>
      <c r="C47" s="591">
        <v>27560241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794</v>
      </c>
      <c r="C48" s="593">
        <f>SUM(C42+C43+C46)</f>
        <v>762871724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1446941593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795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660</v>
      </c>
      <c r="C52" s="589">
        <v>738947223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639</v>
      </c>
      <c r="C53" s="591">
        <v>248796075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781</v>
      </c>
      <c r="C54" s="591">
        <v>119432312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119432312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747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1519605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762</v>
      </c>
      <c r="C58" s="591">
        <v>12752235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796</v>
      </c>
      <c r="C59" s="593">
        <f>SUM(C53+C54+C57)</f>
        <v>369747992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1108695215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658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879</v>
      </c>
      <c r="C63" s="590">
        <f>SUM(C41+C52)</f>
        <v>1423017092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880</v>
      </c>
      <c r="C64" s="594">
        <f>SUM(C48+C59)</f>
        <v>1132619716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658</v>
      </c>
      <c r="C65" s="593">
        <f>SUM(+C63+C64)</f>
        <v>2555636808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881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882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660</v>
      </c>
      <c r="C70" s="606">
        <v>27712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639</v>
      </c>
      <c r="C71" s="606">
        <v>28079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781</v>
      </c>
      <c r="C72" s="606">
        <v>22248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22248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747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413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762</v>
      </c>
      <c r="C76" s="621">
        <v>1339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811</v>
      </c>
      <c r="C77" s="608">
        <f>SUM(C71+C72+C75)</f>
        <v>50740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78452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815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660</v>
      </c>
      <c r="C81" s="617">
        <v>1.47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639</v>
      </c>
      <c r="C82" s="617">
        <v>1.81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781</v>
      </c>
      <c r="C83" s="617">
        <f>((C73*C84)+(C74*C85))/(C73+C74)</f>
        <v>1.27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1.27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747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1.32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762</v>
      </c>
      <c r="C87" s="617">
        <v>1.6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816</v>
      </c>
      <c r="C88" s="619">
        <f>((C71*C82)+(C73*C84)+(C74*C85)+(C75*C86))/(C71+C73+C74+C75)</f>
        <v>1.5692374852187623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727</v>
      </c>
      <c r="C89" s="619">
        <f>((C70*C81)+(C71*C82)+(C73*C84)+(C74*C85)+(C75*C86))/(C70+C71+C73+C74+C75)</f>
        <v>1.5341833222862387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817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818</v>
      </c>
      <c r="C92" s="589">
        <v>3045751782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819</v>
      </c>
      <c r="C93" s="622">
        <v>1342232256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672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751</v>
      </c>
      <c r="C95" s="589">
        <f>+C92-C93</f>
        <v>1703519526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674</v>
      </c>
      <c r="C96" s="681">
        <f>(+C92-C93)/C92</f>
        <v>0.55931003178511807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766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752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883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821</v>
      </c>
      <c r="C103" s="589">
        <v>41146000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822</v>
      </c>
      <c r="C104" s="589">
        <v>134519000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823</v>
      </c>
      <c r="C105" s="654">
        <f>+C103+C104</f>
        <v>175665000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824</v>
      </c>
      <c r="C107" s="589">
        <v>3237338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714</v>
      </c>
      <c r="C108" s="589">
        <v>2413364000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854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855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658</v>
      </c>
      <c r="C114" s="590">
        <f>+C65</f>
        <v>2555636808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856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857</v>
      </c>
      <c r="C116" s="593">
        <f>+C114+C115</f>
        <v>2555636808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858</v>
      </c>
      <c r="C118" s="654">
        <v>-97646807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859</v>
      </c>
      <c r="C119" s="656">
        <f>+C116+C118</f>
        <v>2457990001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860</v>
      </c>
      <c r="C121" s="589">
        <v>2457990000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861</v>
      </c>
      <c r="C123" s="658">
        <f>C119-C121</f>
        <v>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862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863</v>
      </c>
      <c r="C127" s="590">
        <f>C38</f>
        <v>8723514793</v>
      </c>
      <c r="D127" s="664"/>
      <c r="AR127" s="485"/>
    </row>
    <row r="128" spans="1:58" s="421" customFormat="1" ht="12.75" x14ac:dyDescent="0.2">
      <c r="A128" s="588">
        <v>2</v>
      </c>
      <c r="B128" s="659" t="s">
        <v>864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865</v>
      </c>
      <c r="C129" s="657">
        <f>C127+C128</f>
        <v>8723514793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866</v>
      </c>
      <c r="C131" s="589">
        <v>8723514793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861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867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868</v>
      </c>
      <c r="C137" s="589">
        <f>C105</f>
        <v>175665000</v>
      </c>
      <c r="D137" s="664"/>
      <c r="AR137" s="485"/>
    </row>
    <row r="138" spans="1:44" s="421" customFormat="1" ht="12.75" x14ac:dyDescent="0.2">
      <c r="A138" s="588">
        <v>2</v>
      </c>
      <c r="B138" s="669" t="s">
        <v>884</v>
      </c>
      <c r="C138" s="589">
        <v>596000</v>
      </c>
      <c r="D138" s="664"/>
      <c r="AR138" s="485"/>
    </row>
    <row r="139" spans="1:44" s="421" customFormat="1" ht="12.75" x14ac:dyDescent="0.2">
      <c r="A139" s="588"/>
      <c r="B139" s="671" t="s">
        <v>870</v>
      </c>
      <c r="C139" s="657">
        <f>C137+C138</f>
        <v>176261000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885</v>
      </c>
      <c r="C141" s="589">
        <v>176261000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872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FILING&amp;RYALE-NEW HAVEN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633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886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636</v>
      </c>
      <c r="D8" s="177" t="s">
        <v>636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887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888</v>
      </c>
      <c r="C12" s="185">
        <v>6433</v>
      </c>
      <c r="D12" s="185">
        <v>11105</v>
      </c>
      <c r="E12" s="185">
        <f>+D12-C12</f>
        <v>4672</v>
      </c>
      <c r="F12" s="77">
        <f>IF(C12=0,0,+E12/C12)</f>
        <v>0.72625524638582306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889</v>
      </c>
      <c r="C13" s="185">
        <v>5496</v>
      </c>
      <c r="D13" s="185">
        <v>8613</v>
      </c>
      <c r="E13" s="185">
        <f>+D13-C13</f>
        <v>3117</v>
      </c>
      <c r="F13" s="77">
        <f>IF(C13=0,0,+E13/C13)</f>
        <v>0.56713973799126638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890</v>
      </c>
      <c r="C15" s="76">
        <v>43211397</v>
      </c>
      <c r="D15" s="76">
        <v>41146000</v>
      </c>
      <c r="E15" s="76">
        <f>+D15-C15</f>
        <v>-2065397</v>
      </c>
      <c r="F15" s="77">
        <f>IF(C15=0,0,+E15/C15)</f>
        <v>-4.7797505829307023E-2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891</v>
      </c>
      <c r="C16" s="79">
        <f>IF(C13=0,0,+C15/+C13)</f>
        <v>7862.3356986899562</v>
      </c>
      <c r="D16" s="79">
        <f>IF(D13=0,0,+D15/+D13)</f>
        <v>4777.1972599558803</v>
      </c>
      <c r="E16" s="79">
        <f>+D16-C16</f>
        <v>-3085.1384387340759</v>
      </c>
      <c r="F16" s="80">
        <f>IF(C16=0,0,+E16/C16)</f>
        <v>-0.39239464670125063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892</v>
      </c>
      <c r="C18" s="704">
        <v>0.271233</v>
      </c>
      <c r="D18" s="704">
        <v>0.27030100000000001</v>
      </c>
      <c r="E18" s="704">
        <f>+D18-C18</f>
        <v>-9.3199999999998839E-4</v>
      </c>
      <c r="F18" s="77">
        <f>IF(C18=0,0,+E18/C18)</f>
        <v>-3.4361600542706398E-3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893</v>
      </c>
      <c r="C19" s="79">
        <f>+C15*C18</f>
        <v>11720356.842501</v>
      </c>
      <c r="D19" s="79">
        <f>+D15*D18</f>
        <v>11121804.946</v>
      </c>
      <c r="E19" s="79">
        <f>+D19-C19</f>
        <v>-598551.89650099911</v>
      </c>
      <c r="F19" s="80">
        <f>IF(C19=0,0,+E19/C19)</f>
        <v>-5.1069426003353194E-2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894</v>
      </c>
      <c r="C20" s="79">
        <f>IF(C13=0,0,+C19/C13)</f>
        <v>2132.5248985627727</v>
      </c>
      <c r="D20" s="79">
        <f>IF(D13=0,0,+D19/D13)</f>
        <v>1291.2811965633346</v>
      </c>
      <c r="E20" s="79">
        <f>+D20-C20</f>
        <v>-841.24370199943814</v>
      </c>
      <c r="F20" s="80">
        <f>IF(C20=0,0,+E20/C20)</f>
        <v>-0.39448247594501668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895</v>
      </c>
      <c r="C22" s="76">
        <v>16246048</v>
      </c>
      <c r="D22" s="76">
        <v>15365288</v>
      </c>
      <c r="E22" s="76">
        <f>+D22-C22</f>
        <v>-880760</v>
      </c>
      <c r="F22" s="77">
        <f>IF(C22=0,0,+E22/C22)</f>
        <v>-5.4213800180819359E-2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896</v>
      </c>
      <c r="C23" s="185">
        <v>18430623</v>
      </c>
      <c r="D23" s="185">
        <v>21146797</v>
      </c>
      <c r="E23" s="185">
        <f>+D23-C23</f>
        <v>2716174</v>
      </c>
      <c r="F23" s="77">
        <f>IF(C23=0,0,+E23/C23)</f>
        <v>0.14737288045010741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897</v>
      </c>
      <c r="C24" s="185">
        <v>8534726</v>
      </c>
      <c r="D24" s="185">
        <v>4633915</v>
      </c>
      <c r="E24" s="185">
        <f>+D24-C24</f>
        <v>-3900811</v>
      </c>
      <c r="F24" s="77">
        <f>IF(C24=0,0,+E24/C24)</f>
        <v>-0.45705169679729613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898</v>
      </c>
      <c r="C25" s="79">
        <f>+C22+C23+C24</f>
        <v>43211397</v>
      </c>
      <c r="D25" s="79">
        <f>+D22+D23+D24</f>
        <v>41146000</v>
      </c>
      <c r="E25" s="79">
        <f>+E22+E23+E24</f>
        <v>-2065397</v>
      </c>
      <c r="F25" s="80">
        <f>IF(C25=0,0,+E25/C25)</f>
        <v>-4.7797505829307023E-2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899</v>
      </c>
      <c r="C27" s="185">
        <v>12981</v>
      </c>
      <c r="D27" s="185">
        <v>6144</v>
      </c>
      <c r="E27" s="185">
        <f>+D27-C27</f>
        <v>-6837</v>
      </c>
      <c r="F27" s="77">
        <f>IF(C27=0,0,+E27/C27)</f>
        <v>-0.52669285879362149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900</v>
      </c>
      <c r="C28" s="185">
        <v>2479</v>
      </c>
      <c r="D28" s="185">
        <v>905</v>
      </c>
      <c r="E28" s="185">
        <f>+D28-C28</f>
        <v>-1574</v>
      </c>
      <c r="F28" s="77">
        <f>IF(C28=0,0,+E28/C28)</f>
        <v>-0.63493344090359016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901</v>
      </c>
      <c r="C29" s="185">
        <v>2860</v>
      </c>
      <c r="D29" s="185">
        <v>2749</v>
      </c>
      <c r="E29" s="185">
        <f>+D29-C29</f>
        <v>-111</v>
      </c>
      <c r="F29" s="77">
        <f>IF(C29=0,0,+E29/C29)</f>
        <v>-3.8811188811188814E-2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902</v>
      </c>
      <c r="C30" s="185">
        <v>14851</v>
      </c>
      <c r="D30" s="185">
        <v>13992</v>
      </c>
      <c r="E30" s="185">
        <f>+D30-C30</f>
        <v>-859</v>
      </c>
      <c r="F30" s="77">
        <f>IF(C30=0,0,+E30/C30)</f>
        <v>-5.7841222813278567E-2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903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904</v>
      </c>
      <c r="C33" s="76">
        <v>33910337</v>
      </c>
      <c r="D33" s="76">
        <v>62234432</v>
      </c>
      <c r="E33" s="76">
        <f>+D33-C33</f>
        <v>28324095</v>
      </c>
      <c r="F33" s="77">
        <f>IF(C33=0,0,+E33/C33)</f>
        <v>0.83526433252491705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905</v>
      </c>
      <c r="C34" s="185">
        <v>65017311</v>
      </c>
      <c r="D34" s="185">
        <v>34740999</v>
      </c>
      <c r="E34" s="185">
        <f>+D34-C34</f>
        <v>-30276312</v>
      </c>
      <c r="F34" s="77">
        <f>IF(C34=0,0,+E34/C34)</f>
        <v>-0.46566539794301859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906</v>
      </c>
      <c r="C35" s="185">
        <v>59001955</v>
      </c>
      <c r="D35" s="185">
        <v>37543569</v>
      </c>
      <c r="E35" s="185">
        <f>+D35-C35</f>
        <v>-21458386</v>
      </c>
      <c r="F35" s="77">
        <f>IF(C35=0,0,+E35/C35)</f>
        <v>-0.36368940656288423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907</v>
      </c>
      <c r="C36" s="79">
        <f>+C33+C34+C35</f>
        <v>157929603</v>
      </c>
      <c r="D36" s="79">
        <f>+D33+D34+D35</f>
        <v>134519000</v>
      </c>
      <c r="E36" s="79">
        <f>+E33+E34+E35</f>
        <v>-23410603</v>
      </c>
      <c r="F36" s="80">
        <f>IF(C36=0,0,+E36/C36)</f>
        <v>-0.14823441935708531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908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909</v>
      </c>
      <c r="C39" s="76">
        <f>+C25</f>
        <v>43211397</v>
      </c>
      <c r="D39" s="76">
        <f>+D25</f>
        <v>41146000</v>
      </c>
      <c r="E39" s="76">
        <f>+D39-C39</f>
        <v>-2065397</v>
      </c>
      <c r="F39" s="77">
        <f>IF(C39=0,0,+E39/C39)</f>
        <v>-4.7797505829307023E-2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910</v>
      </c>
      <c r="C40" s="185">
        <f>+C36</f>
        <v>157929603</v>
      </c>
      <c r="D40" s="185">
        <f>+D36</f>
        <v>134519000</v>
      </c>
      <c r="E40" s="185">
        <f>+D40-C40</f>
        <v>-23410603</v>
      </c>
      <c r="F40" s="77">
        <f>IF(C40=0,0,+E40/C40)</f>
        <v>-0.14823441935708531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911</v>
      </c>
      <c r="C41" s="79">
        <f>+C39+C40</f>
        <v>201141000</v>
      </c>
      <c r="D41" s="79">
        <f>+D39+D40</f>
        <v>175665000</v>
      </c>
      <c r="E41" s="79">
        <f>+E39+E40</f>
        <v>-25476000</v>
      </c>
      <c r="F41" s="80">
        <f>IF(C41=0,0,+E41/C41)</f>
        <v>-0.12665741942219638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912</v>
      </c>
      <c r="C43" s="76">
        <f t="shared" ref="C43:D45" si="0">+C22+C33</f>
        <v>50156385</v>
      </c>
      <c r="D43" s="76">
        <f t="shared" si="0"/>
        <v>77599720</v>
      </c>
      <c r="E43" s="76">
        <f>+D43-C43</f>
        <v>27443335</v>
      </c>
      <c r="F43" s="77">
        <f>IF(C43=0,0,+E43/C43)</f>
        <v>0.54715536217372918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913</v>
      </c>
      <c r="C44" s="185">
        <f t="shared" si="0"/>
        <v>83447934</v>
      </c>
      <c r="D44" s="185">
        <f t="shared" si="0"/>
        <v>55887796</v>
      </c>
      <c r="E44" s="185">
        <f>+D44-C44</f>
        <v>-27560138</v>
      </c>
      <c r="F44" s="77">
        <f>IF(C44=0,0,+E44/C44)</f>
        <v>-0.33026746953375741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914</v>
      </c>
      <c r="C45" s="185">
        <f t="shared" si="0"/>
        <v>67536681</v>
      </c>
      <c r="D45" s="185">
        <f t="shared" si="0"/>
        <v>42177484</v>
      </c>
      <c r="E45" s="185">
        <f>+D45-C45</f>
        <v>-25359197</v>
      </c>
      <c r="F45" s="77">
        <f>IF(C45=0,0,+E45/C45)</f>
        <v>-0.37548775901498627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911</v>
      </c>
      <c r="C46" s="79">
        <f>+C43+C44+C45</f>
        <v>201141000</v>
      </c>
      <c r="D46" s="79">
        <f>+D43+D44+D45</f>
        <v>175665000</v>
      </c>
      <c r="E46" s="79">
        <f>+E43+E44+E45</f>
        <v>-25476000</v>
      </c>
      <c r="F46" s="80">
        <f>IF(C46=0,0,+E46/C46)</f>
        <v>-0.12665741942219638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915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FILING&amp;RYALE-NEW HAVEN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633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916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917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918</v>
      </c>
      <c r="D10" s="177" t="s">
        <v>918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919</v>
      </c>
      <c r="D11" s="693" t="s">
        <v>919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920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2976359272</v>
      </c>
      <c r="D15" s="76">
        <v>3045751782</v>
      </c>
      <c r="E15" s="76">
        <f>+D15-C15</f>
        <v>69392510</v>
      </c>
      <c r="F15" s="77">
        <f>IF(C15=0,0,E15/C15)</f>
        <v>2.331456106552986E-2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921</v>
      </c>
      <c r="C17" s="76">
        <v>1687157766</v>
      </c>
      <c r="D17" s="76">
        <v>1703519526</v>
      </c>
      <c r="E17" s="76">
        <f>+D17-C17</f>
        <v>16361760</v>
      </c>
      <c r="F17" s="77">
        <f>IF(C17=0,0,E17/C17)</f>
        <v>9.6978245483179074E-3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922</v>
      </c>
      <c r="C19" s="79">
        <f>+C15-C17</f>
        <v>1289201506</v>
      </c>
      <c r="D19" s="79">
        <f>+D15-D17</f>
        <v>1342232256</v>
      </c>
      <c r="E19" s="79">
        <f>+D19-C19</f>
        <v>53030750</v>
      </c>
      <c r="F19" s="80">
        <f>IF(C19=0,0,E19/C19)</f>
        <v>4.1134570315961141E-2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923</v>
      </c>
      <c r="C21" s="720">
        <f>IF(C15=0,0,C17/C15)</f>
        <v>0.56685286009383351</v>
      </c>
      <c r="D21" s="720">
        <f>IF(D15=0,0,D17/D15)</f>
        <v>0.55931003178511807</v>
      </c>
      <c r="E21" s="720">
        <f>+D21-C21</f>
        <v>-7.5428283087154435E-3</v>
      </c>
      <c r="F21" s="80">
        <f>IF(C21=0,0,E21/C21)</f>
        <v>-1.3306501280538388E-2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924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FILING&amp;R&amp;12YALE-NEW HAVEN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925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926</v>
      </c>
      <c r="B6" s="734" t="s">
        <v>927</v>
      </c>
      <c r="C6" s="734" t="s">
        <v>928</v>
      </c>
      <c r="D6" s="734" t="s">
        <v>929</v>
      </c>
      <c r="E6" s="734" t="s">
        <v>930</v>
      </c>
    </row>
    <row r="7" spans="1:6" ht="37.5" customHeight="1" x14ac:dyDescent="0.25">
      <c r="A7" s="735" t="s">
        <v>8</v>
      </c>
      <c r="B7" s="736" t="s">
        <v>9</v>
      </c>
      <c r="C7" s="737" t="s">
        <v>931</v>
      </c>
      <c r="D7" s="737" t="s">
        <v>932</v>
      </c>
      <c r="E7" s="737" t="s">
        <v>933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934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935</v>
      </c>
      <c r="C10" s="744">
        <v>4640874495</v>
      </c>
      <c r="D10" s="744">
        <v>4554559396</v>
      </c>
      <c r="E10" s="744">
        <v>4627986391</v>
      </c>
    </row>
    <row r="11" spans="1:6" ht="26.1" customHeight="1" x14ac:dyDescent="0.25">
      <c r="A11" s="742">
        <v>2</v>
      </c>
      <c r="B11" s="743" t="s">
        <v>936</v>
      </c>
      <c r="C11" s="744">
        <v>3602178376</v>
      </c>
      <c r="D11" s="744">
        <v>3830419171</v>
      </c>
      <c r="E11" s="744">
        <v>4095528402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8243052871</v>
      </c>
      <c r="D12" s="744">
        <f>+D11+D10</f>
        <v>8384978567</v>
      </c>
      <c r="E12" s="744">
        <f>+E11+E10</f>
        <v>8723514793</v>
      </c>
    </row>
    <row r="13" spans="1:6" ht="26.1" customHeight="1" x14ac:dyDescent="0.25">
      <c r="A13" s="742">
        <v>4</v>
      </c>
      <c r="B13" s="743" t="s">
        <v>507</v>
      </c>
      <c r="C13" s="744">
        <v>2282916000</v>
      </c>
      <c r="D13" s="744">
        <v>2338353000</v>
      </c>
      <c r="E13" s="744">
        <v>2457989000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937</v>
      </c>
      <c r="C16" s="744">
        <v>2236673000</v>
      </c>
      <c r="D16" s="744">
        <v>2267358000</v>
      </c>
      <c r="E16" s="744">
        <v>2413364000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938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462219</v>
      </c>
      <c r="D19" s="747">
        <v>426515</v>
      </c>
      <c r="E19" s="747">
        <v>428640</v>
      </c>
    </row>
    <row r="20" spans="1:5" ht="26.1" customHeight="1" x14ac:dyDescent="0.25">
      <c r="A20" s="742">
        <v>2</v>
      </c>
      <c r="B20" s="743" t="s">
        <v>381</v>
      </c>
      <c r="C20" s="748">
        <v>80503</v>
      </c>
      <c r="D20" s="748">
        <v>78529</v>
      </c>
      <c r="E20" s="748">
        <v>78452</v>
      </c>
    </row>
    <row r="21" spans="1:5" ht="26.1" customHeight="1" x14ac:dyDescent="0.25">
      <c r="A21" s="742">
        <v>3</v>
      </c>
      <c r="B21" s="743" t="s">
        <v>939</v>
      </c>
      <c r="C21" s="749">
        <f>IF(C20=0,0,+C19/C20)</f>
        <v>5.7416369576289084</v>
      </c>
      <c r="D21" s="749">
        <f>IF(D20=0,0,+D19/D20)</f>
        <v>5.4313056323141771</v>
      </c>
      <c r="E21" s="749">
        <f>IF(E20=0,0,+E19/E20)</f>
        <v>5.4637230408402591</v>
      </c>
    </row>
    <row r="22" spans="1:5" ht="26.1" customHeight="1" x14ac:dyDescent="0.25">
      <c r="A22" s="742">
        <v>4</v>
      </c>
      <c r="B22" s="743" t="s">
        <v>940</v>
      </c>
      <c r="C22" s="748">
        <f>IF(C10=0,0,C19*(C12/C10))</f>
        <v>820986.57463925856</v>
      </c>
      <c r="D22" s="748">
        <f>IF(D10=0,0,D19*(D12/D10))</f>
        <v>785217.36628242768</v>
      </c>
      <c r="E22" s="748">
        <f>IF(E10=0,0,E19*(E12/E10))</f>
        <v>807964.21271747863</v>
      </c>
    </row>
    <row r="23" spans="1:5" ht="26.1" customHeight="1" x14ac:dyDescent="0.25">
      <c r="A23" s="742">
        <v>0</v>
      </c>
      <c r="B23" s="743" t="s">
        <v>941</v>
      </c>
      <c r="C23" s="748">
        <f>IF(C10=0,0,C20*(C12/C10))</f>
        <v>142988.24197660468</v>
      </c>
      <c r="D23" s="748">
        <f>IF(D10=0,0,D20*(D12/D10))</f>
        <v>144572.48761894135</v>
      </c>
      <c r="E23" s="748">
        <f>IF(E10=0,0,E20*(E12/E10))</f>
        <v>147877.95916412756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942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1.4497418524775474</v>
      </c>
      <c r="D26" s="750">
        <v>1.5057475015599333</v>
      </c>
      <c r="E26" s="750">
        <v>1.5341833222862387</v>
      </c>
    </row>
    <row r="27" spans="1:5" ht="26.1" customHeight="1" x14ac:dyDescent="0.25">
      <c r="A27" s="742">
        <v>2</v>
      </c>
      <c r="B27" s="743" t="s">
        <v>943</v>
      </c>
      <c r="C27" s="748">
        <f>C19*C26</f>
        <v>670098.22931031953</v>
      </c>
      <c r="D27" s="748">
        <f>D19*D26</f>
        <v>642223.89562783495</v>
      </c>
      <c r="E27" s="748">
        <f>E19*E26</f>
        <v>657612.3392647733</v>
      </c>
    </row>
    <row r="28" spans="1:5" ht="26.1" customHeight="1" x14ac:dyDescent="0.25">
      <c r="A28" s="742">
        <v>3</v>
      </c>
      <c r="B28" s="743" t="s">
        <v>944</v>
      </c>
      <c r="C28" s="748">
        <f>C20*C26</f>
        <v>116708.56835</v>
      </c>
      <c r="D28" s="748">
        <f>D20*D26</f>
        <v>118244.84555</v>
      </c>
      <c r="E28" s="748">
        <f>E20*E26</f>
        <v>120359.75</v>
      </c>
    </row>
    <row r="29" spans="1:5" ht="26.1" customHeight="1" x14ac:dyDescent="0.25">
      <c r="A29" s="742">
        <v>4</v>
      </c>
      <c r="B29" s="743" t="s">
        <v>945</v>
      </c>
      <c r="C29" s="748">
        <f>C22*C26</f>
        <v>1190218.5975767148</v>
      </c>
      <c r="D29" s="748">
        <f>D22*D26</f>
        <v>1182339.0874612364</v>
      </c>
      <c r="E29" s="748">
        <f>E22*E26</f>
        <v>1239565.2201552866</v>
      </c>
    </row>
    <row r="30" spans="1:5" ht="26.1" customHeight="1" x14ac:dyDescent="0.25">
      <c r="A30" s="742">
        <v>5</v>
      </c>
      <c r="B30" s="743" t="s">
        <v>946</v>
      </c>
      <c r="C30" s="748">
        <f>C23*C26</f>
        <v>207296.03880567066</v>
      </c>
      <c r="D30" s="748">
        <f>D23*D26</f>
        <v>217689.66202652533</v>
      </c>
      <c r="E30" s="748">
        <f>E23*E26</f>
        <v>226871.89868332996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947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948</v>
      </c>
      <c r="C33" s="744">
        <f>IF(C19=0,0,C12/C19)</f>
        <v>17833.652167046355</v>
      </c>
      <c r="D33" s="744">
        <f>IF(D19=0,0,D12/D19)</f>
        <v>19659.281776725322</v>
      </c>
      <c r="E33" s="744">
        <f>IF(E19=0,0,E12/E19)</f>
        <v>20351.611592478537</v>
      </c>
    </row>
    <row r="34" spans="1:5" ht="26.1" customHeight="1" x14ac:dyDescent="0.25">
      <c r="A34" s="742">
        <v>2</v>
      </c>
      <c r="B34" s="743" t="s">
        <v>949</v>
      </c>
      <c r="C34" s="744">
        <f>IF(C20=0,0,C12/C20)</f>
        <v>102394.35637181223</v>
      </c>
      <c r="D34" s="744">
        <f>IF(D20=0,0,D12/D20)</f>
        <v>106775.5678411797</v>
      </c>
      <c r="E34" s="744">
        <f>IF(E20=0,0,E12/E20)</f>
        <v>111195.5691760567</v>
      </c>
    </row>
    <row r="35" spans="1:5" ht="26.1" customHeight="1" x14ac:dyDescent="0.25">
      <c r="A35" s="742">
        <v>3</v>
      </c>
      <c r="B35" s="743" t="s">
        <v>950</v>
      </c>
      <c r="C35" s="744">
        <f>IF(C22=0,0,C12/C22)</f>
        <v>10040.423468096293</v>
      </c>
      <c r="D35" s="744">
        <f>IF(D22=0,0,D12/D22)</f>
        <v>10678.544473230721</v>
      </c>
      <c r="E35" s="744">
        <f>IF(E22=0,0,E12/E22)</f>
        <v>10796.907407148188</v>
      </c>
    </row>
    <row r="36" spans="1:5" ht="26.1" customHeight="1" x14ac:dyDescent="0.25">
      <c r="A36" s="742">
        <v>4</v>
      </c>
      <c r="B36" s="743" t="s">
        <v>951</v>
      </c>
      <c r="C36" s="744">
        <f>IF(C23=0,0,C12/C23)</f>
        <v>57648.466454666283</v>
      </c>
      <c r="D36" s="744">
        <f>IF(D23=0,0,D12/D23)</f>
        <v>57998.438742375431</v>
      </c>
      <c r="E36" s="744">
        <f>IF(E23=0,0,E12/E23)</f>
        <v>58991.311770254419</v>
      </c>
    </row>
    <row r="37" spans="1:5" ht="26.1" customHeight="1" x14ac:dyDescent="0.25">
      <c r="A37" s="742">
        <v>5</v>
      </c>
      <c r="B37" s="743" t="s">
        <v>952</v>
      </c>
      <c r="C37" s="744">
        <f>IF(C29=0,0,C12/C29)</f>
        <v>6925.6629729890428</v>
      </c>
      <c r="D37" s="744">
        <f>IF(D29=0,0,D12/D29)</f>
        <v>7091.8560131548602</v>
      </c>
      <c r="E37" s="744">
        <f>IF(E29=0,0,E12/E29)</f>
        <v>7037.5601470224865</v>
      </c>
    </row>
    <row r="38" spans="1:5" ht="26.1" customHeight="1" x14ac:dyDescent="0.25">
      <c r="A38" s="742">
        <v>6</v>
      </c>
      <c r="B38" s="743" t="s">
        <v>953</v>
      </c>
      <c r="C38" s="744">
        <f>IF(C30=0,0,C12/C30)</f>
        <v>39764.642481795985</v>
      </c>
      <c r="D38" s="744">
        <f>IF(D30=0,0,D12/D30)</f>
        <v>38518.037507809153</v>
      </c>
      <c r="E38" s="744">
        <f>IF(E30=0,0,E12/E30)</f>
        <v>38451.279526585917</v>
      </c>
    </row>
    <row r="39" spans="1:5" ht="26.1" customHeight="1" x14ac:dyDescent="0.25">
      <c r="A39" s="742">
        <v>7</v>
      </c>
      <c r="B39" s="743" t="s">
        <v>954</v>
      </c>
      <c r="C39" s="744">
        <f>IF(C22=0,0,C10/C22)</f>
        <v>5652.8019316749487</v>
      </c>
      <c r="D39" s="744">
        <f>IF(D22=0,0,D10/D22)</f>
        <v>5800.3803680034907</v>
      </c>
      <c r="E39" s="744">
        <f>IF(E22=0,0,E10/E22)</f>
        <v>5727.9596276107231</v>
      </c>
    </row>
    <row r="40" spans="1:5" ht="26.1" customHeight="1" x14ac:dyDescent="0.25">
      <c r="A40" s="742">
        <v>8</v>
      </c>
      <c r="B40" s="743" t="s">
        <v>955</v>
      </c>
      <c r="C40" s="744">
        <f>IF(C23=0,0,C10/C23)</f>
        <v>32456.336485060961</v>
      </c>
      <c r="D40" s="744">
        <f>IF(D23=0,0,D10/D23)</f>
        <v>31503.638562301938</v>
      </c>
      <c r="E40" s="744">
        <f>IF(E23=0,0,E10/E23)</f>
        <v>31295.984994379494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956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957</v>
      </c>
      <c r="C43" s="744">
        <f>IF(C19=0,0,C13/C19)</f>
        <v>4939.0353923140328</v>
      </c>
      <c r="D43" s="744">
        <f>IF(D19=0,0,D13/D19)</f>
        <v>5482.463688264188</v>
      </c>
      <c r="E43" s="744">
        <f>IF(E19=0,0,E13/E19)</f>
        <v>5734.390164240388</v>
      </c>
    </row>
    <row r="44" spans="1:5" ht="26.1" customHeight="1" x14ac:dyDescent="0.25">
      <c r="A44" s="742">
        <v>2</v>
      </c>
      <c r="B44" s="743" t="s">
        <v>958</v>
      </c>
      <c r="C44" s="744">
        <f>IF(C20=0,0,C13/C20)</f>
        <v>28358.148143547445</v>
      </c>
      <c r="D44" s="744">
        <f>IF(D20=0,0,D13/D20)</f>
        <v>29776.935909027237</v>
      </c>
      <c r="E44" s="744">
        <f>IF(E20=0,0,E13/E20)</f>
        <v>31331.119665527967</v>
      </c>
    </row>
    <row r="45" spans="1:5" ht="26.1" customHeight="1" x14ac:dyDescent="0.25">
      <c r="A45" s="742">
        <v>3</v>
      </c>
      <c r="B45" s="743" t="s">
        <v>959</v>
      </c>
      <c r="C45" s="744">
        <f>IF(C22=0,0,C13/C22)</f>
        <v>2780.6983335910372</v>
      </c>
      <c r="D45" s="744">
        <f>IF(D22=0,0,D13/D22)</f>
        <v>2977.9690317737309</v>
      </c>
      <c r="E45" s="744">
        <f>IF(E22=0,0,E13/E22)</f>
        <v>3042.2003367363086</v>
      </c>
    </row>
    <row r="46" spans="1:5" ht="26.1" customHeight="1" x14ac:dyDescent="0.25">
      <c r="A46" s="742">
        <v>4</v>
      </c>
      <c r="B46" s="743" t="s">
        <v>960</v>
      </c>
      <c r="C46" s="744">
        <f>IF(C23=0,0,C13/C23)</f>
        <v>15965.760320163416</v>
      </c>
      <c r="D46" s="744">
        <f>IF(D23=0,0,D13/D23)</f>
        <v>16174.259975129859</v>
      </c>
      <c r="E46" s="744">
        <f>IF(E23=0,0,E13/E23)</f>
        <v>16621.740074678164</v>
      </c>
    </row>
    <row r="47" spans="1:5" ht="26.1" customHeight="1" x14ac:dyDescent="0.25">
      <c r="A47" s="742">
        <v>5</v>
      </c>
      <c r="B47" s="743" t="s">
        <v>961</v>
      </c>
      <c r="C47" s="744">
        <f>IF(C29=0,0,C13/C29)</f>
        <v>1918.0644670214506</v>
      </c>
      <c r="D47" s="744">
        <f>IF(D29=0,0,D13/D29)</f>
        <v>1977.7346657979488</v>
      </c>
      <c r="E47" s="744">
        <f>IF(E29=0,0,E13/E29)</f>
        <v>1982.9444712010195</v>
      </c>
    </row>
    <row r="48" spans="1:5" ht="26.1" customHeight="1" x14ac:dyDescent="0.25">
      <c r="A48" s="742">
        <v>6</v>
      </c>
      <c r="B48" s="743" t="s">
        <v>962</v>
      </c>
      <c r="C48" s="744">
        <f>IF(C30=0,0,C13/C30)</f>
        <v>11012.829830965155</v>
      </c>
      <c r="D48" s="744">
        <f>IF(D30=0,0,D13/D30)</f>
        <v>10741.681429571394</v>
      </c>
      <c r="E48" s="744">
        <f>IF(E30=0,0,E13/E30)</f>
        <v>10834.259396007812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963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964</v>
      </c>
      <c r="C51" s="744">
        <f>IF(C19=0,0,C16/C19)</f>
        <v>4838.989742957343</v>
      </c>
      <c r="D51" s="744">
        <f>IF(D19=0,0,D16/D19)</f>
        <v>5316.0099879253958</v>
      </c>
      <c r="E51" s="744">
        <f>IF(E19=0,0,E16/E19)</f>
        <v>5630.281821575215</v>
      </c>
    </row>
    <row r="52" spans="1:6" ht="26.1" customHeight="1" x14ac:dyDescent="0.25">
      <c r="A52" s="742">
        <v>2</v>
      </c>
      <c r="B52" s="743" t="s">
        <v>965</v>
      </c>
      <c r="C52" s="744">
        <f>IF(C20=0,0,C16/C20)</f>
        <v>27783.722345751092</v>
      </c>
      <c r="D52" s="744">
        <f>IF(D20=0,0,D16/D20)</f>
        <v>28872.87498885762</v>
      </c>
      <c r="E52" s="744">
        <f>IF(E20=0,0,E16/E20)</f>
        <v>30762.300514964565</v>
      </c>
    </row>
    <row r="53" spans="1:6" ht="26.1" customHeight="1" x14ac:dyDescent="0.25">
      <c r="A53" s="742">
        <v>3</v>
      </c>
      <c r="B53" s="743" t="s">
        <v>966</v>
      </c>
      <c r="C53" s="744">
        <f>IF(C22=0,0,C16/C22)</f>
        <v>2724.3721993661029</v>
      </c>
      <c r="D53" s="744">
        <f>IF(D22=0,0,D16/D22)</f>
        <v>2887.5545770653202</v>
      </c>
      <c r="E53" s="744">
        <f>IF(E22=0,0,E16/E22)</f>
        <v>2986.9689300754744</v>
      </c>
    </row>
    <row r="54" spans="1:6" ht="26.1" customHeight="1" x14ac:dyDescent="0.25">
      <c r="A54" s="742">
        <v>4</v>
      </c>
      <c r="B54" s="743" t="s">
        <v>967</v>
      </c>
      <c r="C54" s="744">
        <f>IF(C23=0,0,C16/C23)</f>
        <v>15642.356106217167</v>
      </c>
      <c r="D54" s="744">
        <f>IF(D23=0,0,D16/D23)</f>
        <v>15683.191438029453</v>
      </c>
      <c r="E54" s="744">
        <f>IF(E23=0,0,E16/E23)</f>
        <v>16319.970965527344</v>
      </c>
    </row>
    <row r="55" spans="1:6" ht="26.1" customHeight="1" x14ac:dyDescent="0.25">
      <c r="A55" s="742">
        <v>5</v>
      </c>
      <c r="B55" s="743" t="s">
        <v>968</v>
      </c>
      <c r="C55" s="744">
        <f>IF(C29=0,0,C16/C29)</f>
        <v>1879.2119401880179</v>
      </c>
      <c r="D55" s="744">
        <f>IF(D29=0,0,D16/D29)</f>
        <v>1917.6884398439011</v>
      </c>
      <c r="E55" s="744">
        <f>IF(E29=0,0,E16/E29)</f>
        <v>1946.9439451501114</v>
      </c>
    </row>
    <row r="56" spans="1:6" ht="26.1" customHeight="1" x14ac:dyDescent="0.25">
      <c r="A56" s="742">
        <v>6</v>
      </c>
      <c r="B56" s="743" t="s">
        <v>969</v>
      </c>
      <c r="C56" s="744">
        <f>IF(C30=0,0,C16/C30)</f>
        <v>10789.752727001047</v>
      </c>
      <c r="D56" s="744">
        <f>IF(D30=0,0,D16/D30)</f>
        <v>10415.552024347964</v>
      </c>
      <c r="E56" s="744">
        <f>IF(E30=0,0,E16/E30)</f>
        <v>10637.562492341096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970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971</v>
      </c>
      <c r="C59" s="752">
        <v>332073000</v>
      </c>
      <c r="D59" s="752">
        <v>328622000</v>
      </c>
      <c r="E59" s="752">
        <v>342098000</v>
      </c>
    </row>
    <row r="60" spans="1:6" ht="26.1" customHeight="1" x14ac:dyDescent="0.25">
      <c r="A60" s="742">
        <v>2</v>
      </c>
      <c r="B60" s="743" t="s">
        <v>972</v>
      </c>
      <c r="C60" s="752">
        <v>98908000</v>
      </c>
      <c r="D60" s="752">
        <v>91823000</v>
      </c>
      <c r="E60" s="752">
        <v>98661000</v>
      </c>
    </row>
    <row r="61" spans="1:6" ht="26.1" customHeight="1" x14ac:dyDescent="0.25">
      <c r="A61" s="753">
        <v>3</v>
      </c>
      <c r="B61" s="754" t="s">
        <v>973</v>
      </c>
      <c r="C61" s="755">
        <f>C59+C60</f>
        <v>430981000</v>
      </c>
      <c r="D61" s="755">
        <f>D59+D60</f>
        <v>420445000</v>
      </c>
      <c r="E61" s="755">
        <f>E59+E60</f>
        <v>440759000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974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975</v>
      </c>
      <c r="C64" s="744">
        <v>0</v>
      </c>
      <c r="D64" s="744">
        <v>0</v>
      </c>
      <c r="E64" s="752">
        <v>0</v>
      </c>
      <c r="F64" s="756"/>
    </row>
    <row r="65" spans="1:6" ht="26.1" customHeight="1" x14ac:dyDescent="0.25">
      <c r="A65" s="742">
        <v>2</v>
      </c>
      <c r="B65" s="743" t="s">
        <v>976</v>
      </c>
      <c r="C65" s="752">
        <v>0</v>
      </c>
      <c r="D65" s="752">
        <v>0</v>
      </c>
      <c r="E65" s="752">
        <v>0</v>
      </c>
      <c r="F65" s="756"/>
    </row>
    <row r="66" spans="1:6" ht="26.1" customHeight="1" x14ac:dyDescent="0.25">
      <c r="A66" s="753">
        <v>3</v>
      </c>
      <c r="B66" s="754" t="s">
        <v>977</v>
      </c>
      <c r="C66" s="757">
        <f>C64+C65</f>
        <v>0</v>
      </c>
      <c r="D66" s="757">
        <f>D64+D65</f>
        <v>0</v>
      </c>
      <c r="E66" s="757">
        <f>E64+E65</f>
        <v>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978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979</v>
      </c>
      <c r="C69" s="752">
        <v>458209000</v>
      </c>
      <c r="D69" s="752">
        <v>480062000</v>
      </c>
      <c r="E69" s="752">
        <v>475792000</v>
      </c>
    </row>
    <row r="70" spans="1:6" ht="26.1" customHeight="1" x14ac:dyDescent="0.25">
      <c r="A70" s="742">
        <v>2</v>
      </c>
      <c r="B70" s="743" t="s">
        <v>980</v>
      </c>
      <c r="C70" s="752">
        <v>136462000</v>
      </c>
      <c r="D70" s="752">
        <v>134138000</v>
      </c>
      <c r="E70" s="752">
        <v>137189000</v>
      </c>
    </row>
    <row r="71" spans="1:6" ht="26.1" customHeight="1" x14ac:dyDescent="0.25">
      <c r="A71" s="753">
        <v>3</v>
      </c>
      <c r="B71" s="754" t="s">
        <v>981</v>
      </c>
      <c r="C71" s="755">
        <f>C69+C70</f>
        <v>594671000</v>
      </c>
      <c r="D71" s="755">
        <f>D69+D70</f>
        <v>614200000</v>
      </c>
      <c r="E71" s="755">
        <f>E69+E70</f>
        <v>612981000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982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983</v>
      </c>
      <c r="C75" s="744">
        <f t="shared" ref="C75:E76" si="0">+C59+C64+C69</f>
        <v>790282000</v>
      </c>
      <c r="D75" s="744">
        <f t="shared" si="0"/>
        <v>808684000</v>
      </c>
      <c r="E75" s="744">
        <f t="shared" si="0"/>
        <v>817890000</v>
      </c>
    </row>
    <row r="76" spans="1:6" ht="26.1" customHeight="1" x14ac:dyDescent="0.25">
      <c r="A76" s="742">
        <v>2</v>
      </c>
      <c r="B76" s="743" t="s">
        <v>984</v>
      </c>
      <c r="C76" s="744">
        <f t="shared" si="0"/>
        <v>235370000</v>
      </c>
      <c r="D76" s="744">
        <f t="shared" si="0"/>
        <v>225961000</v>
      </c>
      <c r="E76" s="744">
        <f t="shared" si="0"/>
        <v>235850000</v>
      </c>
    </row>
    <row r="77" spans="1:6" ht="26.1" customHeight="1" x14ac:dyDescent="0.25">
      <c r="A77" s="753">
        <v>3</v>
      </c>
      <c r="B77" s="754" t="s">
        <v>982</v>
      </c>
      <c r="C77" s="757">
        <f>C75+C76</f>
        <v>1025652000</v>
      </c>
      <c r="D77" s="757">
        <f>D75+D76</f>
        <v>1034645000</v>
      </c>
      <c r="E77" s="757">
        <f>E75+E76</f>
        <v>1053740000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985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4083</v>
      </c>
      <c r="D80" s="749">
        <v>4684.2</v>
      </c>
      <c r="E80" s="749">
        <v>4892</v>
      </c>
    </row>
    <row r="81" spans="1:5" ht="26.1" customHeight="1" x14ac:dyDescent="0.25">
      <c r="A81" s="742">
        <v>2</v>
      </c>
      <c r="B81" s="743" t="s">
        <v>617</v>
      </c>
      <c r="C81" s="749">
        <v>0</v>
      </c>
      <c r="D81" s="749">
        <v>0</v>
      </c>
      <c r="E81" s="749">
        <v>0</v>
      </c>
    </row>
    <row r="82" spans="1:5" ht="26.1" customHeight="1" x14ac:dyDescent="0.25">
      <c r="A82" s="742">
        <v>3</v>
      </c>
      <c r="B82" s="743" t="s">
        <v>986</v>
      </c>
      <c r="C82" s="749">
        <v>6988.7</v>
      </c>
      <c r="D82" s="749">
        <v>6194.4</v>
      </c>
      <c r="E82" s="749">
        <v>5801.5</v>
      </c>
    </row>
    <row r="83" spans="1:5" ht="26.1" customHeight="1" x14ac:dyDescent="0.25">
      <c r="A83" s="753">
        <v>4</v>
      </c>
      <c r="B83" s="754" t="s">
        <v>985</v>
      </c>
      <c r="C83" s="759">
        <f>C80+C81+C82</f>
        <v>11071.7</v>
      </c>
      <c r="D83" s="759">
        <f>D80+D81+D82</f>
        <v>10878.599999999999</v>
      </c>
      <c r="E83" s="759">
        <f>E80+E81+E82</f>
        <v>10693.5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987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988</v>
      </c>
      <c r="C86" s="752">
        <f>IF(C80=0,0,C59/C80)</f>
        <v>81330.639235855982</v>
      </c>
      <c r="D86" s="752">
        <f>IF(D80=0,0,D59/D80)</f>
        <v>70155.416079586692</v>
      </c>
      <c r="E86" s="752">
        <f>IF(E80=0,0,E59/E80)</f>
        <v>69930.08994276369</v>
      </c>
    </row>
    <row r="87" spans="1:5" ht="26.1" customHeight="1" x14ac:dyDescent="0.25">
      <c r="A87" s="742">
        <v>2</v>
      </c>
      <c r="B87" s="743" t="s">
        <v>989</v>
      </c>
      <c r="C87" s="752">
        <f>IF(C80=0,0,C60/C80)</f>
        <v>24224.344844477098</v>
      </c>
      <c r="D87" s="752">
        <f>IF(D80=0,0,D60/D80)</f>
        <v>19602.706972375221</v>
      </c>
      <c r="E87" s="752">
        <f>IF(E80=0,0,E60/E80)</f>
        <v>20167.825020441538</v>
      </c>
    </row>
    <row r="88" spans="1:5" ht="26.1" customHeight="1" x14ac:dyDescent="0.25">
      <c r="A88" s="753">
        <v>3</v>
      </c>
      <c r="B88" s="754" t="s">
        <v>990</v>
      </c>
      <c r="C88" s="755">
        <f>+C86+C87</f>
        <v>105554.98408033309</v>
      </c>
      <c r="D88" s="755">
        <f>+D86+D87</f>
        <v>89758.123051961913</v>
      </c>
      <c r="E88" s="755">
        <f>+E86+E87</f>
        <v>90097.914963205229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991</v>
      </c>
    </row>
    <row r="91" spans="1:5" ht="26.1" customHeight="1" x14ac:dyDescent="0.25">
      <c r="A91" s="742">
        <v>1</v>
      </c>
      <c r="B91" s="743" t="s">
        <v>992</v>
      </c>
      <c r="C91" s="744">
        <f>IF(C81=0,0,C64/C81)</f>
        <v>0</v>
      </c>
      <c r="D91" s="744">
        <f>IF(D81=0,0,D64/D81)</f>
        <v>0</v>
      </c>
      <c r="E91" s="744">
        <f>IF(E81=0,0,E64/E81)</f>
        <v>0</v>
      </c>
    </row>
    <row r="92" spans="1:5" ht="26.1" customHeight="1" x14ac:dyDescent="0.25">
      <c r="A92" s="742">
        <v>2</v>
      </c>
      <c r="B92" s="743" t="s">
        <v>993</v>
      </c>
      <c r="C92" s="744">
        <f>IF(C81=0,0,C65/C81)</f>
        <v>0</v>
      </c>
      <c r="D92" s="744">
        <f>IF(D81=0,0,D65/D81)</f>
        <v>0</v>
      </c>
      <c r="E92" s="744">
        <f>IF(E81=0,0,E65/E81)</f>
        <v>0</v>
      </c>
    </row>
    <row r="93" spans="1:5" ht="26.1" customHeight="1" x14ac:dyDescent="0.25">
      <c r="A93" s="753">
        <v>3</v>
      </c>
      <c r="B93" s="754" t="s">
        <v>994</v>
      </c>
      <c r="C93" s="757">
        <f>+C91+C92</f>
        <v>0</v>
      </c>
      <c r="D93" s="757">
        <f>+D91+D92</f>
        <v>0</v>
      </c>
      <c r="E93" s="757">
        <f>+E91+E92</f>
        <v>0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995</v>
      </c>
      <c r="B95" s="745" t="s">
        <v>996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997</v>
      </c>
      <c r="C96" s="752">
        <f>IF(C82=0,0,C69/C82)</f>
        <v>65564.268032681328</v>
      </c>
      <c r="D96" s="752">
        <f>IF(D82=0,0,D69/D82)</f>
        <v>77499.35425545655</v>
      </c>
      <c r="E96" s="752">
        <f>IF(E82=0,0,E69/E82)</f>
        <v>82011.893475825214</v>
      </c>
    </row>
    <row r="97" spans="1:5" ht="26.1" customHeight="1" x14ac:dyDescent="0.25">
      <c r="A97" s="742">
        <v>2</v>
      </c>
      <c r="B97" s="743" t="s">
        <v>998</v>
      </c>
      <c r="C97" s="752">
        <f>IF(C82=0,0,C70/C82)</f>
        <v>19526.092120136793</v>
      </c>
      <c r="D97" s="752">
        <f>IF(D82=0,0,D70/D82)</f>
        <v>21654.720392612682</v>
      </c>
      <c r="E97" s="752">
        <f>IF(E82=0,0,E70/E82)</f>
        <v>23647.16021718521</v>
      </c>
    </row>
    <row r="98" spans="1:5" ht="26.1" customHeight="1" x14ac:dyDescent="0.25">
      <c r="A98" s="753">
        <v>3</v>
      </c>
      <c r="B98" s="754" t="s">
        <v>999</v>
      </c>
      <c r="C98" s="757">
        <f>+C96+C97</f>
        <v>85090.360152818117</v>
      </c>
      <c r="D98" s="757">
        <f>+D96+D97</f>
        <v>99154.074648069232</v>
      </c>
      <c r="E98" s="757">
        <f>+E96+E97</f>
        <v>105659.05369301043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1000</v>
      </c>
      <c r="B100" s="745" t="s">
        <v>1001</v>
      </c>
    </row>
    <row r="101" spans="1:5" ht="26.1" customHeight="1" x14ac:dyDescent="0.25">
      <c r="A101" s="742">
        <v>1</v>
      </c>
      <c r="B101" s="743" t="s">
        <v>1002</v>
      </c>
      <c r="C101" s="744">
        <f>IF(C83=0,0,C75/C83)</f>
        <v>71378.559751438341</v>
      </c>
      <c r="D101" s="744">
        <f>IF(D83=0,0,D75/D83)</f>
        <v>74337.138970088068</v>
      </c>
      <c r="E101" s="744">
        <f>IF(E83=0,0,E75/E83)</f>
        <v>76484.780474119791</v>
      </c>
    </row>
    <row r="102" spans="1:5" ht="26.1" customHeight="1" x14ac:dyDescent="0.25">
      <c r="A102" s="742">
        <v>2</v>
      </c>
      <c r="B102" s="743" t="s">
        <v>1003</v>
      </c>
      <c r="C102" s="761">
        <f>IF(C83=0,0,C76/C83)</f>
        <v>21258.70462530596</v>
      </c>
      <c r="D102" s="761">
        <f>IF(D83=0,0,D76/D83)</f>
        <v>20771.147022594821</v>
      </c>
      <c r="E102" s="761">
        <f>IF(E83=0,0,E76/E83)</f>
        <v>22055.454247907608</v>
      </c>
    </row>
    <row r="103" spans="1:5" ht="26.1" customHeight="1" x14ac:dyDescent="0.25">
      <c r="A103" s="753">
        <v>3</v>
      </c>
      <c r="B103" s="754" t="s">
        <v>1001</v>
      </c>
      <c r="C103" s="757">
        <f>+C101+C102</f>
        <v>92637.264376744308</v>
      </c>
      <c r="D103" s="757">
        <f>+D101+D102</f>
        <v>95108.285992682882</v>
      </c>
      <c r="E103" s="757">
        <f>+E101+E102</f>
        <v>98540.234722027395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1004</v>
      </c>
      <c r="B107" s="736" t="s">
        <v>1005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1006</v>
      </c>
      <c r="C108" s="744">
        <f>IF(C19=0,0,C77/C19)</f>
        <v>2218.9741226561437</v>
      </c>
      <c r="D108" s="744">
        <f>IF(D19=0,0,D77/D19)</f>
        <v>2425.8115189383725</v>
      </c>
      <c r="E108" s="744">
        <f>IF(E19=0,0,E77/E19)</f>
        <v>2458.3333333333335</v>
      </c>
    </row>
    <row r="109" spans="1:5" ht="26.1" customHeight="1" x14ac:dyDescent="0.25">
      <c r="A109" s="742">
        <v>2</v>
      </c>
      <c r="B109" s="743" t="s">
        <v>1007</v>
      </c>
      <c r="C109" s="744">
        <f>IF(C20=0,0,C77/C20)</f>
        <v>12740.543830664696</v>
      </c>
      <c r="D109" s="744">
        <f>IF(D20=0,0,D77/D20)</f>
        <v>13175.323765742593</v>
      </c>
      <c r="E109" s="744">
        <f>IF(E20=0,0,E77/E20)</f>
        <v>13431.652475398971</v>
      </c>
    </row>
    <row r="110" spans="1:5" ht="26.1" customHeight="1" x14ac:dyDescent="0.25">
      <c r="A110" s="742">
        <v>3</v>
      </c>
      <c r="B110" s="743" t="s">
        <v>1008</v>
      </c>
      <c r="C110" s="744">
        <f>IF(C22=0,0,C77/C22)</f>
        <v>1249.2920489603273</v>
      </c>
      <c r="D110" s="744">
        <f>IF(D22=0,0,D77/D22)</f>
        <v>1317.6542501835829</v>
      </c>
      <c r="E110" s="744">
        <f>IF(E22=0,0,E77/E22)</f>
        <v>1304.1914275582674</v>
      </c>
    </row>
    <row r="111" spans="1:5" ht="26.1" customHeight="1" x14ac:dyDescent="0.25">
      <c r="A111" s="742">
        <v>4</v>
      </c>
      <c r="B111" s="743" t="s">
        <v>1009</v>
      </c>
      <c r="C111" s="744">
        <f>IF(C23=0,0,C77/C23)</f>
        <v>7172.9813991825577</v>
      </c>
      <c r="D111" s="744">
        <f>IF(D23=0,0,D77/D23)</f>
        <v>7156.5829504648063</v>
      </c>
      <c r="E111" s="744">
        <f>IF(E23=0,0,E77/E23)</f>
        <v>7125.7407524164537</v>
      </c>
    </row>
    <row r="112" spans="1:5" ht="26.1" customHeight="1" x14ac:dyDescent="0.25">
      <c r="A112" s="742">
        <v>5</v>
      </c>
      <c r="B112" s="743" t="s">
        <v>1010</v>
      </c>
      <c r="C112" s="744">
        <f>IF(C29=0,0,C77/C29)</f>
        <v>861.73414034046152</v>
      </c>
      <c r="D112" s="744">
        <f>IF(D29=0,0,D77/D29)</f>
        <v>875.08313898479764</v>
      </c>
      <c r="E112" s="744">
        <f>IF(E29=0,0,E77/E29)</f>
        <v>850.08838814305602</v>
      </c>
    </row>
    <row r="113" spans="1:7" ht="25.5" customHeight="1" x14ac:dyDescent="0.25">
      <c r="A113" s="742">
        <v>6</v>
      </c>
      <c r="B113" s="743" t="s">
        <v>1011</v>
      </c>
      <c r="C113" s="744">
        <f>IF(C30=0,0,C77/C30)</f>
        <v>4947.7645878293688</v>
      </c>
      <c r="D113" s="744">
        <f>IF(D30=0,0,D77/D30)</f>
        <v>4752.8439815113006</v>
      </c>
      <c r="E113" s="744">
        <f>IF(E30=0,0,E77/E30)</f>
        <v>4644.6475130479721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FILING&amp;R&amp;"Arial,Bold"&amp;12YALE-NEW HAVEN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8384979000</v>
      </c>
      <c r="D12" s="76">
        <v>8723514000</v>
      </c>
      <c r="E12" s="76">
        <f t="shared" ref="E12:E21" si="0">D12-C12</f>
        <v>338535000</v>
      </c>
      <c r="F12" s="77">
        <f t="shared" ref="F12:F21" si="1">IF(C12=0,0,E12/C12)</f>
        <v>4.0373983047542514E-2</v>
      </c>
    </row>
    <row r="13" spans="1:8" ht="23.1" customHeight="1" x14ac:dyDescent="0.2">
      <c r="A13" s="74">
        <v>2</v>
      </c>
      <c r="B13" s="75" t="s">
        <v>72</v>
      </c>
      <c r="C13" s="76">
        <v>5797975000</v>
      </c>
      <c r="D13" s="76">
        <v>6009231000</v>
      </c>
      <c r="E13" s="76">
        <f t="shared" si="0"/>
        <v>211256000</v>
      </c>
      <c r="F13" s="77">
        <f t="shared" si="1"/>
        <v>3.6436169524704749E-2</v>
      </c>
    </row>
    <row r="14" spans="1:8" ht="23.1" customHeight="1" x14ac:dyDescent="0.2">
      <c r="A14" s="74">
        <v>3</v>
      </c>
      <c r="B14" s="75" t="s">
        <v>73</v>
      </c>
      <c r="C14" s="76">
        <v>176887000</v>
      </c>
      <c r="D14" s="76">
        <v>206990000</v>
      </c>
      <c r="E14" s="76">
        <f t="shared" si="0"/>
        <v>30103000</v>
      </c>
      <c r="F14" s="77">
        <f t="shared" si="1"/>
        <v>0.17018209365301012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2410117000</v>
      </c>
      <c r="D16" s="79">
        <f>D12-D13-D14-D15</f>
        <v>2507293000</v>
      </c>
      <c r="E16" s="79">
        <f t="shared" si="0"/>
        <v>97176000</v>
      </c>
      <c r="F16" s="80">
        <f t="shared" si="1"/>
        <v>4.032003425559838E-2</v>
      </c>
    </row>
    <row r="17" spans="1:7" ht="23.1" customHeight="1" x14ac:dyDescent="0.2">
      <c r="A17" s="74">
        <v>5</v>
      </c>
      <c r="B17" s="75" t="s">
        <v>76</v>
      </c>
      <c r="C17" s="76">
        <v>71764000</v>
      </c>
      <c r="D17" s="76">
        <v>49304000</v>
      </c>
      <c r="E17" s="76">
        <f t="shared" si="0"/>
        <v>-22460000</v>
      </c>
      <c r="F17" s="77">
        <f t="shared" si="1"/>
        <v>-0.31297029151106404</v>
      </c>
      <c r="G17" s="65"/>
    </row>
    <row r="18" spans="1:7" ht="31.5" customHeight="1" x14ac:dyDescent="0.25">
      <c r="A18" s="71"/>
      <c r="B18" s="81" t="s">
        <v>77</v>
      </c>
      <c r="C18" s="79">
        <f>C16-C17</f>
        <v>2338353000</v>
      </c>
      <c r="D18" s="79">
        <f>D16-D17</f>
        <v>2457989000</v>
      </c>
      <c r="E18" s="79">
        <f t="shared" si="0"/>
        <v>119636000</v>
      </c>
      <c r="F18" s="80">
        <f t="shared" si="1"/>
        <v>5.1162506259747782E-2</v>
      </c>
    </row>
    <row r="19" spans="1:7" ht="23.1" customHeight="1" x14ac:dyDescent="0.2">
      <c r="A19" s="74">
        <v>6</v>
      </c>
      <c r="B19" s="75" t="s">
        <v>78</v>
      </c>
      <c r="C19" s="76">
        <v>54578000</v>
      </c>
      <c r="D19" s="76">
        <v>57562000</v>
      </c>
      <c r="E19" s="76">
        <f t="shared" si="0"/>
        <v>2984000</v>
      </c>
      <c r="F19" s="77">
        <f t="shared" si="1"/>
        <v>5.4674044486789551E-2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8973000</v>
      </c>
      <c r="D20" s="76">
        <v>11325000</v>
      </c>
      <c r="E20" s="76">
        <f t="shared" si="0"/>
        <v>2352000</v>
      </c>
      <c r="F20" s="77">
        <f t="shared" si="1"/>
        <v>0.26211969241056504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2401904000</v>
      </c>
      <c r="D21" s="79">
        <f>SUM(D18:D20)</f>
        <v>2526876000</v>
      </c>
      <c r="E21" s="79">
        <f t="shared" si="0"/>
        <v>124972000</v>
      </c>
      <c r="F21" s="80">
        <f t="shared" si="1"/>
        <v>5.2030389224548522E-2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808684000</v>
      </c>
      <c r="D24" s="76">
        <v>817890000</v>
      </c>
      <c r="E24" s="76">
        <f t="shared" ref="E24:E33" si="2">D24-C24</f>
        <v>9206000</v>
      </c>
      <c r="F24" s="77">
        <f t="shared" ref="F24:F33" si="3">IF(C24=0,0,E24/C24)</f>
        <v>1.1383927467342002E-2</v>
      </c>
    </row>
    <row r="25" spans="1:7" ht="23.1" customHeight="1" x14ac:dyDescent="0.2">
      <c r="A25" s="74">
        <v>2</v>
      </c>
      <c r="B25" s="75" t="s">
        <v>83</v>
      </c>
      <c r="C25" s="76">
        <v>225961000</v>
      </c>
      <c r="D25" s="76">
        <v>235850000</v>
      </c>
      <c r="E25" s="76">
        <f t="shared" si="2"/>
        <v>9889000</v>
      </c>
      <c r="F25" s="77">
        <f t="shared" si="3"/>
        <v>4.3764189395515157E-2</v>
      </c>
    </row>
    <row r="26" spans="1:7" ht="23.1" customHeight="1" x14ac:dyDescent="0.2">
      <c r="A26" s="74">
        <v>3</v>
      </c>
      <c r="B26" s="75" t="s">
        <v>84</v>
      </c>
      <c r="C26" s="76">
        <v>86460000</v>
      </c>
      <c r="D26" s="76">
        <v>89392000</v>
      </c>
      <c r="E26" s="76">
        <f t="shared" si="2"/>
        <v>2932000</v>
      </c>
      <c r="F26" s="77">
        <f t="shared" si="3"/>
        <v>3.3911635438352995E-2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376009000</v>
      </c>
      <c r="D27" s="76">
        <v>457333000</v>
      </c>
      <c r="E27" s="76">
        <f t="shared" si="2"/>
        <v>81324000</v>
      </c>
      <c r="F27" s="77">
        <f t="shared" si="3"/>
        <v>0.21628205707842099</v>
      </c>
    </row>
    <row r="28" spans="1:7" ht="23.1" customHeight="1" x14ac:dyDescent="0.2">
      <c r="A28" s="74">
        <v>5</v>
      </c>
      <c r="B28" s="75" t="s">
        <v>86</v>
      </c>
      <c r="C28" s="76">
        <v>122543000</v>
      </c>
      <c r="D28" s="76">
        <v>119157000</v>
      </c>
      <c r="E28" s="76">
        <f t="shared" si="2"/>
        <v>-3386000</v>
      </c>
      <c r="F28" s="77">
        <f t="shared" si="3"/>
        <v>-2.7631117240478852E-2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23742000</v>
      </c>
      <c r="D30" s="76">
        <v>20696000</v>
      </c>
      <c r="E30" s="76">
        <f t="shared" si="2"/>
        <v>-3046000</v>
      </c>
      <c r="F30" s="77">
        <f t="shared" si="3"/>
        <v>-0.12829584702215482</v>
      </c>
    </row>
    <row r="31" spans="1:7" ht="23.1" customHeight="1" x14ac:dyDescent="0.2">
      <c r="A31" s="74">
        <v>8</v>
      </c>
      <c r="B31" s="75" t="s">
        <v>89</v>
      </c>
      <c r="C31" s="76">
        <v>12248000</v>
      </c>
      <c r="D31" s="76">
        <v>14594000</v>
      </c>
      <c r="E31" s="76">
        <f t="shared" si="2"/>
        <v>2346000</v>
      </c>
      <c r="F31" s="77">
        <f t="shared" si="3"/>
        <v>0.19154147615937295</v>
      </c>
    </row>
    <row r="32" spans="1:7" ht="23.1" customHeight="1" x14ac:dyDescent="0.2">
      <c r="A32" s="74">
        <v>9</v>
      </c>
      <c r="B32" s="75" t="s">
        <v>90</v>
      </c>
      <c r="C32" s="76">
        <v>611711000</v>
      </c>
      <c r="D32" s="76">
        <v>658452000</v>
      </c>
      <c r="E32" s="76">
        <f t="shared" si="2"/>
        <v>46741000</v>
      </c>
      <c r="F32" s="77">
        <f t="shared" si="3"/>
        <v>7.641026563197327E-2</v>
      </c>
    </row>
    <row r="33" spans="1:6" ht="23.1" customHeight="1" x14ac:dyDescent="0.25">
      <c r="A33" s="71"/>
      <c r="B33" s="78" t="s">
        <v>91</v>
      </c>
      <c r="C33" s="79">
        <f>SUM(C24:C32)</f>
        <v>2267358000</v>
      </c>
      <c r="D33" s="79">
        <f>SUM(D24:D32)</f>
        <v>2413364000</v>
      </c>
      <c r="E33" s="79">
        <f t="shared" si="2"/>
        <v>146006000</v>
      </c>
      <c r="F33" s="80">
        <f t="shared" si="3"/>
        <v>6.4394771359441258E-2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134546000</v>
      </c>
      <c r="D35" s="79">
        <f>+D21-D33</f>
        <v>113512000</v>
      </c>
      <c r="E35" s="79">
        <f>D35-C35</f>
        <v>-21034000</v>
      </c>
      <c r="F35" s="80">
        <f>IF(C35=0,0,E35/C35)</f>
        <v>-0.15633315000074324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3195000</v>
      </c>
      <c r="D38" s="76">
        <v>3958000</v>
      </c>
      <c r="E38" s="76">
        <f>D38-C38</f>
        <v>763000</v>
      </c>
      <c r="F38" s="77">
        <f>IF(C38=0,0,E38/C38)</f>
        <v>0.23881064162754304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-16357000</v>
      </c>
      <c r="D40" s="76">
        <v>-28248000</v>
      </c>
      <c r="E40" s="76">
        <f>D40-C40</f>
        <v>-11891000</v>
      </c>
      <c r="F40" s="77">
        <f>IF(C40=0,0,E40/C40)</f>
        <v>0.72696704774714194</v>
      </c>
    </row>
    <row r="41" spans="1:6" ht="23.1" customHeight="1" x14ac:dyDescent="0.25">
      <c r="A41" s="83"/>
      <c r="B41" s="78" t="s">
        <v>97</v>
      </c>
      <c r="C41" s="79">
        <f>SUM(C38:C40)</f>
        <v>-13162000</v>
      </c>
      <c r="D41" s="79">
        <f>SUM(D38:D40)</f>
        <v>-24290000</v>
      </c>
      <c r="E41" s="79">
        <f>D41-C41</f>
        <v>-11128000</v>
      </c>
      <c r="F41" s="80">
        <f>IF(C41=0,0,E41/C41)</f>
        <v>0.84546421516486858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121384000</v>
      </c>
      <c r="D43" s="79">
        <f>D35+D41</f>
        <v>89222000</v>
      </c>
      <c r="E43" s="79">
        <f>D43-C43</f>
        <v>-32162000</v>
      </c>
      <c r="F43" s="80">
        <f>IF(C43=0,0,E43/C43)</f>
        <v>-0.26496078560601066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75949000</v>
      </c>
      <c r="D46" s="76">
        <v>20129000</v>
      </c>
      <c r="E46" s="76">
        <f>D46-C46</f>
        <v>-55820000</v>
      </c>
      <c r="F46" s="77">
        <f>IF(C46=0,0,E46/C46)</f>
        <v>-0.73496688567328072</v>
      </c>
    </row>
    <row r="47" spans="1:6" ht="23.1" customHeight="1" x14ac:dyDescent="0.2">
      <c r="A47" s="85"/>
      <c r="B47" s="75" t="s">
        <v>101</v>
      </c>
      <c r="C47" s="76">
        <v>-32631000</v>
      </c>
      <c r="D47" s="76">
        <v>0</v>
      </c>
      <c r="E47" s="76">
        <f>D47-C47</f>
        <v>32631000</v>
      </c>
      <c r="F47" s="77">
        <f>IF(C47=0,0,E47/C47)</f>
        <v>-1</v>
      </c>
    </row>
    <row r="48" spans="1:6" ht="23.1" customHeight="1" x14ac:dyDescent="0.25">
      <c r="A48" s="83"/>
      <c r="B48" s="78" t="s">
        <v>102</v>
      </c>
      <c r="C48" s="79">
        <f>SUM(C46:C47)</f>
        <v>43318000</v>
      </c>
      <c r="D48" s="79">
        <f>SUM(D46:D47)</f>
        <v>20129000</v>
      </c>
      <c r="E48" s="79">
        <f>D48-C48</f>
        <v>-23189000</v>
      </c>
      <c r="F48" s="80">
        <f>IF(C48=0,0,E48/C48)</f>
        <v>-0.53532019022115518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164702000</v>
      </c>
      <c r="D50" s="79">
        <f>D43+D48</f>
        <v>109351000</v>
      </c>
      <c r="E50" s="79">
        <f>D50-C50</f>
        <v>-55351000</v>
      </c>
      <c r="F50" s="80">
        <f>IF(C50=0,0,E50/C50)</f>
        <v>-0.33606756444973346</v>
      </c>
    </row>
    <row r="51" spans="1:6" ht="23.1" customHeight="1" x14ac:dyDescent="0.2">
      <c r="A51" s="85"/>
      <c r="B51" s="75" t="s">
        <v>104</v>
      </c>
      <c r="C51" s="76">
        <v>484157000</v>
      </c>
      <c r="D51" s="76">
        <v>7626000</v>
      </c>
      <c r="E51" s="76">
        <f>D51-C51</f>
        <v>-476531000</v>
      </c>
      <c r="F51" s="77">
        <f>IF(C51=0,0,E51/C51)</f>
        <v>-0.98424891099374789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0" orientation="portrait" horizontalDpi="1200" verticalDpi="1200" r:id="rId1"/>
  <headerFooter>
    <oddHeader>&amp;LOFFICE OF HEALTH CARE ACCESS&amp;CTWELVE MONTHS ACTUAL FILING&amp;RYALE-NEW HAVEN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1524772902</v>
      </c>
      <c r="D14" s="113">
        <v>1499907162</v>
      </c>
      <c r="E14" s="113">
        <f t="shared" ref="E14:E25" si="0">D14-C14</f>
        <v>-24865740</v>
      </c>
      <c r="F14" s="114">
        <f t="shared" ref="F14:F25" si="1">IF(C14=0,0,E14/C14)</f>
        <v>-1.6307831787530022E-2</v>
      </c>
    </row>
    <row r="15" spans="1:6" x14ac:dyDescent="0.2">
      <c r="A15" s="115">
        <v>2</v>
      </c>
      <c r="B15" s="116" t="s">
        <v>114</v>
      </c>
      <c r="C15" s="113">
        <v>445662284</v>
      </c>
      <c r="D15" s="113">
        <v>464560392</v>
      </c>
      <c r="E15" s="113">
        <f t="shared" si="0"/>
        <v>18898108</v>
      </c>
      <c r="F15" s="114">
        <f t="shared" si="1"/>
        <v>4.2404548642487321E-2</v>
      </c>
    </row>
    <row r="16" spans="1:6" x14ac:dyDescent="0.2">
      <c r="A16" s="115">
        <v>3</v>
      </c>
      <c r="B16" s="116" t="s">
        <v>115</v>
      </c>
      <c r="C16" s="113">
        <v>1096846915</v>
      </c>
      <c r="D16" s="113">
        <v>1148213273</v>
      </c>
      <c r="E16" s="113">
        <f t="shared" si="0"/>
        <v>51366358</v>
      </c>
      <c r="F16" s="114">
        <f t="shared" si="1"/>
        <v>4.6830927176378122E-2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25295301</v>
      </c>
      <c r="D18" s="113">
        <v>20042376</v>
      </c>
      <c r="E18" s="113">
        <f t="shared" si="0"/>
        <v>-5252925</v>
      </c>
      <c r="F18" s="114">
        <f t="shared" si="1"/>
        <v>-0.20766406377216068</v>
      </c>
    </row>
    <row r="19" spans="1:6" x14ac:dyDescent="0.2">
      <c r="A19" s="115">
        <v>6</v>
      </c>
      <c r="B19" s="116" t="s">
        <v>118</v>
      </c>
      <c r="C19" s="113">
        <v>72386489</v>
      </c>
      <c r="D19" s="113">
        <v>72460139</v>
      </c>
      <c r="E19" s="113">
        <f t="shared" si="0"/>
        <v>73650</v>
      </c>
      <c r="F19" s="114">
        <f t="shared" si="1"/>
        <v>1.0174550667873946E-3</v>
      </c>
    </row>
    <row r="20" spans="1:6" x14ac:dyDescent="0.2">
      <c r="A20" s="115">
        <v>7</v>
      </c>
      <c r="B20" s="116" t="s">
        <v>119</v>
      </c>
      <c r="C20" s="113">
        <v>1301902106</v>
      </c>
      <c r="D20" s="113">
        <v>1320566176</v>
      </c>
      <c r="E20" s="113">
        <f t="shared" si="0"/>
        <v>18664070</v>
      </c>
      <c r="F20" s="114">
        <f t="shared" si="1"/>
        <v>1.4336001081789479E-2</v>
      </c>
    </row>
    <row r="21" spans="1:6" x14ac:dyDescent="0.2">
      <c r="A21" s="115">
        <v>8</v>
      </c>
      <c r="B21" s="116" t="s">
        <v>120</v>
      </c>
      <c r="C21" s="113">
        <v>21931934</v>
      </c>
      <c r="D21" s="113">
        <v>21767078</v>
      </c>
      <c r="E21" s="113">
        <f t="shared" si="0"/>
        <v>-164856</v>
      </c>
      <c r="F21" s="114">
        <f t="shared" si="1"/>
        <v>-7.5167105646041068E-3</v>
      </c>
    </row>
    <row r="22" spans="1:6" x14ac:dyDescent="0.2">
      <c r="A22" s="115">
        <v>9</v>
      </c>
      <c r="B22" s="116" t="s">
        <v>121</v>
      </c>
      <c r="C22" s="113">
        <v>65761465</v>
      </c>
      <c r="D22" s="113">
        <v>80469795</v>
      </c>
      <c r="E22" s="113">
        <f t="shared" si="0"/>
        <v>14708330</v>
      </c>
      <c r="F22" s="114">
        <f t="shared" si="1"/>
        <v>0.22366183600076428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4554559396</v>
      </c>
      <c r="D25" s="119">
        <f>SUM(D14:D24)</f>
        <v>4627986391</v>
      </c>
      <c r="E25" s="119">
        <f t="shared" si="0"/>
        <v>73426995</v>
      </c>
      <c r="F25" s="120">
        <f t="shared" si="1"/>
        <v>1.6121646160655319E-2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1147646596</v>
      </c>
      <c r="D27" s="113">
        <v>1235204835</v>
      </c>
      <c r="E27" s="113">
        <f t="shared" ref="E27:E38" si="2">D27-C27</f>
        <v>87558239</v>
      </c>
      <c r="F27" s="114">
        <f t="shared" ref="F27:F38" si="3">IF(C27=0,0,E27/C27)</f>
        <v>7.6293729537625019E-2</v>
      </c>
    </row>
    <row r="28" spans="1:6" x14ac:dyDescent="0.2">
      <c r="A28" s="115">
        <v>2</v>
      </c>
      <c r="B28" s="116" t="s">
        <v>114</v>
      </c>
      <c r="C28" s="113">
        <v>288216101</v>
      </c>
      <c r="D28" s="113">
        <v>331198450</v>
      </c>
      <c r="E28" s="113">
        <f t="shared" si="2"/>
        <v>42982349</v>
      </c>
      <c r="F28" s="114">
        <f t="shared" si="3"/>
        <v>0.14913236578687877</v>
      </c>
    </row>
    <row r="29" spans="1:6" x14ac:dyDescent="0.2">
      <c r="A29" s="115">
        <v>3</v>
      </c>
      <c r="B29" s="116" t="s">
        <v>115</v>
      </c>
      <c r="C29" s="113">
        <v>697483038</v>
      </c>
      <c r="D29" s="113">
        <v>781303401</v>
      </c>
      <c r="E29" s="113">
        <f t="shared" si="2"/>
        <v>83820363</v>
      </c>
      <c r="F29" s="114">
        <f t="shared" si="3"/>
        <v>0.12017548590192383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22072889</v>
      </c>
      <c r="D31" s="113">
        <v>19908475</v>
      </c>
      <c r="E31" s="113">
        <f t="shared" si="2"/>
        <v>-2164414</v>
      </c>
      <c r="F31" s="114">
        <f t="shared" si="3"/>
        <v>-9.8057576423276532E-2</v>
      </c>
    </row>
    <row r="32" spans="1:6" x14ac:dyDescent="0.2">
      <c r="A32" s="115">
        <v>6</v>
      </c>
      <c r="B32" s="116" t="s">
        <v>118</v>
      </c>
      <c r="C32" s="113">
        <v>75808339</v>
      </c>
      <c r="D32" s="113">
        <v>61400968</v>
      </c>
      <c r="E32" s="113">
        <f t="shared" si="2"/>
        <v>-14407371</v>
      </c>
      <c r="F32" s="114">
        <f t="shared" si="3"/>
        <v>-0.19004994951808665</v>
      </c>
    </row>
    <row r="33" spans="1:6" x14ac:dyDescent="0.2">
      <c r="A33" s="115">
        <v>7</v>
      </c>
      <c r="B33" s="116" t="s">
        <v>119</v>
      </c>
      <c r="C33" s="113">
        <v>1484681453</v>
      </c>
      <c r="D33" s="113">
        <v>1552606620</v>
      </c>
      <c r="E33" s="113">
        <f t="shared" si="2"/>
        <v>67925167</v>
      </c>
      <c r="F33" s="114">
        <f t="shared" si="3"/>
        <v>4.5750667163483451E-2</v>
      </c>
    </row>
    <row r="34" spans="1:6" x14ac:dyDescent="0.2">
      <c r="A34" s="115">
        <v>8</v>
      </c>
      <c r="B34" s="116" t="s">
        <v>120</v>
      </c>
      <c r="C34" s="113">
        <v>19648951</v>
      </c>
      <c r="D34" s="113">
        <v>16950801</v>
      </c>
      <c r="E34" s="113">
        <f t="shared" si="2"/>
        <v>-2698150</v>
      </c>
      <c r="F34" s="114">
        <f t="shared" si="3"/>
        <v>-0.13731776317219174</v>
      </c>
    </row>
    <row r="35" spans="1:6" x14ac:dyDescent="0.2">
      <c r="A35" s="115">
        <v>9</v>
      </c>
      <c r="B35" s="116" t="s">
        <v>121</v>
      </c>
      <c r="C35" s="113">
        <v>94861804</v>
      </c>
      <c r="D35" s="113">
        <v>96954852</v>
      </c>
      <c r="E35" s="113">
        <f t="shared" si="2"/>
        <v>2093048</v>
      </c>
      <c r="F35" s="114">
        <f t="shared" si="3"/>
        <v>2.2064180858293609E-2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3830419171</v>
      </c>
      <c r="D38" s="119">
        <f>SUM(D27:D37)</f>
        <v>4095528402</v>
      </c>
      <c r="E38" s="119">
        <f t="shared" si="2"/>
        <v>265109231</v>
      </c>
      <c r="F38" s="120">
        <f t="shared" si="3"/>
        <v>6.9211545568468022E-2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2672419498</v>
      </c>
      <c r="D41" s="119">
        <f t="shared" si="4"/>
        <v>2735111997</v>
      </c>
      <c r="E41" s="123">
        <f t="shared" ref="E41:E52" si="5">D41-C41</f>
        <v>62692499</v>
      </c>
      <c r="F41" s="124">
        <f t="shared" ref="F41:F52" si="6">IF(C41=0,0,E41/C41)</f>
        <v>2.3459078579137056E-2</v>
      </c>
    </row>
    <row r="42" spans="1:6" ht="15.75" x14ac:dyDescent="0.25">
      <c r="A42" s="121">
        <v>2</v>
      </c>
      <c r="B42" s="122" t="s">
        <v>114</v>
      </c>
      <c r="C42" s="119">
        <f t="shared" si="4"/>
        <v>733878385</v>
      </c>
      <c r="D42" s="119">
        <f t="shared" si="4"/>
        <v>795758842</v>
      </c>
      <c r="E42" s="123">
        <f t="shared" si="5"/>
        <v>61880457</v>
      </c>
      <c r="F42" s="124">
        <f t="shared" si="6"/>
        <v>8.4319770502574484E-2</v>
      </c>
    </row>
    <row r="43" spans="1:6" ht="15.75" x14ac:dyDescent="0.25">
      <c r="A43" s="121">
        <v>3</v>
      </c>
      <c r="B43" s="122" t="s">
        <v>115</v>
      </c>
      <c r="C43" s="119">
        <f t="shared" si="4"/>
        <v>1794329953</v>
      </c>
      <c r="D43" s="119">
        <f t="shared" si="4"/>
        <v>1929516674</v>
      </c>
      <c r="E43" s="123">
        <f t="shared" si="5"/>
        <v>135186721</v>
      </c>
      <c r="F43" s="124">
        <f t="shared" si="6"/>
        <v>7.5341060195744283E-2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47368190</v>
      </c>
      <c r="D45" s="119">
        <f t="shared" si="4"/>
        <v>39950851</v>
      </c>
      <c r="E45" s="123">
        <f t="shared" si="5"/>
        <v>-7417339</v>
      </c>
      <c r="F45" s="124">
        <f t="shared" si="6"/>
        <v>-0.15658903158427628</v>
      </c>
    </row>
    <row r="46" spans="1:6" ht="15.75" x14ac:dyDescent="0.25">
      <c r="A46" s="121">
        <v>6</v>
      </c>
      <c r="B46" s="122" t="s">
        <v>118</v>
      </c>
      <c r="C46" s="119">
        <f t="shared" si="4"/>
        <v>148194828</v>
      </c>
      <c r="D46" s="119">
        <f t="shared" si="4"/>
        <v>133861107</v>
      </c>
      <c r="E46" s="123">
        <f t="shared" si="5"/>
        <v>-14333721</v>
      </c>
      <c r="F46" s="124">
        <f t="shared" si="6"/>
        <v>-9.6722140667419243E-2</v>
      </c>
    </row>
    <row r="47" spans="1:6" ht="15.75" x14ac:dyDescent="0.25">
      <c r="A47" s="121">
        <v>7</v>
      </c>
      <c r="B47" s="122" t="s">
        <v>119</v>
      </c>
      <c r="C47" s="119">
        <f t="shared" si="4"/>
        <v>2786583559</v>
      </c>
      <c r="D47" s="119">
        <f t="shared" si="4"/>
        <v>2873172796</v>
      </c>
      <c r="E47" s="123">
        <f t="shared" si="5"/>
        <v>86589237</v>
      </c>
      <c r="F47" s="124">
        <f t="shared" si="6"/>
        <v>3.1073619422011381E-2</v>
      </c>
    </row>
    <row r="48" spans="1:6" ht="15.75" x14ac:dyDescent="0.25">
      <c r="A48" s="121">
        <v>8</v>
      </c>
      <c r="B48" s="122" t="s">
        <v>120</v>
      </c>
      <c r="C48" s="119">
        <f t="shared" si="4"/>
        <v>41580885</v>
      </c>
      <c r="D48" s="119">
        <f t="shared" si="4"/>
        <v>38717879</v>
      </c>
      <c r="E48" s="123">
        <f t="shared" si="5"/>
        <v>-2863006</v>
      </c>
      <c r="F48" s="124">
        <f t="shared" si="6"/>
        <v>-6.8853897650326581E-2</v>
      </c>
    </row>
    <row r="49" spans="1:6" ht="15.75" x14ac:dyDescent="0.25">
      <c r="A49" s="121">
        <v>9</v>
      </c>
      <c r="B49" s="122" t="s">
        <v>121</v>
      </c>
      <c r="C49" s="119">
        <f t="shared" si="4"/>
        <v>160623269</v>
      </c>
      <c r="D49" s="119">
        <f t="shared" si="4"/>
        <v>177424647</v>
      </c>
      <c r="E49" s="123">
        <f t="shared" si="5"/>
        <v>16801378</v>
      </c>
      <c r="F49" s="124">
        <f t="shared" si="6"/>
        <v>0.10460114592736872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8384978567</v>
      </c>
      <c r="D52" s="128">
        <f>SUM(D41:D51)</f>
        <v>8723514793</v>
      </c>
      <c r="E52" s="127">
        <f t="shared" si="5"/>
        <v>338536226</v>
      </c>
      <c r="F52" s="129">
        <f t="shared" si="6"/>
        <v>4.0374131346303771E-2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426581340</v>
      </c>
      <c r="D57" s="113">
        <v>464495952</v>
      </c>
      <c r="E57" s="113">
        <f t="shared" ref="E57:E68" si="7">D57-C57</f>
        <v>37914612</v>
      </c>
      <c r="F57" s="114">
        <f t="shared" ref="F57:F68" si="8">IF(C57=0,0,E57/C57)</f>
        <v>8.8880146515550817E-2</v>
      </c>
    </row>
    <row r="58" spans="1:6" x14ac:dyDescent="0.2">
      <c r="A58" s="115">
        <v>2</v>
      </c>
      <c r="B58" s="116" t="s">
        <v>114</v>
      </c>
      <c r="C58" s="113">
        <v>136536116</v>
      </c>
      <c r="D58" s="113">
        <v>162931805</v>
      </c>
      <c r="E58" s="113">
        <f t="shared" si="7"/>
        <v>26395689</v>
      </c>
      <c r="F58" s="114">
        <f t="shared" si="8"/>
        <v>0.19332386018656045</v>
      </c>
    </row>
    <row r="59" spans="1:6" x14ac:dyDescent="0.2">
      <c r="A59" s="115">
        <v>3</v>
      </c>
      <c r="B59" s="116" t="s">
        <v>115</v>
      </c>
      <c r="C59" s="113">
        <v>115925541</v>
      </c>
      <c r="D59" s="113">
        <v>130960728</v>
      </c>
      <c r="E59" s="113">
        <f t="shared" si="7"/>
        <v>15035187</v>
      </c>
      <c r="F59" s="114">
        <f t="shared" si="8"/>
        <v>0.12969693192978068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2112365</v>
      </c>
      <c r="D61" s="113">
        <v>4483239</v>
      </c>
      <c r="E61" s="113">
        <f t="shared" si="7"/>
        <v>2370874</v>
      </c>
      <c r="F61" s="114">
        <f t="shared" si="8"/>
        <v>1.1223789449266581</v>
      </c>
    </row>
    <row r="62" spans="1:6" x14ac:dyDescent="0.2">
      <c r="A62" s="115">
        <v>6</v>
      </c>
      <c r="B62" s="116" t="s">
        <v>118</v>
      </c>
      <c r="C62" s="113">
        <v>36396661</v>
      </c>
      <c r="D62" s="113">
        <v>26378220</v>
      </c>
      <c r="E62" s="113">
        <f t="shared" si="7"/>
        <v>-10018441</v>
      </c>
      <c r="F62" s="114">
        <f t="shared" si="8"/>
        <v>-0.27525714515405686</v>
      </c>
    </row>
    <row r="63" spans="1:6" x14ac:dyDescent="0.2">
      <c r="A63" s="115">
        <v>7</v>
      </c>
      <c r="B63" s="116" t="s">
        <v>119</v>
      </c>
      <c r="C63" s="113">
        <v>571261737</v>
      </c>
      <c r="D63" s="113">
        <v>617364859</v>
      </c>
      <c r="E63" s="113">
        <f t="shared" si="7"/>
        <v>46103122</v>
      </c>
      <c r="F63" s="114">
        <f t="shared" si="8"/>
        <v>8.0704025867568308E-2</v>
      </c>
    </row>
    <row r="64" spans="1:6" x14ac:dyDescent="0.2">
      <c r="A64" s="115">
        <v>8</v>
      </c>
      <c r="B64" s="116" t="s">
        <v>120</v>
      </c>
      <c r="C64" s="113">
        <v>6016962</v>
      </c>
      <c r="D64" s="113">
        <v>12766549</v>
      </c>
      <c r="E64" s="113">
        <f t="shared" si="7"/>
        <v>6749587</v>
      </c>
      <c r="F64" s="114">
        <f t="shared" si="8"/>
        <v>1.1217599512843857</v>
      </c>
    </row>
    <row r="65" spans="1:6" x14ac:dyDescent="0.2">
      <c r="A65" s="115">
        <v>9</v>
      </c>
      <c r="B65" s="116" t="s">
        <v>121</v>
      </c>
      <c r="C65" s="113">
        <v>12191274</v>
      </c>
      <c r="D65" s="113">
        <v>27560241</v>
      </c>
      <c r="E65" s="113">
        <f t="shared" si="7"/>
        <v>15368967</v>
      </c>
      <c r="F65" s="114">
        <f t="shared" si="8"/>
        <v>1.2606530703846046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1307021996</v>
      </c>
      <c r="D68" s="119">
        <f>SUM(D57:D67)</f>
        <v>1446941593</v>
      </c>
      <c r="E68" s="119">
        <f t="shared" si="7"/>
        <v>139919597</v>
      </c>
      <c r="F68" s="120">
        <f t="shared" si="8"/>
        <v>0.10705221291470905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167389985</v>
      </c>
      <c r="D70" s="113">
        <v>203459062</v>
      </c>
      <c r="E70" s="113">
        <f t="shared" ref="E70:E81" si="9">D70-C70</f>
        <v>36069077</v>
      </c>
      <c r="F70" s="114">
        <f t="shared" ref="F70:F81" si="10">IF(C70=0,0,E70/C70)</f>
        <v>0.21547930122581707</v>
      </c>
    </row>
    <row r="71" spans="1:6" x14ac:dyDescent="0.2">
      <c r="A71" s="115">
        <v>2</v>
      </c>
      <c r="B71" s="116" t="s">
        <v>114</v>
      </c>
      <c r="C71" s="113">
        <v>46713610</v>
      </c>
      <c r="D71" s="113">
        <v>45337013</v>
      </c>
      <c r="E71" s="113">
        <f t="shared" si="9"/>
        <v>-1376597</v>
      </c>
      <c r="F71" s="114">
        <f t="shared" si="10"/>
        <v>-2.9468863571023518E-2</v>
      </c>
    </row>
    <row r="72" spans="1:6" x14ac:dyDescent="0.2">
      <c r="A72" s="115">
        <v>3</v>
      </c>
      <c r="B72" s="116" t="s">
        <v>115</v>
      </c>
      <c r="C72" s="113">
        <v>97347700</v>
      </c>
      <c r="D72" s="113">
        <v>119432312</v>
      </c>
      <c r="E72" s="113">
        <f t="shared" si="9"/>
        <v>22084612</v>
      </c>
      <c r="F72" s="114">
        <f t="shared" si="10"/>
        <v>0.22686321299835538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2274341</v>
      </c>
      <c r="D74" s="113">
        <v>1519605</v>
      </c>
      <c r="E74" s="113">
        <f t="shared" si="9"/>
        <v>-754736</v>
      </c>
      <c r="F74" s="114">
        <f t="shared" si="10"/>
        <v>-0.33184821449378082</v>
      </c>
    </row>
    <row r="75" spans="1:6" x14ac:dyDescent="0.2">
      <c r="A75" s="115">
        <v>6</v>
      </c>
      <c r="B75" s="116" t="s">
        <v>118</v>
      </c>
      <c r="C75" s="113">
        <v>56392408</v>
      </c>
      <c r="D75" s="113">
        <v>26587428</v>
      </c>
      <c r="E75" s="113">
        <f t="shared" si="9"/>
        <v>-29804980</v>
      </c>
      <c r="F75" s="114">
        <f t="shared" si="10"/>
        <v>-0.52852823734712662</v>
      </c>
    </row>
    <row r="76" spans="1:6" x14ac:dyDescent="0.2">
      <c r="A76" s="115">
        <v>7</v>
      </c>
      <c r="B76" s="116" t="s">
        <v>119</v>
      </c>
      <c r="C76" s="113">
        <v>612399509</v>
      </c>
      <c r="D76" s="113">
        <v>695914393</v>
      </c>
      <c r="E76" s="113">
        <f t="shared" si="9"/>
        <v>83514884</v>
      </c>
      <c r="F76" s="114">
        <f t="shared" si="10"/>
        <v>0.13637320535474173</v>
      </c>
    </row>
    <row r="77" spans="1:6" x14ac:dyDescent="0.2">
      <c r="A77" s="115">
        <v>8</v>
      </c>
      <c r="B77" s="116" t="s">
        <v>120</v>
      </c>
      <c r="C77" s="113">
        <v>6734229</v>
      </c>
      <c r="D77" s="113">
        <v>3693167</v>
      </c>
      <c r="E77" s="113">
        <f t="shared" si="9"/>
        <v>-3041062</v>
      </c>
      <c r="F77" s="114">
        <f t="shared" si="10"/>
        <v>-0.4515828018322513</v>
      </c>
    </row>
    <row r="78" spans="1:6" x14ac:dyDescent="0.2">
      <c r="A78" s="115">
        <v>9</v>
      </c>
      <c r="B78" s="116" t="s">
        <v>121</v>
      </c>
      <c r="C78" s="113">
        <v>10489921</v>
      </c>
      <c r="D78" s="113">
        <v>12752235</v>
      </c>
      <c r="E78" s="113">
        <f t="shared" si="9"/>
        <v>2262314</v>
      </c>
      <c r="F78" s="114">
        <f t="shared" si="10"/>
        <v>0.2156654945256499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999741703</v>
      </c>
      <c r="D81" s="119">
        <f>SUM(D70:D80)</f>
        <v>1108695215</v>
      </c>
      <c r="E81" s="119">
        <f t="shared" si="9"/>
        <v>108953512</v>
      </c>
      <c r="F81" s="120">
        <f t="shared" si="10"/>
        <v>0.10898166163625567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593971325</v>
      </c>
      <c r="D84" s="119">
        <f t="shared" si="11"/>
        <v>667955014</v>
      </c>
      <c r="E84" s="119">
        <f t="shared" ref="E84:E95" si="12">D84-C84</f>
        <v>73983689</v>
      </c>
      <c r="F84" s="120">
        <f t="shared" ref="F84:F95" si="13">IF(C84=0,0,E84/C84)</f>
        <v>0.12455767793167456</v>
      </c>
    </row>
    <row r="85" spans="1:6" ht="15.75" x14ac:dyDescent="0.25">
      <c r="A85" s="130">
        <v>2</v>
      </c>
      <c r="B85" s="122" t="s">
        <v>114</v>
      </c>
      <c r="C85" s="119">
        <f t="shared" si="11"/>
        <v>183249726</v>
      </c>
      <c r="D85" s="119">
        <f t="shared" si="11"/>
        <v>208268818</v>
      </c>
      <c r="E85" s="119">
        <f t="shared" si="12"/>
        <v>25019092</v>
      </c>
      <c r="F85" s="120">
        <f t="shared" si="13"/>
        <v>0.136530037703849</v>
      </c>
    </row>
    <row r="86" spans="1:6" ht="15.75" x14ac:dyDescent="0.25">
      <c r="A86" s="130">
        <v>3</v>
      </c>
      <c r="B86" s="122" t="s">
        <v>115</v>
      </c>
      <c r="C86" s="119">
        <f t="shared" si="11"/>
        <v>213273241</v>
      </c>
      <c r="D86" s="119">
        <f t="shared" si="11"/>
        <v>250393040</v>
      </c>
      <c r="E86" s="119">
        <f t="shared" si="12"/>
        <v>37119799</v>
      </c>
      <c r="F86" s="120">
        <f t="shared" si="13"/>
        <v>0.17404808416635822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4386706</v>
      </c>
      <c r="D88" s="119">
        <f t="shared" si="11"/>
        <v>6002844</v>
      </c>
      <c r="E88" s="119">
        <f t="shared" si="12"/>
        <v>1616138</v>
      </c>
      <c r="F88" s="120">
        <f t="shared" si="13"/>
        <v>0.36841721328030647</v>
      </c>
    </row>
    <row r="89" spans="1:6" ht="15.75" x14ac:dyDescent="0.25">
      <c r="A89" s="130">
        <v>6</v>
      </c>
      <c r="B89" s="122" t="s">
        <v>118</v>
      </c>
      <c r="C89" s="119">
        <f t="shared" si="11"/>
        <v>92789069</v>
      </c>
      <c r="D89" s="119">
        <f t="shared" si="11"/>
        <v>52965648</v>
      </c>
      <c r="E89" s="119">
        <f t="shared" si="12"/>
        <v>-39823421</v>
      </c>
      <c r="F89" s="120">
        <f t="shared" si="13"/>
        <v>-0.4291822455940365</v>
      </c>
    </row>
    <row r="90" spans="1:6" ht="15.75" x14ac:dyDescent="0.25">
      <c r="A90" s="130">
        <v>7</v>
      </c>
      <c r="B90" s="122" t="s">
        <v>119</v>
      </c>
      <c r="C90" s="119">
        <f t="shared" si="11"/>
        <v>1183661246</v>
      </c>
      <c r="D90" s="119">
        <f t="shared" si="11"/>
        <v>1313279252</v>
      </c>
      <c r="E90" s="119">
        <f t="shared" si="12"/>
        <v>129618006</v>
      </c>
      <c r="F90" s="120">
        <f t="shared" si="13"/>
        <v>0.10950599796861137</v>
      </c>
    </row>
    <row r="91" spans="1:6" ht="15.75" x14ac:dyDescent="0.25">
      <c r="A91" s="130">
        <v>8</v>
      </c>
      <c r="B91" s="122" t="s">
        <v>120</v>
      </c>
      <c r="C91" s="119">
        <f t="shared" si="11"/>
        <v>12751191</v>
      </c>
      <c r="D91" s="119">
        <f t="shared" si="11"/>
        <v>16459716</v>
      </c>
      <c r="E91" s="119">
        <f t="shared" si="12"/>
        <v>3708525</v>
      </c>
      <c r="F91" s="120">
        <f t="shared" si="13"/>
        <v>0.29083753823466374</v>
      </c>
    </row>
    <row r="92" spans="1:6" ht="15.75" x14ac:dyDescent="0.25">
      <c r="A92" s="130">
        <v>9</v>
      </c>
      <c r="B92" s="122" t="s">
        <v>121</v>
      </c>
      <c r="C92" s="119">
        <f t="shared" si="11"/>
        <v>22681195</v>
      </c>
      <c r="D92" s="119">
        <f t="shared" si="11"/>
        <v>40312476</v>
      </c>
      <c r="E92" s="119">
        <f t="shared" si="12"/>
        <v>17631281</v>
      </c>
      <c r="F92" s="120">
        <f t="shared" si="13"/>
        <v>0.77735238376990279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2306763699</v>
      </c>
      <c r="D95" s="128">
        <f>SUM(D84:D94)</f>
        <v>2555636808</v>
      </c>
      <c r="E95" s="128">
        <f t="shared" si="12"/>
        <v>248873109</v>
      </c>
      <c r="F95" s="129">
        <f t="shared" si="13"/>
        <v>0.10788842789050671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21547</v>
      </c>
      <c r="D100" s="133">
        <v>21223</v>
      </c>
      <c r="E100" s="133">
        <f t="shared" ref="E100:E111" si="14">D100-C100</f>
        <v>-324</v>
      </c>
      <c r="F100" s="114">
        <f t="shared" ref="F100:F111" si="15">IF(C100=0,0,E100/C100)</f>
        <v>-1.5036896087622407E-2</v>
      </c>
    </row>
    <row r="101" spans="1:6" x14ac:dyDescent="0.2">
      <c r="A101" s="115">
        <v>2</v>
      </c>
      <c r="B101" s="116" t="s">
        <v>114</v>
      </c>
      <c r="C101" s="133">
        <v>6699</v>
      </c>
      <c r="D101" s="133">
        <v>6856</v>
      </c>
      <c r="E101" s="133">
        <f t="shared" si="14"/>
        <v>157</v>
      </c>
      <c r="F101" s="114">
        <f t="shared" si="15"/>
        <v>2.3436333781161368E-2</v>
      </c>
    </row>
    <row r="102" spans="1:6" x14ac:dyDescent="0.2">
      <c r="A102" s="115">
        <v>3</v>
      </c>
      <c r="B102" s="116" t="s">
        <v>115</v>
      </c>
      <c r="C102" s="133">
        <v>22415</v>
      </c>
      <c r="D102" s="133">
        <v>22248</v>
      </c>
      <c r="E102" s="133">
        <f t="shared" si="14"/>
        <v>-167</v>
      </c>
      <c r="F102" s="114">
        <f t="shared" si="15"/>
        <v>-7.4503680571046177E-3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400</v>
      </c>
      <c r="D104" s="133">
        <v>413</v>
      </c>
      <c r="E104" s="133">
        <f t="shared" si="14"/>
        <v>13</v>
      </c>
      <c r="F104" s="114">
        <f t="shared" si="15"/>
        <v>3.2500000000000001E-2</v>
      </c>
    </row>
    <row r="105" spans="1:6" x14ac:dyDescent="0.2">
      <c r="A105" s="115">
        <v>6</v>
      </c>
      <c r="B105" s="116" t="s">
        <v>118</v>
      </c>
      <c r="C105" s="133">
        <v>987</v>
      </c>
      <c r="D105" s="133">
        <v>1192</v>
      </c>
      <c r="E105" s="133">
        <f t="shared" si="14"/>
        <v>205</v>
      </c>
      <c r="F105" s="114">
        <f t="shared" si="15"/>
        <v>0.2077001013171226</v>
      </c>
    </row>
    <row r="106" spans="1:6" x14ac:dyDescent="0.2">
      <c r="A106" s="115">
        <v>7</v>
      </c>
      <c r="B106" s="116" t="s">
        <v>119</v>
      </c>
      <c r="C106" s="133">
        <v>25195</v>
      </c>
      <c r="D106" s="133">
        <v>24831</v>
      </c>
      <c r="E106" s="133">
        <f t="shared" si="14"/>
        <v>-364</v>
      </c>
      <c r="F106" s="114">
        <f t="shared" si="15"/>
        <v>-1.4447310974399682E-2</v>
      </c>
    </row>
    <row r="107" spans="1:6" x14ac:dyDescent="0.2">
      <c r="A107" s="115">
        <v>8</v>
      </c>
      <c r="B107" s="116" t="s">
        <v>120</v>
      </c>
      <c r="C107" s="133">
        <v>334</v>
      </c>
      <c r="D107" s="133">
        <v>350</v>
      </c>
      <c r="E107" s="133">
        <f t="shared" si="14"/>
        <v>16</v>
      </c>
      <c r="F107" s="114">
        <f t="shared" si="15"/>
        <v>4.790419161676647E-2</v>
      </c>
    </row>
    <row r="108" spans="1:6" x14ac:dyDescent="0.2">
      <c r="A108" s="115">
        <v>9</v>
      </c>
      <c r="B108" s="116" t="s">
        <v>121</v>
      </c>
      <c r="C108" s="133">
        <v>952</v>
      </c>
      <c r="D108" s="133">
        <v>1339</v>
      </c>
      <c r="E108" s="133">
        <f t="shared" si="14"/>
        <v>387</v>
      </c>
      <c r="F108" s="114">
        <f t="shared" si="15"/>
        <v>0.40651260504201681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78529</v>
      </c>
      <c r="D111" s="134">
        <f>SUM(D100:D110)</f>
        <v>78452</v>
      </c>
      <c r="E111" s="134">
        <f t="shared" si="14"/>
        <v>-77</v>
      </c>
      <c r="F111" s="120">
        <f t="shared" si="15"/>
        <v>-9.8052948592239819E-4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142143</v>
      </c>
      <c r="D113" s="133">
        <v>137542</v>
      </c>
      <c r="E113" s="133">
        <f t="shared" ref="E113:E124" si="16">D113-C113</f>
        <v>-4601</v>
      </c>
      <c r="F113" s="114">
        <f t="shared" ref="F113:F124" si="17">IF(C113=0,0,E113/C113)</f>
        <v>-3.2368811689636491E-2</v>
      </c>
    </row>
    <row r="114" spans="1:6" x14ac:dyDescent="0.2">
      <c r="A114" s="115">
        <v>2</v>
      </c>
      <c r="B114" s="116" t="s">
        <v>114</v>
      </c>
      <c r="C114" s="133">
        <v>39579</v>
      </c>
      <c r="D114" s="133">
        <v>42267</v>
      </c>
      <c r="E114" s="133">
        <f t="shared" si="16"/>
        <v>2688</v>
      </c>
      <c r="F114" s="114">
        <f t="shared" si="17"/>
        <v>6.7914803304782834E-2</v>
      </c>
    </row>
    <row r="115" spans="1:6" x14ac:dyDescent="0.2">
      <c r="A115" s="115">
        <v>3</v>
      </c>
      <c r="B115" s="116" t="s">
        <v>115</v>
      </c>
      <c r="C115" s="133">
        <v>120382</v>
      </c>
      <c r="D115" s="133">
        <v>122293</v>
      </c>
      <c r="E115" s="133">
        <f t="shared" si="16"/>
        <v>1911</v>
      </c>
      <c r="F115" s="114">
        <f t="shared" si="17"/>
        <v>1.5874466282334569E-2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1625</v>
      </c>
      <c r="D117" s="133">
        <v>1577</v>
      </c>
      <c r="E117" s="133">
        <f t="shared" si="16"/>
        <v>-48</v>
      </c>
      <c r="F117" s="114">
        <f t="shared" si="17"/>
        <v>-2.9538461538461538E-2</v>
      </c>
    </row>
    <row r="118" spans="1:6" x14ac:dyDescent="0.2">
      <c r="A118" s="115">
        <v>6</v>
      </c>
      <c r="B118" s="116" t="s">
        <v>118</v>
      </c>
      <c r="C118" s="133">
        <v>4519</v>
      </c>
      <c r="D118" s="133">
        <v>5739</v>
      </c>
      <c r="E118" s="133">
        <f t="shared" si="16"/>
        <v>1220</v>
      </c>
      <c r="F118" s="114">
        <f t="shared" si="17"/>
        <v>0.26997123257357825</v>
      </c>
    </row>
    <row r="119" spans="1:6" x14ac:dyDescent="0.2">
      <c r="A119" s="115">
        <v>7</v>
      </c>
      <c r="B119" s="116" t="s">
        <v>119</v>
      </c>
      <c r="C119" s="133">
        <v>112844</v>
      </c>
      <c r="D119" s="133">
        <v>111318</v>
      </c>
      <c r="E119" s="133">
        <f t="shared" si="16"/>
        <v>-1526</v>
      </c>
      <c r="F119" s="114">
        <f t="shared" si="17"/>
        <v>-1.35230938286484E-2</v>
      </c>
    </row>
    <row r="120" spans="1:6" x14ac:dyDescent="0.2">
      <c r="A120" s="115">
        <v>8</v>
      </c>
      <c r="B120" s="116" t="s">
        <v>120</v>
      </c>
      <c r="C120" s="133">
        <v>1087</v>
      </c>
      <c r="D120" s="133">
        <v>1378</v>
      </c>
      <c r="E120" s="133">
        <f t="shared" si="16"/>
        <v>291</v>
      </c>
      <c r="F120" s="114">
        <f t="shared" si="17"/>
        <v>0.26770929162833484</v>
      </c>
    </row>
    <row r="121" spans="1:6" x14ac:dyDescent="0.2">
      <c r="A121" s="115">
        <v>9</v>
      </c>
      <c r="B121" s="116" t="s">
        <v>121</v>
      </c>
      <c r="C121" s="133">
        <v>4336</v>
      </c>
      <c r="D121" s="133">
        <v>6526</v>
      </c>
      <c r="E121" s="133">
        <f t="shared" si="16"/>
        <v>2190</v>
      </c>
      <c r="F121" s="114">
        <f t="shared" si="17"/>
        <v>0.50507380073800734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426515</v>
      </c>
      <c r="D124" s="134">
        <f>SUM(D113:D123)</f>
        <v>428640</v>
      </c>
      <c r="E124" s="134">
        <f t="shared" si="16"/>
        <v>2125</v>
      </c>
      <c r="F124" s="120">
        <f t="shared" si="17"/>
        <v>4.982239780546991E-3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270084</v>
      </c>
      <c r="D126" s="133">
        <v>295736</v>
      </c>
      <c r="E126" s="133">
        <f t="shared" ref="E126:E137" si="18">D126-C126</f>
        <v>25652</v>
      </c>
      <c r="F126" s="114">
        <f t="shared" ref="F126:F137" si="19">IF(C126=0,0,E126/C126)</f>
        <v>9.4977858740243781E-2</v>
      </c>
    </row>
    <row r="127" spans="1:6" x14ac:dyDescent="0.2">
      <c r="A127" s="115">
        <v>2</v>
      </c>
      <c r="B127" s="116" t="s">
        <v>114</v>
      </c>
      <c r="C127" s="133">
        <v>79977</v>
      </c>
      <c r="D127" s="133">
        <v>89458</v>
      </c>
      <c r="E127" s="133">
        <f t="shared" si="18"/>
        <v>9481</v>
      </c>
      <c r="F127" s="114">
        <f t="shared" si="19"/>
        <v>0.11854658214236594</v>
      </c>
    </row>
    <row r="128" spans="1:6" x14ac:dyDescent="0.2">
      <c r="A128" s="115">
        <v>3</v>
      </c>
      <c r="B128" s="116" t="s">
        <v>115</v>
      </c>
      <c r="C128" s="133">
        <v>314914</v>
      </c>
      <c r="D128" s="133">
        <v>345834</v>
      </c>
      <c r="E128" s="133">
        <f t="shared" si="18"/>
        <v>30920</v>
      </c>
      <c r="F128" s="114">
        <f t="shared" si="19"/>
        <v>9.8185536368659385E-2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5215</v>
      </c>
      <c r="D130" s="133">
        <v>5688</v>
      </c>
      <c r="E130" s="133">
        <f t="shared" si="18"/>
        <v>473</v>
      </c>
      <c r="F130" s="114">
        <f t="shared" si="19"/>
        <v>9.0699904122722913E-2</v>
      </c>
    </row>
    <row r="131" spans="1:6" x14ac:dyDescent="0.2">
      <c r="A131" s="115">
        <v>6</v>
      </c>
      <c r="B131" s="116" t="s">
        <v>118</v>
      </c>
      <c r="C131" s="133">
        <v>16111</v>
      </c>
      <c r="D131" s="133">
        <v>18255</v>
      </c>
      <c r="E131" s="133">
        <f t="shared" si="18"/>
        <v>2144</v>
      </c>
      <c r="F131" s="114">
        <f t="shared" si="19"/>
        <v>0.13307677983986096</v>
      </c>
    </row>
    <row r="132" spans="1:6" x14ac:dyDescent="0.2">
      <c r="A132" s="115">
        <v>7</v>
      </c>
      <c r="B132" s="116" t="s">
        <v>119</v>
      </c>
      <c r="C132" s="133">
        <v>456425</v>
      </c>
      <c r="D132" s="133">
        <v>483563</v>
      </c>
      <c r="E132" s="133">
        <f t="shared" si="18"/>
        <v>27138</v>
      </c>
      <c r="F132" s="114">
        <f t="shared" si="19"/>
        <v>5.9457742235854739E-2</v>
      </c>
    </row>
    <row r="133" spans="1:6" x14ac:dyDescent="0.2">
      <c r="A133" s="115">
        <v>8</v>
      </c>
      <c r="B133" s="116" t="s">
        <v>120</v>
      </c>
      <c r="C133" s="133">
        <v>6369</v>
      </c>
      <c r="D133" s="133">
        <v>6912</v>
      </c>
      <c r="E133" s="133">
        <f t="shared" si="18"/>
        <v>543</v>
      </c>
      <c r="F133" s="114">
        <f t="shared" si="19"/>
        <v>8.525671219971738E-2</v>
      </c>
    </row>
    <row r="134" spans="1:6" x14ac:dyDescent="0.2">
      <c r="A134" s="115">
        <v>9</v>
      </c>
      <c r="B134" s="116" t="s">
        <v>121</v>
      </c>
      <c r="C134" s="133">
        <v>38310</v>
      </c>
      <c r="D134" s="133">
        <v>37093</v>
      </c>
      <c r="E134" s="133">
        <f t="shared" si="18"/>
        <v>-1217</v>
      </c>
      <c r="F134" s="114">
        <f t="shared" si="19"/>
        <v>-3.176716262072566E-2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1187405</v>
      </c>
      <c r="D137" s="134">
        <f>SUM(D126:D136)</f>
        <v>1282539</v>
      </c>
      <c r="E137" s="134">
        <f t="shared" si="18"/>
        <v>95134</v>
      </c>
      <c r="F137" s="120">
        <f t="shared" si="19"/>
        <v>8.0119251645394796E-2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170022591</v>
      </c>
      <c r="D142" s="113">
        <v>191530673</v>
      </c>
      <c r="E142" s="113">
        <f t="shared" ref="E142:E153" si="20">D142-C142</f>
        <v>21508082</v>
      </c>
      <c r="F142" s="114">
        <f t="shared" ref="F142:F153" si="21">IF(C142=0,0,E142/C142)</f>
        <v>0.12650131887473706</v>
      </c>
    </row>
    <row r="143" spans="1:6" x14ac:dyDescent="0.2">
      <c r="A143" s="115">
        <v>2</v>
      </c>
      <c r="B143" s="116" t="s">
        <v>114</v>
      </c>
      <c r="C143" s="113">
        <v>44013361</v>
      </c>
      <c r="D143" s="113">
        <v>44369954</v>
      </c>
      <c r="E143" s="113">
        <f t="shared" si="20"/>
        <v>356593</v>
      </c>
      <c r="F143" s="114">
        <f t="shared" si="21"/>
        <v>8.1019261401100457E-3</v>
      </c>
    </row>
    <row r="144" spans="1:6" x14ac:dyDescent="0.2">
      <c r="A144" s="115">
        <v>3</v>
      </c>
      <c r="B144" s="116" t="s">
        <v>115</v>
      </c>
      <c r="C144" s="113">
        <v>214936851</v>
      </c>
      <c r="D144" s="113">
        <v>230323184</v>
      </c>
      <c r="E144" s="113">
        <f t="shared" si="20"/>
        <v>15386333</v>
      </c>
      <c r="F144" s="114">
        <f t="shared" si="21"/>
        <v>7.1585365322021949E-2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1186195</v>
      </c>
      <c r="D146" s="113">
        <v>1306114</v>
      </c>
      <c r="E146" s="113">
        <f t="shared" si="20"/>
        <v>119919</v>
      </c>
      <c r="F146" s="114">
        <f t="shared" si="21"/>
        <v>0.10109551970797381</v>
      </c>
    </row>
    <row r="147" spans="1:6" x14ac:dyDescent="0.2">
      <c r="A147" s="115">
        <v>6</v>
      </c>
      <c r="B147" s="116" t="s">
        <v>118</v>
      </c>
      <c r="C147" s="113">
        <v>9766288</v>
      </c>
      <c r="D147" s="113">
        <v>9664282</v>
      </c>
      <c r="E147" s="113">
        <f t="shared" si="20"/>
        <v>-102006</v>
      </c>
      <c r="F147" s="114">
        <f t="shared" si="21"/>
        <v>-1.044470529642378E-2</v>
      </c>
    </row>
    <row r="148" spans="1:6" x14ac:dyDescent="0.2">
      <c r="A148" s="115">
        <v>7</v>
      </c>
      <c r="B148" s="116" t="s">
        <v>119</v>
      </c>
      <c r="C148" s="113">
        <v>161212403</v>
      </c>
      <c r="D148" s="113">
        <v>155134852</v>
      </c>
      <c r="E148" s="113">
        <f t="shared" si="20"/>
        <v>-6077551</v>
      </c>
      <c r="F148" s="114">
        <f t="shared" si="21"/>
        <v>-3.7699028653521156E-2</v>
      </c>
    </row>
    <row r="149" spans="1:6" x14ac:dyDescent="0.2">
      <c r="A149" s="115">
        <v>8</v>
      </c>
      <c r="B149" s="116" t="s">
        <v>120</v>
      </c>
      <c r="C149" s="113">
        <v>4808996</v>
      </c>
      <c r="D149" s="113">
        <v>5104658</v>
      </c>
      <c r="E149" s="113">
        <f t="shared" si="20"/>
        <v>295662</v>
      </c>
      <c r="F149" s="114">
        <f t="shared" si="21"/>
        <v>6.1481024313598927E-2</v>
      </c>
    </row>
    <row r="150" spans="1:6" x14ac:dyDescent="0.2">
      <c r="A150" s="115">
        <v>9</v>
      </c>
      <c r="B150" s="116" t="s">
        <v>121</v>
      </c>
      <c r="C150" s="113">
        <v>29710592</v>
      </c>
      <c r="D150" s="113">
        <v>31040128</v>
      </c>
      <c r="E150" s="113">
        <f t="shared" si="20"/>
        <v>1329536</v>
      </c>
      <c r="F150" s="114">
        <f t="shared" si="21"/>
        <v>4.4749562714872862E-2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635657277</v>
      </c>
      <c r="D153" s="119">
        <f>SUM(D142:D152)</f>
        <v>668473845</v>
      </c>
      <c r="E153" s="119">
        <f t="shared" si="20"/>
        <v>32816568</v>
      </c>
      <c r="F153" s="120">
        <f t="shared" si="21"/>
        <v>5.1626197303802752E-2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21301154</v>
      </c>
      <c r="D155" s="113">
        <v>23362857</v>
      </c>
      <c r="E155" s="113">
        <f t="shared" ref="E155:E166" si="22">D155-C155</f>
        <v>2061703</v>
      </c>
      <c r="F155" s="114">
        <f t="shared" ref="F155:F166" si="23">IF(C155=0,0,E155/C155)</f>
        <v>9.6788324238207935E-2</v>
      </c>
    </row>
    <row r="156" spans="1:6" x14ac:dyDescent="0.2">
      <c r="A156" s="115">
        <v>2</v>
      </c>
      <c r="B156" s="116" t="s">
        <v>114</v>
      </c>
      <c r="C156" s="113">
        <v>4150515</v>
      </c>
      <c r="D156" s="113">
        <v>4582398</v>
      </c>
      <c r="E156" s="113">
        <f t="shared" si="22"/>
        <v>431883</v>
      </c>
      <c r="F156" s="114">
        <f t="shared" si="23"/>
        <v>0.10405527988695379</v>
      </c>
    </row>
    <row r="157" spans="1:6" x14ac:dyDescent="0.2">
      <c r="A157" s="115">
        <v>3</v>
      </c>
      <c r="B157" s="116" t="s">
        <v>115</v>
      </c>
      <c r="C157" s="113">
        <v>32226422</v>
      </c>
      <c r="D157" s="113">
        <v>31982214</v>
      </c>
      <c r="E157" s="113">
        <f t="shared" si="22"/>
        <v>-244208</v>
      </c>
      <c r="F157" s="114">
        <f t="shared" si="23"/>
        <v>-7.5778812801495614E-3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262200</v>
      </c>
      <c r="D159" s="113">
        <v>157937</v>
      </c>
      <c r="E159" s="113">
        <f t="shared" si="22"/>
        <v>-104263</v>
      </c>
      <c r="F159" s="114">
        <f t="shared" si="23"/>
        <v>-0.3976468344774981</v>
      </c>
    </row>
    <row r="160" spans="1:6" x14ac:dyDescent="0.2">
      <c r="A160" s="115">
        <v>6</v>
      </c>
      <c r="B160" s="116" t="s">
        <v>118</v>
      </c>
      <c r="C160" s="113">
        <v>5316006</v>
      </c>
      <c r="D160" s="113">
        <v>5035718</v>
      </c>
      <c r="E160" s="113">
        <f t="shared" si="22"/>
        <v>-280288</v>
      </c>
      <c r="F160" s="114">
        <f t="shared" si="23"/>
        <v>-5.2725297902222079E-2</v>
      </c>
    </row>
    <row r="161" spans="1:6" x14ac:dyDescent="0.2">
      <c r="A161" s="115">
        <v>7</v>
      </c>
      <c r="B161" s="116" t="s">
        <v>119</v>
      </c>
      <c r="C161" s="113">
        <v>60095768</v>
      </c>
      <c r="D161" s="113">
        <v>63783162</v>
      </c>
      <c r="E161" s="113">
        <f t="shared" si="22"/>
        <v>3687394</v>
      </c>
      <c r="F161" s="114">
        <f t="shared" si="23"/>
        <v>6.1358630111857458E-2</v>
      </c>
    </row>
    <row r="162" spans="1:6" x14ac:dyDescent="0.2">
      <c r="A162" s="115">
        <v>8</v>
      </c>
      <c r="B162" s="116" t="s">
        <v>120</v>
      </c>
      <c r="C162" s="113">
        <v>2544006</v>
      </c>
      <c r="D162" s="113">
        <v>1737741</v>
      </c>
      <c r="E162" s="113">
        <f t="shared" si="22"/>
        <v>-806265</v>
      </c>
      <c r="F162" s="114">
        <f t="shared" si="23"/>
        <v>-0.31692731856764489</v>
      </c>
    </row>
    <row r="163" spans="1:6" x14ac:dyDescent="0.2">
      <c r="A163" s="115">
        <v>9</v>
      </c>
      <c r="B163" s="116" t="s">
        <v>121</v>
      </c>
      <c r="C163" s="113">
        <v>622652</v>
      </c>
      <c r="D163" s="113">
        <v>1926426</v>
      </c>
      <c r="E163" s="113">
        <f t="shared" si="22"/>
        <v>1303774</v>
      </c>
      <c r="F163" s="114">
        <f t="shared" si="23"/>
        <v>2.0939047814830758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126518723</v>
      </c>
      <c r="D166" s="119">
        <f>SUM(D155:D165)</f>
        <v>132568453</v>
      </c>
      <c r="E166" s="119">
        <f t="shared" si="22"/>
        <v>6049730</v>
      </c>
      <c r="F166" s="120">
        <f t="shared" si="23"/>
        <v>4.7816875293627492E-2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19064</v>
      </c>
      <c r="D168" s="133">
        <v>21157</v>
      </c>
      <c r="E168" s="133">
        <f t="shared" ref="E168:E179" si="24">D168-C168</f>
        <v>2093</v>
      </c>
      <c r="F168" s="114">
        <f t="shared" ref="F168:F179" si="25">IF(C168=0,0,E168/C168)</f>
        <v>0.10978808224926563</v>
      </c>
    </row>
    <row r="169" spans="1:6" x14ac:dyDescent="0.2">
      <c r="A169" s="115">
        <v>2</v>
      </c>
      <c r="B169" s="116" t="s">
        <v>114</v>
      </c>
      <c r="C169" s="133">
        <v>5604</v>
      </c>
      <c r="D169" s="133">
        <v>6537</v>
      </c>
      <c r="E169" s="133">
        <f t="shared" si="24"/>
        <v>933</v>
      </c>
      <c r="F169" s="114">
        <f t="shared" si="25"/>
        <v>0.16648822269807281</v>
      </c>
    </row>
    <row r="170" spans="1:6" x14ac:dyDescent="0.2">
      <c r="A170" s="115">
        <v>3</v>
      </c>
      <c r="B170" s="116" t="s">
        <v>115</v>
      </c>
      <c r="C170" s="133">
        <v>65998</v>
      </c>
      <c r="D170" s="133">
        <v>72873</v>
      </c>
      <c r="E170" s="133">
        <f t="shared" si="24"/>
        <v>6875</v>
      </c>
      <c r="F170" s="114">
        <f t="shared" si="25"/>
        <v>0.10416982332797964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386</v>
      </c>
      <c r="D172" s="133">
        <v>432</v>
      </c>
      <c r="E172" s="133">
        <f t="shared" si="24"/>
        <v>46</v>
      </c>
      <c r="F172" s="114">
        <f t="shared" si="25"/>
        <v>0.11917098445595854</v>
      </c>
    </row>
    <row r="173" spans="1:6" x14ac:dyDescent="0.2">
      <c r="A173" s="115">
        <v>6</v>
      </c>
      <c r="B173" s="116" t="s">
        <v>118</v>
      </c>
      <c r="C173" s="133">
        <v>2362</v>
      </c>
      <c r="D173" s="133">
        <v>2555</v>
      </c>
      <c r="E173" s="133">
        <f t="shared" si="24"/>
        <v>193</v>
      </c>
      <c r="F173" s="114">
        <f t="shared" si="25"/>
        <v>8.17104149026249E-2</v>
      </c>
    </row>
    <row r="174" spans="1:6" x14ac:dyDescent="0.2">
      <c r="A174" s="115">
        <v>7</v>
      </c>
      <c r="B174" s="116" t="s">
        <v>119</v>
      </c>
      <c r="C174" s="133">
        <v>36423</v>
      </c>
      <c r="D174" s="133">
        <v>38581</v>
      </c>
      <c r="E174" s="133">
        <f t="shared" si="24"/>
        <v>2158</v>
      </c>
      <c r="F174" s="114">
        <f t="shared" si="25"/>
        <v>5.924827718749142E-2</v>
      </c>
    </row>
    <row r="175" spans="1:6" x14ac:dyDescent="0.2">
      <c r="A175" s="115">
        <v>8</v>
      </c>
      <c r="B175" s="116" t="s">
        <v>120</v>
      </c>
      <c r="C175" s="133">
        <v>1694</v>
      </c>
      <c r="D175" s="133">
        <v>1958</v>
      </c>
      <c r="E175" s="133">
        <f t="shared" si="24"/>
        <v>264</v>
      </c>
      <c r="F175" s="114">
        <f t="shared" si="25"/>
        <v>0.15584415584415584</v>
      </c>
    </row>
    <row r="176" spans="1:6" x14ac:dyDescent="0.2">
      <c r="A176" s="115">
        <v>9</v>
      </c>
      <c r="B176" s="116" t="s">
        <v>121</v>
      </c>
      <c r="C176" s="133">
        <v>10989</v>
      </c>
      <c r="D176" s="133">
        <v>8406</v>
      </c>
      <c r="E176" s="133">
        <f t="shared" si="24"/>
        <v>-2583</v>
      </c>
      <c r="F176" s="114">
        <f t="shared" si="25"/>
        <v>-0.23505323505323505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142520</v>
      </c>
      <c r="D179" s="134">
        <f>SUM(D168:D178)</f>
        <v>152499</v>
      </c>
      <c r="E179" s="134">
        <f t="shared" si="24"/>
        <v>9979</v>
      </c>
      <c r="F179" s="120">
        <f t="shared" si="25"/>
        <v>7.0018243053606516E-2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FILING&amp;RYALE-NEW HAVEN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328622000</v>
      </c>
      <c r="D15" s="157">
        <v>342098000</v>
      </c>
      <c r="E15" s="157">
        <f>+D15-C15</f>
        <v>13476000</v>
      </c>
      <c r="F15" s="161">
        <f>IF(C15=0,0,E15/C15)</f>
        <v>4.1007601438735081E-2</v>
      </c>
    </row>
    <row r="16" spans="1:6" ht="15" customHeight="1" x14ac:dyDescent="0.2">
      <c r="A16" s="147">
        <v>2</v>
      </c>
      <c r="B16" s="160" t="s">
        <v>157</v>
      </c>
      <c r="C16" s="157">
        <v>0</v>
      </c>
      <c r="D16" s="157">
        <v>0</v>
      </c>
      <c r="E16" s="157">
        <f>+D16-C16</f>
        <v>0</v>
      </c>
      <c r="F16" s="161">
        <f>IF(C16=0,0,E16/C16)</f>
        <v>0</v>
      </c>
    </row>
    <row r="17" spans="1:6" ht="15" customHeight="1" x14ac:dyDescent="0.2">
      <c r="A17" s="147">
        <v>3</v>
      </c>
      <c r="B17" s="160" t="s">
        <v>158</v>
      </c>
      <c r="C17" s="157">
        <v>480062000</v>
      </c>
      <c r="D17" s="157">
        <v>475792000</v>
      </c>
      <c r="E17" s="157">
        <f>+D17-C17</f>
        <v>-4270000</v>
      </c>
      <c r="F17" s="161">
        <f>IF(C17=0,0,E17/C17)</f>
        <v>-8.8946844365936067E-3</v>
      </c>
    </row>
    <row r="18" spans="1:6" ht="15.75" customHeight="1" x14ac:dyDescent="0.25">
      <c r="A18" s="147"/>
      <c r="B18" s="162" t="s">
        <v>159</v>
      </c>
      <c r="C18" s="158">
        <f>SUM(C15:C17)</f>
        <v>808684000</v>
      </c>
      <c r="D18" s="158">
        <f>SUM(D15:D17)</f>
        <v>817890000</v>
      </c>
      <c r="E18" s="158">
        <f>+D18-C18</f>
        <v>9206000</v>
      </c>
      <c r="F18" s="159">
        <f>IF(C18=0,0,E18/C18)</f>
        <v>1.1383927467342002E-2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91823000</v>
      </c>
      <c r="D21" s="157">
        <v>98661000</v>
      </c>
      <c r="E21" s="157">
        <f>+D21-C21</f>
        <v>6838000</v>
      </c>
      <c r="F21" s="161">
        <f>IF(C21=0,0,E21/C21)</f>
        <v>7.4469359528658394E-2</v>
      </c>
    </row>
    <row r="22" spans="1:6" ht="15" customHeight="1" x14ac:dyDescent="0.2">
      <c r="A22" s="147">
        <v>2</v>
      </c>
      <c r="B22" s="160" t="s">
        <v>162</v>
      </c>
      <c r="C22" s="157">
        <v>0</v>
      </c>
      <c r="D22" s="157">
        <v>0</v>
      </c>
      <c r="E22" s="157">
        <f>+D22-C22</f>
        <v>0</v>
      </c>
      <c r="F22" s="161">
        <f>IF(C22=0,0,E22/C22)</f>
        <v>0</v>
      </c>
    </row>
    <row r="23" spans="1:6" ht="15" customHeight="1" x14ac:dyDescent="0.2">
      <c r="A23" s="147">
        <v>3</v>
      </c>
      <c r="B23" s="160" t="s">
        <v>163</v>
      </c>
      <c r="C23" s="157">
        <v>134138000</v>
      </c>
      <c r="D23" s="157">
        <v>137189000</v>
      </c>
      <c r="E23" s="157">
        <f>+D23-C23</f>
        <v>3051000</v>
      </c>
      <c r="F23" s="161">
        <f>IF(C23=0,0,E23/C23)</f>
        <v>2.274523252173135E-2</v>
      </c>
    </row>
    <row r="24" spans="1:6" ht="15.75" customHeight="1" x14ac:dyDescent="0.25">
      <c r="A24" s="147"/>
      <c r="B24" s="162" t="s">
        <v>164</v>
      </c>
      <c r="C24" s="158">
        <f>SUM(C21:C23)</f>
        <v>225961000</v>
      </c>
      <c r="D24" s="158">
        <f>SUM(D21:D23)</f>
        <v>235850000</v>
      </c>
      <c r="E24" s="158">
        <f>+D24-C24</f>
        <v>9889000</v>
      </c>
      <c r="F24" s="159">
        <f>IF(C24=0,0,E24/C24)</f>
        <v>4.3764189395515157E-2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4283000</v>
      </c>
      <c r="D27" s="157">
        <v>6780000</v>
      </c>
      <c r="E27" s="157">
        <f>+D27-C27</f>
        <v>2497000</v>
      </c>
      <c r="F27" s="161">
        <f>IF(C27=0,0,E27/C27)</f>
        <v>0.58300256829325237</v>
      </c>
    </row>
    <row r="28" spans="1:6" ht="15" customHeight="1" x14ac:dyDescent="0.2">
      <c r="A28" s="147">
        <v>2</v>
      </c>
      <c r="B28" s="160" t="s">
        <v>167</v>
      </c>
      <c r="C28" s="157">
        <v>86460000</v>
      </c>
      <c r="D28" s="157">
        <v>89392000</v>
      </c>
      <c r="E28" s="157">
        <f>+D28-C28</f>
        <v>2932000</v>
      </c>
      <c r="F28" s="161">
        <f>IF(C28=0,0,E28/C28)</f>
        <v>3.3911635438352995E-2</v>
      </c>
    </row>
    <row r="29" spans="1:6" ht="15" customHeight="1" x14ac:dyDescent="0.2">
      <c r="A29" s="147">
        <v>3</v>
      </c>
      <c r="B29" s="160" t="s">
        <v>168</v>
      </c>
      <c r="C29" s="157">
        <v>165763000</v>
      </c>
      <c r="D29" s="157">
        <v>203284000</v>
      </c>
      <c r="E29" s="157">
        <f>+D29-C29</f>
        <v>37521000</v>
      </c>
      <c r="F29" s="161">
        <f>IF(C29=0,0,E29/C29)</f>
        <v>0.22635328752496034</v>
      </c>
    </row>
    <row r="30" spans="1:6" ht="15.75" customHeight="1" x14ac:dyDescent="0.25">
      <c r="A30" s="147"/>
      <c r="B30" s="162" t="s">
        <v>169</v>
      </c>
      <c r="C30" s="158">
        <f>SUM(C27:C29)</f>
        <v>256506000</v>
      </c>
      <c r="D30" s="158">
        <f>SUM(D27:D29)</f>
        <v>299456000</v>
      </c>
      <c r="E30" s="158">
        <f>+D30-C30</f>
        <v>42950000</v>
      </c>
      <c r="F30" s="159">
        <f>IF(C30=0,0,E30/C30)</f>
        <v>0.16744247697909601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210740000</v>
      </c>
      <c r="D33" s="157">
        <v>239291000</v>
      </c>
      <c r="E33" s="157">
        <f>+D33-C33</f>
        <v>28551000</v>
      </c>
      <c r="F33" s="161">
        <f>IF(C33=0,0,E33/C33)</f>
        <v>0.13547973806586314</v>
      </c>
    </row>
    <row r="34" spans="1:6" ht="15" customHeight="1" x14ac:dyDescent="0.2">
      <c r="A34" s="147">
        <v>2</v>
      </c>
      <c r="B34" s="160" t="s">
        <v>173</v>
      </c>
      <c r="C34" s="157">
        <v>165269000</v>
      </c>
      <c r="D34" s="157">
        <v>218042000</v>
      </c>
      <c r="E34" s="157">
        <f>+D34-C34</f>
        <v>52773000</v>
      </c>
      <c r="F34" s="161">
        <f>IF(C34=0,0,E34/C34)</f>
        <v>0.31931578214910239</v>
      </c>
    </row>
    <row r="35" spans="1:6" ht="15.75" customHeight="1" x14ac:dyDescent="0.25">
      <c r="A35" s="147"/>
      <c r="B35" s="162" t="s">
        <v>174</v>
      </c>
      <c r="C35" s="158">
        <f>SUM(C33:C34)</f>
        <v>376009000</v>
      </c>
      <c r="D35" s="158">
        <f>SUM(D33:D34)</f>
        <v>457333000</v>
      </c>
      <c r="E35" s="158">
        <f>+D35-C35</f>
        <v>81324000</v>
      </c>
      <c r="F35" s="159">
        <f>IF(C35=0,0,E35/C35)</f>
        <v>0.21628205707842099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47480000</v>
      </c>
      <c r="D38" s="157">
        <v>46169000</v>
      </c>
      <c r="E38" s="157">
        <f>+D38-C38</f>
        <v>-1311000</v>
      </c>
      <c r="F38" s="161">
        <f>IF(C38=0,0,E38/C38)</f>
        <v>-2.761162594776748E-2</v>
      </c>
    </row>
    <row r="39" spans="1:6" ht="15" customHeight="1" x14ac:dyDescent="0.2">
      <c r="A39" s="147">
        <v>2</v>
      </c>
      <c r="B39" s="160" t="s">
        <v>178</v>
      </c>
      <c r="C39" s="157">
        <v>75063000</v>
      </c>
      <c r="D39" s="157">
        <v>72988000</v>
      </c>
      <c r="E39" s="157">
        <f>+D39-C39</f>
        <v>-2075000</v>
      </c>
      <c r="F39" s="161">
        <f>IF(C39=0,0,E39/C39)</f>
        <v>-2.7643446171882285E-2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122543000</v>
      </c>
      <c r="D41" s="158">
        <f>SUM(D38:D40)</f>
        <v>119157000</v>
      </c>
      <c r="E41" s="158">
        <f>+D41-C41</f>
        <v>-3386000</v>
      </c>
      <c r="F41" s="159">
        <f>IF(C41=0,0,E41/C41)</f>
        <v>-2.7631117240478852E-2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23742000</v>
      </c>
      <c r="D47" s="157">
        <v>20696000</v>
      </c>
      <c r="E47" s="157">
        <f>+D47-C47</f>
        <v>-3046000</v>
      </c>
      <c r="F47" s="161">
        <f>IF(C47=0,0,E47/C47)</f>
        <v>-0.12829584702215482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12248000</v>
      </c>
      <c r="D50" s="157">
        <v>14594000</v>
      </c>
      <c r="E50" s="157">
        <f>+D50-C50</f>
        <v>2346000</v>
      </c>
      <c r="F50" s="161">
        <f>IF(C50=0,0,E50/C50)</f>
        <v>0.19154147615937295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1589000</v>
      </c>
      <c r="D53" s="157">
        <v>1794000</v>
      </c>
      <c r="E53" s="157">
        <f t="shared" ref="E53:E59" si="0">+D53-C53</f>
        <v>205000</v>
      </c>
      <c r="F53" s="161">
        <f t="shared" ref="F53:F59" si="1">IF(C53=0,0,E53/C53)</f>
        <v>0.12901195720578981</v>
      </c>
    </row>
    <row r="54" spans="1:6" ht="15" customHeight="1" x14ac:dyDescent="0.2">
      <c r="A54" s="147">
        <v>2</v>
      </c>
      <c r="B54" s="160" t="s">
        <v>189</v>
      </c>
      <c r="C54" s="157">
        <v>1873000</v>
      </c>
      <c r="D54" s="157">
        <v>1451000</v>
      </c>
      <c r="E54" s="157">
        <f t="shared" si="0"/>
        <v>-422000</v>
      </c>
      <c r="F54" s="161">
        <f t="shared" si="1"/>
        <v>-0.22530699412706887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19096000</v>
      </c>
      <c r="D56" s="157">
        <v>21571000</v>
      </c>
      <c r="E56" s="157">
        <f t="shared" si="0"/>
        <v>2475000</v>
      </c>
      <c r="F56" s="161">
        <f t="shared" si="1"/>
        <v>0.12960829493087558</v>
      </c>
    </row>
    <row r="57" spans="1:6" ht="15" customHeight="1" x14ac:dyDescent="0.2">
      <c r="A57" s="147">
        <v>5</v>
      </c>
      <c r="B57" s="160" t="s">
        <v>192</v>
      </c>
      <c r="C57" s="157">
        <v>3945000</v>
      </c>
      <c r="D57" s="157">
        <v>3314000</v>
      </c>
      <c r="E57" s="157">
        <f t="shared" si="0"/>
        <v>-631000</v>
      </c>
      <c r="F57" s="161">
        <f t="shared" si="1"/>
        <v>-0.15994930291508239</v>
      </c>
    </row>
    <row r="58" spans="1:6" ht="15" customHeight="1" x14ac:dyDescent="0.2">
      <c r="A58" s="147">
        <v>6</v>
      </c>
      <c r="B58" s="160" t="s">
        <v>193</v>
      </c>
      <c r="C58" s="157">
        <v>1225000</v>
      </c>
      <c r="D58" s="157">
        <v>1326000</v>
      </c>
      <c r="E58" s="157">
        <f t="shared" si="0"/>
        <v>101000</v>
      </c>
      <c r="F58" s="161">
        <f t="shared" si="1"/>
        <v>8.2448979591836738E-2</v>
      </c>
    </row>
    <row r="59" spans="1:6" ht="15.75" customHeight="1" x14ac:dyDescent="0.25">
      <c r="A59" s="147"/>
      <c r="B59" s="162" t="s">
        <v>194</v>
      </c>
      <c r="C59" s="158">
        <f>SUM(C53:C58)</f>
        <v>27728000</v>
      </c>
      <c r="D59" s="158">
        <f>SUM(D53:D58)</f>
        <v>29456000</v>
      </c>
      <c r="E59" s="158">
        <f t="shared" si="0"/>
        <v>1728000</v>
      </c>
      <c r="F59" s="159">
        <f t="shared" si="1"/>
        <v>6.2319676860934793E-2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1372000</v>
      </c>
      <c r="D62" s="157">
        <v>1065000</v>
      </c>
      <c r="E62" s="157">
        <f t="shared" ref="E62:E90" si="2">+D62-C62</f>
        <v>-307000</v>
      </c>
      <c r="F62" s="161">
        <f t="shared" ref="F62:F90" si="3">IF(C62=0,0,E62/C62)</f>
        <v>-0.22376093294460642</v>
      </c>
    </row>
    <row r="63" spans="1:6" ht="15" customHeight="1" x14ac:dyDescent="0.2">
      <c r="A63" s="147">
        <v>2</v>
      </c>
      <c r="B63" s="160" t="s">
        <v>198</v>
      </c>
      <c r="C63" s="157">
        <v>4093000</v>
      </c>
      <c r="D63" s="157">
        <v>3463000</v>
      </c>
      <c r="E63" s="157">
        <f t="shared" si="2"/>
        <v>-630000</v>
      </c>
      <c r="F63" s="161">
        <f t="shared" si="3"/>
        <v>-0.15392132909846079</v>
      </c>
    </row>
    <row r="64" spans="1:6" ht="15" customHeight="1" x14ac:dyDescent="0.2">
      <c r="A64" s="147">
        <v>3</v>
      </c>
      <c r="B64" s="160" t="s">
        <v>199</v>
      </c>
      <c r="C64" s="157">
        <v>236000</v>
      </c>
      <c r="D64" s="157">
        <v>456000</v>
      </c>
      <c r="E64" s="157">
        <f t="shared" si="2"/>
        <v>220000</v>
      </c>
      <c r="F64" s="161">
        <f t="shared" si="3"/>
        <v>0.93220338983050843</v>
      </c>
    </row>
    <row r="65" spans="1:6" ht="15" customHeight="1" x14ac:dyDescent="0.2">
      <c r="A65" s="147">
        <v>4</v>
      </c>
      <c r="B65" s="160" t="s">
        <v>200</v>
      </c>
      <c r="C65" s="157">
        <v>1840000</v>
      </c>
      <c r="D65" s="157">
        <v>1943000</v>
      </c>
      <c r="E65" s="157">
        <f t="shared" si="2"/>
        <v>103000</v>
      </c>
      <c r="F65" s="161">
        <f t="shared" si="3"/>
        <v>5.597826086956522E-2</v>
      </c>
    </row>
    <row r="66" spans="1:6" ht="15" customHeight="1" x14ac:dyDescent="0.2">
      <c r="A66" s="147">
        <v>5</v>
      </c>
      <c r="B66" s="160" t="s">
        <v>201</v>
      </c>
      <c r="C66" s="157">
        <v>6760000</v>
      </c>
      <c r="D66" s="157">
        <v>6357000</v>
      </c>
      <c r="E66" s="157">
        <f t="shared" si="2"/>
        <v>-403000</v>
      </c>
      <c r="F66" s="161">
        <f t="shared" si="3"/>
        <v>-5.9615384615384619E-2</v>
      </c>
    </row>
    <row r="67" spans="1:6" ht="15" customHeight="1" x14ac:dyDescent="0.2">
      <c r="A67" s="147">
        <v>6</v>
      </c>
      <c r="B67" s="160" t="s">
        <v>202</v>
      </c>
      <c r="C67" s="157">
        <v>18706000</v>
      </c>
      <c r="D67" s="157">
        <v>23520000</v>
      </c>
      <c r="E67" s="157">
        <f t="shared" si="2"/>
        <v>4814000</v>
      </c>
      <c r="F67" s="161">
        <f t="shared" si="3"/>
        <v>0.25735058270073774</v>
      </c>
    </row>
    <row r="68" spans="1:6" ht="15" customHeight="1" x14ac:dyDescent="0.2">
      <c r="A68" s="147">
        <v>7</v>
      </c>
      <c r="B68" s="160" t="s">
        <v>203</v>
      </c>
      <c r="C68" s="157">
        <v>37095000</v>
      </c>
      <c r="D68" s="157">
        <v>35045000</v>
      </c>
      <c r="E68" s="157">
        <f t="shared" si="2"/>
        <v>-2050000</v>
      </c>
      <c r="F68" s="161">
        <f t="shared" si="3"/>
        <v>-5.5263512602776656E-2</v>
      </c>
    </row>
    <row r="69" spans="1:6" ht="15" customHeight="1" x14ac:dyDescent="0.2">
      <c r="A69" s="147">
        <v>8</v>
      </c>
      <c r="B69" s="160" t="s">
        <v>204</v>
      </c>
      <c r="C69" s="157">
        <v>2561000</v>
      </c>
      <c r="D69" s="157">
        <v>2358000</v>
      </c>
      <c r="E69" s="157">
        <f t="shared" si="2"/>
        <v>-203000</v>
      </c>
      <c r="F69" s="161">
        <f t="shared" si="3"/>
        <v>-7.9265911753221396E-2</v>
      </c>
    </row>
    <row r="70" spans="1:6" ht="15" customHeight="1" x14ac:dyDescent="0.2">
      <c r="A70" s="147">
        <v>9</v>
      </c>
      <c r="B70" s="160" t="s">
        <v>205</v>
      </c>
      <c r="C70" s="157">
        <v>6000</v>
      </c>
      <c r="D70" s="157">
        <v>4000</v>
      </c>
      <c r="E70" s="157">
        <f t="shared" si="2"/>
        <v>-2000</v>
      </c>
      <c r="F70" s="161">
        <f t="shared" si="3"/>
        <v>-0.33333333333333331</v>
      </c>
    </row>
    <row r="71" spans="1:6" ht="15" customHeight="1" x14ac:dyDescent="0.2">
      <c r="A71" s="147">
        <v>10</v>
      </c>
      <c r="B71" s="160" t="s">
        <v>206</v>
      </c>
      <c r="C71" s="157">
        <v>2927000</v>
      </c>
      <c r="D71" s="157">
        <v>2947000</v>
      </c>
      <c r="E71" s="157">
        <f t="shared" si="2"/>
        <v>20000</v>
      </c>
      <c r="F71" s="161">
        <f t="shared" si="3"/>
        <v>6.8329347454731812E-3</v>
      </c>
    </row>
    <row r="72" spans="1:6" ht="15" customHeight="1" x14ac:dyDescent="0.2">
      <c r="A72" s="147">
        <v>11</v>
      </c>
      <c r="B72" s="160" t="s">
        <v>207</v>
      </c>
      <c r="C72" s="157">
        <v>4203000</v>
      </c>
      <c r="D72" s="157">
        <v>4488000</v>
      </c>
      <c r="E72" s="157">
        <f t="shared" si="2"/>
        <v>285000</v>
      </c>
      <c r="F72" s="161">
        <f t="shared" si="3"/>
        <v>6.7808708065667384E-2</v>
      </c>
    </row>
    <row r="73" spans="1:6" ht="15" customHeight="1" x14ac:dyDescent="0.2">
      <c r="A73" s="147">
        <v>12</v>
      </c>
      <c r="B73" s="160" t="s">
        <v>208</v>
      </c>
      <c r="C73" s="157">
        <v>20416000</v>
      </c>
      <c r="D73" s="157">
        <v>20729000</v>
      </c>
      <c r="E73" s="157">
        <f t="shared" si="2"/>
        <v>313000</v>
      </c>
      <c r="F73" s="161">
        <f t="shared" si="3"/>
        <v>1.5331112852664577E-2</v>
      </c>
    </row>
    <row r="74" spans="1:6" ht="15" customHeight="1" x14ac:dyDescent="0.2">
      <c r="A74" s="147">
        <v>13</v>
      </c>
      <c r="B74" s="160" t="s">
        <v>209</v>
      </c>
      <c r="C74" s="157">
        <v>1639000</v>
      </c>
      <c r="D74" s="157">
        <v>1556000</v>
      </c>
      <c r="E74" s="157">
        <f t="shared" si="2"/>
        <v>-83000</v>
      </c>
      <c r="F74" s="161">
        <f t="shared" si="3"/>
        <v>-5.0640634533251981E-2</v>
      </c>
    </row>
    <row r="75" spans="1:6" ht="15" customHeight="1" x14ac:dyDescent="0.2">
      <c r="A75" s="147">
        <v>14</v>
      </c>
      <c r="B75" s="160" t="s">
        <v>210</v>
      </c>
      <c r="C75" s="157">
        <v>867000</v>
      </c>
      <c r="D75" s="157">
        <v>884000</v>
      </c>
      <c r="E75" s="157">
        <f t="shared" si="2"/>
        <v>17000</v>
      </c>
      <c r="F75" s="161">
        <f t="shared" si="3"/>
        <v>1.9607843137254902E-2</v>
      </c>
    </row>
    <row r="76" spans="1:6" ht="15" customHeight="1" x14ac:dyDescent="0.2">
      <c r="A76" s="147">
        <v>15</v>
      </c>
      <c r="B76" s="160" t="s">
        <v>211</v>
      </c>
      <c r="C76" s="157">
        <v>72000</v>
      </c>
      <c r="D76" s="157">
        <v>622000</v>
      </c>
      <c r="E76" s="157">
        <f t="shared" si="2"/>
        <v>550000</v>
      </c>
      <c r="F76" s="161">
        <f t="shared" si="3"/>
        <v>7.6388888888888893</v>
      </c>
    </row>
    <row r="77" spans="1:6" ht="15" customHeight="1" x14ac:dyDescent="0.2">
      <c r="A77" s="147">
        <v>16</v>
      </c>
      <c r="B77" s="160" t="s">
        <v>212</v>
      </c>
      <c r="C77" s="157">
        <v>28104000</v>
      </c>
      <c r="D77" s="157">
        <v>29760000</v>
      </c>
      <c r="E77" s="157">
        <f t="shared" si="2"/>
        <v>1656000</v>
      </c>
      <c r="F77" s="161">
        <f t="shared" si="3"/>
        <v>5.8923996584116137E-2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893000</v>
      </c>
      <c r="D79" s="157">
        <v>463000</v>
      </c>
      <c r="E79" s="157">
        <f t="shared" si="2"/>
        <v>-430000</v>
      </c>
      <c r="F79" s="161">
        <f t="shared" si="3"/>
        <v>-0.48152295632698766</v>
      </c>
    </row>
    <row r="80" spans="1:6" ht="15" customHeight="1" x14ac:dyDescent="0.2">
      <c r="A80" s="147">
        <v>19</v>
      </c>
      <c r="B80" s="160" t="s">
        <v>215</v>
      </c>
      <c r="C80" s="157">
        <v>3067000</v>
      </c>
      <c r="D80" s="157">
        <v>3164000</v>
      </c>
      <c r="E80" s="157">
        <f t="shared" si="2"/>
        <v>97000</v>
      </c>
      <c r="F80" s="161">
        <f t="shared" si="3"/>
        <v>3.1626997065536358E-2</v>
      </c>
    </row>
    <row r="81" spans="1:6" ht="15" customHeight="1" x14ac:dyDescent="0.2">
      <c r="A81" s="147">
        <v>20</v>
      </c>
      <c r="B81" s="160" t="s">
        <v>216</v>
      </c>
      <c r="C81" s="157">
        <v>16288000</v>
      </c>
      <c r="D81" s="157">
        <v>14213000</v>
      </c>
      <c r="E81" s="157">
        <f t="shared" si="2"/>
        <v>-2075000</v>
      </c>
      <c r="F81" s="161">
        <f t="shared" si="3"/>
        <v>-0.12739440078585462</v>
      </c>
    </row>
    <row r="82" spans="1:6" ht="15" customHeight="1" x14ac:dyDescent="0.2">
      <c r="A82" s="147">
        <v>21</v>
      </c>
      <c r="B82" s="160" t="s">
        <v>217</v>
      </c>
      <c r="C82" s="157">
        <v>1015000</v>
      </c>
      <c r="D82" s="157">
        <v>1251000</v>
      </c>
      <c r="E82" s="157">
        <f t="shared" si="2"/>
        <v>236000</v>
      </c>
      <c r="F82" s="161">
        <f t="shared" si="3"/>
        <v>0.23251231527093597</v>
      </c>
    </row>
    <row r="83" spans="1:6" ht="15" customHeight="1" x14ac:dyDescent="0.2">
      <c r="A83" s="147">
        <v>22</v>
      </c>
      <c r="B83" s="160" t="s">
        <v>218</v>
      </c>
      <c r="C83" s="157">
        <v>682000</v>
      </c>
      <c r="D83" s="157">
        <v>400000</v>
      </c>
      <c r="E83" s="157">
        <f t="shared" si="2"/>
        <v>-282000</v>
      </c>
      <c r="F83" s="161">
        <f t="shared" si="3"/>
        <v>-0.41348973607038125</v>
      </c>
    </row>
    <row r="84" spans="1:6" ht="15" customHeight="1" x14ac:dyDescent="0.2">
      <c r="A84" s="147">
        <v>23</v>
      </c>
      <c r="B84" s="160" t="s">
        <v>219</v>
      </c>
      <c r="C84" s="157">
        <v>5894000</v>
      </c>
      <c r="D84" s="157">
        <v>6092000</v>
      </c>
      <c r="E84" s="157">
        <f t="shared" si="2"/>
        <v>198000</v>
      </c>
      <c r="F84" s="161">
        <f t="shared" si="3"/>
        <v>3.3593484899898204E-2</v>
      </c>
    </row>
    <row r="85" spans="1:6" ht="15" customHeight="1" x14ac:dyDescent="0.2">
      <c r="A85" s="147">
        <v>24</v>
      </c>
      <c r="B85" s="160" t="s">
        <v>220</v>
      </c>
      <c r="C85" s="157">
        <v>4956000</v>
      </c>
      <c r="D85" s="157">
        <v>3982000</v>
      </c>
      <c r="E85" s="157">
        <f t="shared" si="2"/>
        <v>-974000</v>
      </c>
      <c r="F85" s="161">
        <f t="shared" si="3"/>
        <v>-0.19652945924132365</v>
      </c>
    </row>
    <row r="86" spans="1:6" ht="15" customHeight="1" x14ac:dyDescent="0.2">
      <c r="A86" s="147">
        <v>25</v>
      </c>
      <c r="B86" s="160" t="s">
        <v>221</v>
      </c>
      <c r="C86" s="157">
        <v>1680000</v>
      </c>
      <c r="D86" s="157">
        <v>1950000</v>
      </c>
      <c r="E86" s="157">
        <f t="shared" si="2"/>
        <v>270000</v>
      </c>
      <c r="F86" s="161">
        <f t="shared" si="3"/>
        <v>0.16071428571428573</v>
      </c>
    </row>
    <row r="87" spans="1:6" ht="15" customHeight="1" x14ac:dyDescent="0.2">
      <c r="A87" s="147">
        <v>26</v>
      </c>
      <c r="B87" s="160" t="s">
        <v>222</v>
      </c>
      <c r="C87" s="157">
        <v>133544000</v>
      </c>
      <c r="D87" s="157">
        <v>135425000</v>
      </c>
      <c r="E87" s="157">
        <f t="shared" si="2"/>
        <v>1881000</v>
      </c>
      <c r="F87" s="161">
        <f t="shared" si="3"/>
        <v>1.4085245312406397E-2</v>
      </c>
    </row>
    <row r="88" spans="1:6" ht="15" customHeight="1" x14ac:dyDescent="0.2">
      <c r="A88" s="147">
        <v>27</v>
      </c>
      <c r="B88" s="160" t="s">
        <v>223</v>
      </c>
      <c r="C88" s="157">
        <v>112249000</v>
      </c>
      <c r="D88" s="157">
        <v>113015000</v>
      </c>
      <c r="E88" s="157">
        <f t="shared" si="2"/>
        <v>766000</v>
      </c>
      <c r="F88" s="161">
        <f t="shared" si="3"/>
        <v>6.8241142460066457E-3</v>
      </c>
    </row>
    <row r="89" spans="1:6" ht="15" customHeight="1" x14ac:dyDescent="0.2">
      <c r="A89" s="147">
        <v>28</v>
      </c>
      <c r="B89" s="160" t="s">
        <v>224</v>
      </c>
      <c r="C89" s="157">
        <v>2772000</v>
      </c>
      <c r="D89" s="157">
        <v>3780000</v>
      </c>
      <c r="E89" s="157">
        <f t="shared" si="2"/>
        <v>1008000</v>
      </c>
      <c r="F89" s="161">
        <f t="shared" si="3"/>
        <v>0.36363636363636365</v>
      </c>
    </row>
    <row r="90" spans="1:6" ht="15.75" customHeight="1" x14ac:dyDescent="0.25">
      <c r="A90" s="147"/>
      <c r="B90" s="162" t="s">
        <v>225</v>
      </c>
      <c r="C90" s="158">
        <f>SUM(C62:C89)</f>
        <v>413937000</v>
      </c>
      <c r="D90" s="158">
        <f>SUM(D62:D89)</f>
        <v>418932000</v>
      </c>
      <c r="E90" s="158">
        <f t="shared" si="2"/>
        <v>4995000</v>
      </c>
      <c r="F90" s="159">
        <f t="shared" si="3"/>
        <v>1.2067053682082055E-2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2267358000</v>
      </c>
      <c r="D95" s="158">
        <f>+D93+D90+D59+D50+D47+D44+D41+D35+D30+D24+D18</f>
        <v>2413364000</v>
      </c>
      <c r="E95" s="158">
        <f>+D95-C95</f>
        <v>146006000</v>
      </c>
      <c r="F95" s="159">
        <f>IF(C95=0,0,E95/C95)</f>
        <v>6.4394771359441258E-2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75441333</v>
      </c>
      <c r="D103" s="157">
        <v>72496443</v>
      </c>
      <c r="E103" s="157">
        <f t="shared" ref="E103:E121" si="4">D103-C103</f>
        <v>-2944890</v>
      </c>
      <c r="F103" s="161">
        <f t="shared" ref="F103:F121" si="5">IF(C103=0,0,E103/C103)</f>
        <v>-3.903549795441711E-2</v>
      </c>
    </row>
    <row r="104" spans="1:6" ht="15" customHeight="1" x14ac:dyDescent="0.2">
      <c r="A104" s="147">
        <v>2</v>
      </c>
      <c r="B104" s="169" t="s">
        <v>234</v>
      </c>
      <c r="C104" s="157">
        <v>5939855</v>
      </c>
      <c r="D104" s="157">
        <v>5896204</v>
      </c>
      <c r="E104" s="157">
        <f t="shared" si="4"/>
        <v>-43651</v>
      </c>
      <c r="F104" s="161">
        <f t="shared" si="5"/>
        <v>-7.3488325893477195E-3</v>
      </c>
    </row>
    <row r="105" spans="1:6" ht="15" customHeight="1" x14ac:dyDescent="0.2">
      <c r="A105" s="147">
        <v>3</v>
      </c>
      <c r="B105" s="169" t="s">
        <v>235</v>
      </c>
      <c r="C105" s="157">
        <v>33733020</v>
      </c>
      <c r="D105" s="157">
        <v>65322534</v>
      </c>
      <c r="E105" s="157">
        <f t="shared" si="4"/>
        <v>31589514</v>
      </c>
      <c r="F105" s="161">
        <f t="shared" si="5"/>
        <v>0.93645674179187044</v>
      </c>
    </row>
    <row r="106" spans="1:6" ht="15" customHeight="1" x14ac:dyDescent="0.2">
      <c r="A106" s="147">
        <v>4</v>
      </c>
      <c r="B106" s="169" t="s">
        <v>236</v>
      </c>
      <c r="C106" s="157">
        <v>13799808</v>
      </c>
      <c r="D106" s="157">
        <v>208707</v>
      </c>
      <c r="E106" s="157">
        <f t="shared" si="4"/>
        <v>-13591101</v>
      </c>
      <c r="F106" s="161">
        <f t="shared" si="5"/>
        <v>-0.98487609392826336</v>
      </c>
    </row>
    <row r="107" spans="1:6" ht="15" customHeight="1" x14ac:dyDescent="0.2">
      <c r="A107" s="147">
        <v>5</v>
      </c>
      <c r="B107" s="169" t="s">
        <v>237</v>
      </c>
      <c r="C107" s="157">
        <v>0</v>
      </c>
      <c r="D107" s="157">
        <v>0</v>
      </c>
      <c r="E107" s="157">
        <f t="shared" si="4"/>
        <v>0</v>
      </c>
      <c r="F107" s="161">
        <f t="shared" si="5"/>
        <v>0</v>
      </c>
    </row>
    <row r="108" spans="1:6" ht="15" customHeight="1" x14ac:dyDescent="0.2">
      <c r="A108" s="147">
        <v>6</v>
      </c>
      <c r="B108" s="169" t="s">
        <v>238</v>
      </c>
      <c r="C108" s="157">
        <v>7074250</v>
      </c>
      <c r="D108" s="157">
        <v>6622266</v>
      </c>
      <c r="E108" s="157">
        <f t="shared" si="4"/>
        <v>-451984</v>
      </c>
      <c r="F108" s="161">
        <f t="shared" si="5"/>
        <v>-6.3891437254832664E-2</v>
      </c>
    </row>
    <row r="109" spans="1:6" ht="15" customHeight="1" x14ac:dyDescent="0.2">
      <c r="A109" s="147">
        <v>7</v>
      </c>
      <c r="B109" s="169" t="s">
        <v>239</v>
      </c>
      <c r="C109" s="157">
        <v>3988465</v>
      </c>
      <c r="D109" s="157">
        <v>4433538</v>
      </c>
      <c r="E109" s="157">
        <f t="shared" si="4"/>
        <v>445073</v>
      </c>
      <c r="F109" s="161">
        <f t="shared" si="5"/>
        <v>0.11159004780034425</v>
      </c>
    </row>
    <row r="110" spans="1:6" ht="15" customHeight="1" x14ac:dyDescent="0.2">
      <c r="A110" s="147">
        <v>8</v>
      </c>
      <c r="B110" s="169" t="s">
        <v>240</v>
      </c>
      <c r="C110" s="157">
        <v>1203681</v>
      </c>
      <c r="D110" s="157">
        <v>1244128</v>
      </c>
      <c r="E110" s="157">
        <f t="shared" si="4"/>
        <v>40447</v>
      </c>
      <c r="F110" s="161">
        <f t="shared" si="5"/>
        <v>3.360275687661432E-2</v>
      </c>
    </row>
    <row r="111" spans="1:6" ht="15" customHeight="1" x14ac:dyDescent="0.2">
      <c r="A111" s="147">
        <v>9</v>
      </c>
      <c r="B111" s="169" t="s">
        <v>241</v>
      </c>
      <c r="C111" s="157">
        <v>4116140</v>
      </c>
      <c r="D111" s="157">
        <v>5570171</v>
      </c>
      <c r="E111" s="157">
        <f t="shared" si="4"/>
        <v>1454031</v>
      </c>
      <c r="F111" s="161">
        <f t="shared" si="5"/>
        <v>0.35325110418984779</v>
      </c>
    </row>
    <row r="112" spans="1:6" ht="15" customHeight="1" x14ac:dyDescent="0.2">
      <c r="A112" s="147">
        <v>10</v>
      </c>
      <c r="B112" s="169" t="s">
        <v>242</v>
      </c>
      <c r="C112" s="157">
        <v>30247701</v>
      </c>
      <c r="D112" s="157">
        <v>31257833</v>
      </c>
      <c r="E112" s="157">
        <f t="shared" si="4"/>
        <v>1010132</v>
      </c>
      <c r="F112" s="161">
        <f t="shared" si="5"/>
        <v>3.3395331433618704E-2</v>
      </c>
    </row>
    <row r="113" spans="1:6" ht="15" customHeight="1" x14ac:dyDescent="0.2">
      <c r="A113" s="147">
        <v>11</v>
      </c>
      <c r="B113" s="169" t="s">
        <v>243</v>
      </c>
      <c r="C113" s="157">
        <v>26844377</v>
      </c>
      <c r="D113" s="157">
        <v>26191764</v>
      </c>
      <c r="E113" s="157">
        <f t="shared" si="4"/>
        <v>-652613</v>
      </c>
      <c r="F113" s="161">
        <f t="shared" si="5"/>
        <v>-2.4310975814413573E-2</v>
      </c>
    </row>
    <row r="114" spans="1:6" ht="15" customHeight="1" x14ac:dyDescent="0.2">
      <c r="A114" s="147">
        <v>12</v>
      </c>
      <c r="B114" s="169" t="s">
        <v>244</v>
      </c>
      <c r="C114" s="157">
        <v>259642</v>
      </c>
      <c r="D114" s="157">
        <v>338472</v>
      </c>
      <c r="E114" s="157">
        <f t="shared" si="4"/>
        <v>78830</v>
      </c>
      <c r="F114" s="161">
        <f t="shared" si="5"/>
        <v>0.30361035579759821</v>
      </c>
    </row>
    <row r="115" spans="1:6" ht="15" customHeight="1" x14ac:dyDescent="0.2">
      <c r="A115" s="147">
        <v>13</v>
      </c>
      <c r="B115" s="169" t="s">
        <v>245</v>
      </c>
      <c r="C115" s="157">
        <v>31787858</v>
      </c>
      <c r="D115" s="157">
        <v>37060046</v>
      </c>
      <c r="E115" s="157">
        <f t="shared" si="4"/>
        <v>5272188</v>
      </c>
      <c r="F115" s="161">
        <f t="shared" si="5"/>
        <v>0.16585540302841417</v>
      </c>
    </row>
    <row r="116" spans="1:6" ht="15" customHeight="1" x14ac:dyDescent="0.2">
      <c r="A116" s="147">
        <v>14</v>
      </c>
      <c r="B116" s="169" t="s">
        <v>246</v>
      </c>
      <c r="C116" s="157">
        <v>9481819</v>
      </c>
      <c r="D116" s="157">
        <v>10559123</v>
      </c>
      <c r="E116" s="157">
        <f t="shared" si="4"/>
        <v>1077304</v>
      </c>
      <c r="F116" s="161">
        <f t="shared" si="5"/>
        <v>0.11361786172041462</v>
      </c>
    </row>
    <row r="117" spans="1:6" ht="15" customHeight="1" x14ac:dyDescent="0.2">
      <c r="A117" s="147">
        <v>15</v>
      </c>
      <c r="B117" s="169" t="s">
        <v>203</v>
      </c>
      <c r="C117" s="157">
        <v>26526956</v>
      </c>
      <c r="D117" s="157">
        <v>27381341</v>
      </c>
      <c r="E117" s="157">
        <f t="shared" si="4"/>
        <v>854385</v>
      </c>
      <c r="F117" s="161">
        <f t="shared" si="5"/>
        <v>3.2208180991441307E-2</v>
      </c>
    </row>
    <row r="118" spans="1:6" ht="15" customHeight="1" x14ac:dyDescent="0.2">
      <c r="A118" s="147">
        <v>16</v>
      </c>
      <c r="B118" s="169" t="s">
        <v>247</v>
      </c>
      <c r="C118" s="157">
        <v>10348691</v>
      </c>
      <c r="D118" s="157">
        <v>12888771</v>
      </c>
      <c r="E118" s="157">
        <f t="shared" si="4"/>
        <v>2540080</v>
      </c>
      <c r="F118" s="161">
        <f t="shared" si="5"/>
        <v>0.2454494003154602</v>
      </c>
    </row>
    <row r="119" spans="1:6" ht="15" customHeight="1" x14ac:dyDescent="0.2">
      <c r="A119" s="147">
        <v>17</v>
      </c>
      <c r="B119" s="169" t="s">
        <v>248</v>
      </c>
      <c r="C119" s="157">
        <v>61967523</v>
      </c>
      <c r="D119" s="157">
        <v>121028342</v>
      </c>
      <c r="E119" s="157">
        <f t="shared" si="4"/>
        <v>59060819</v>
      </c>
      <c r="F119" s="161">
        <f t="shared" si="5"/>
        <v>0.95309310652936696</v>
      </c>
    </row>
    <row r="120" spans="1:6" ht="15" customHeight="1" x14ac:dyDescent="0.2">
      <c r="A120" s="147">
        <v>18</v>
      </c>
      <c r="B120" s="169" t="s">
        <v>249</v>
      </c>
      <c r="C120" s="157">
        <v>462125104</v>
      </c>
      <c r="D120" s="157">
        <v>445788092</v>
      </c>
      <c r="E120" s="157">
        <f t="shared" si="4"/>
        <v>-16337012</v>
      </c>
      <c r="F120" s="161">
        <f t="shared" si="5"/>
        <v>-3.5351924962726114E-2</v>
      </c>
    </row>
    <row r="121" spans="1:6" ht="15.75" customHeight="1" x14ac:dyDescent="0.25">
      <c r="A121" s="147"/>
      <c r="B121" s="165" t="s">
        <v>250</v>
      </c>
      <c r="C121" s="158">
        <f>SUM(C103:C120)</f>
        <v>804886223</v>
      </c>
      <c r="D121" s="158">
        <f>SUM(D103:D120)</f>
        <v>874287775</v>
      </c>
      <c r="E121" s="158">
        <f t="shared" si="4"/>
        <v>69401552</v>
      </c>
      <c r="F121" s="159">
        <f t="shared" si="5"/>
        <v>8.622529497563533E-2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48015009</v>
      </c>
      <c r="D124" s="157">
        <v>51760553</v>
      </c>
      <c r="E124" s="157">
        <f t="shared" ref="E124:E130" si="6">D124-C124</f>
        <v>3745544</v>
      </c>
      <c r="F124" s="161">
        <f t="shared" ref="F124:F130" si="7">IF(C124=0,0,E124/C124)</f>
        <v>7.8007774610643107E-2</v>
      </c>
    </row>
    <row r="125" spans="1:6" ht="15" customHeight="1" x14ac:dyDescent="0.2">
      <c r="A125" s="147">
        <v>2</v>
      </c>
      <c r="B125" s="169" t="s">
        <v>253</v>
      </c>
      <c r="C125" s="157">
        <v>72942628</v>
      </c>
      <c r="D125" s="157">
        <v>89108689</v>
      </c>
      <c r="E125" s="157">
        <f t="shared" si="6"/>
        <v>16166061</v>
      </c>
      <c r="F125" s="161">
        <f t="shared" si="7"/>
        <v>0.22162707107289856</v>
      </c>
    </row>
    <row r="126" spans="1:6" ht="15" customHeight="1" x14ac:dyDescent="0.2">
      <c r="A126" s="147">
        <v>3</v>
      </c>
      <c r="B126" s="169" t="s">
        <v>254</v>
      </c>
      <c r="C126" s="157">
        <v>16593282</v>
      </c>
      <c r="D126" s="157">
        <v>18101555</v>
      </c>
      <c r="E126" s="157">
        <f t="shared" si="6"/>
        <v>1508273</v>
      </c>
      <c r="F126" s="161">
        <f t="shared" si="7"/>
        <v>9.089660502364752E-2</v>
      </c>
    </row>
    <row r="127" spans="1:6" ht="15" customHeight="1" x14ac:dyDescent="0.2">
      <c r="A127" s="147">
        <v>4</v>
      </c>
      <c r="B127" s="169" t="s">
        <v>255</v>
      </c>
      <c r="C127" s="157">
        <v>4736709</v>
      </c>
      <c r="D127" s="157">
        <v>1703577</v>
      </c>
      <c r="E127" s="157">
        <f t="shared" si="6"/>
        <v>-3033132</v>
      </c>
      <c r="F127" s="161">
        <f t="shared" si="7"/>
        <v>-0.64034586038534347</v>
      </c>
    </row>
    <row r="128" spans="1:6" ht="15" customHeight="1" x14ac:dyDescent="0.2">
      <c r="A128" s="147">
        <v>5</v>
      </c>
      <c r="B128" s="169" t="s">
        <v>256</v>
      </c>
      <c r="C128" s="157">
        <v>6553678</v>
      </c>
      <c r="D128" s="157">
        <v>8476907</v>
      </c>
      <c r="E128" s="157">
        <f t="shared" si="6"/>
        <v>1923229</v>
      </c>
      <c r="F128" s="161">
        <f t="shared" si="7"/>
        <v>0.29345796360455917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148841306</v>
      </c>
      <c r="D130" s="158">
        <f>SUM(D124:D129)</f>
        <v>169151281</v>
      </c>
      <c r="E130" s="158">
        <f t="shared" si="6"/>
        <v>20309975</v>
      </c>
      <c r="F130" s="159">
        <f t="shared" si="7"/>
        <v>0.1364538886806059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150499810</v>
      </c>
      <c r="D133" s="157">
        <v>155009981</v>
      </c>
      <c r="E133" s="157">
        <f t="shared" ref="E133:E167" si="8">D133-C133</f>
        <v>4510171</v>
      </c>
      <c r="F133" s="161">
        <f t="shared" ref="F133:F167" si="9">IF(C133=0,0,E133/C133)</f>
        <v>2.9967951454556652E-2</v>
      </c>
    </row>
    <row r="134" spans="1:6" ht="15" customHeight="1" x14ac:dyDescent="0.2">
      <c r="A134" s="147">
        <v>2</v>
      </c>
      <c r="B134" s="169" t="s">
        <v>261</v>
      </c>
      <c r="C134" s="157">
        <v>11171001</v>
      </c>
      <c r="D134" s="157">
        <v>11197070</v>
      </c>
      <c r="E134" s="157">
        <f t="shared" si="8"/>
        <v>26069</v>
      </c>
      <c r="F134" s="161">
        <f t="shared" si="9"/>
        <v>2.333631516101377E-3</v>
      </c>
    </row>
    <row r="135" spans="1:6" ht="15" customHeight="1" x14ac:dyDescent="0.2">
      <c r="A135" s="147">
        <v>3</v>
      </c>
      <c r="B135" s="169" t="s">
        <v>262</v>
      </c>
      <c r="C135" s="157">
        <v>21991514</v>
      </c>
      <c r="D135" s="157">
        <v>26796421</v>
      </c>
      <c r="E135" s="157">
        <f t="shared" si="8"/>
        <v>4804907</v>
      </c>
      <c r="F135" s="161">
        <f t="shared" si="9"/>
        <v>0.21848914085678686</v>
      </c>
    </row>
    <row r="136" spans="1:6" ht="15" customHeight="1" x14ac:dyDescent="0.2">
      <c r="A136" s="147">
        <v>4</v>
      </c>
      <c r="B136" s="169" t="s">
        <v>263</v>
      </c>
      <c r="C136" s="157">
        <v>12693400</v>
      </c>
      <c r="D136" s="157">
        <v>10725667</v>
      </c>
      <c r="E136" s="157">
        <f t="shared" si="8"/>
        <v>-1967733</v>
      </c>
      <c r="F136" s="161">
        <f t="shared" si="9"/>
        <v>-0.15502016796130272</v>
      </c>
    </row>
    <row r="137" spans="1:6" ht="15" customHeight="1" x14ac:dyDescent="0.2">
      <c r="A137" s="147">
        <v>5</v>
      </c>
      <c r="B137" s="169" t="s">
        <v>264</v>
      </c>
      <c r="C137" s="157">
        <v>37037409</v>
      </c>
      <c r="D137" s="157">
        <v>38835409</v>
      </c>
      <c r="E137" s="157">
        <f t="shared" si="8"/>
        <v>1798000</v>
      </c>
      <c r="F137" s="161">
        <f t="shared" si="9"/>
        <v>4.8545512457418387E-2</v>
      </c>
    </row>
    <row r="138" spans="1:6" ht="15" customHeight="1" x14ac:dyDescent="0.2">
      <c r="A138" s="147">
        <v>6</v>
      </c>
      <c r="B138" s="169" t="s">
        <v>265</v>
      </c>
      <c r="C138" s="157">
        <v>3750695</v>
      </c>
      <c r="D138" s="157">
        <v>3976760</v>
      </c>
      <c r="E138" s="157">
        <f t="shared" si="8"/>
        <v>226065</v>
      </c>
      <c r="F138" s="161">
        <f t="shared" si="9"/>
        <v>6.0272829435611269E-2</v>
      </c>
    </row>
    <row r="139" spans="1:6" ht="15" customHeight="1" x14ac:dyDescent="0.2">
      <c r="A139" s="147">
        <v>7</v>
      </c>
      <c r="B139" s="169" t="s">
        <v>266</v>
      </c>
      <c r="C139" s="157">
        <v>17012192</v>
      </c>
      <c r="D139" s="157">
        <v>17383781</v>
      </c>
      <c r="E139" s="157">
        <f t="shared" si="8"/>
        <v>371589</v>
      </c>
      <c r="F139" s="161">
        <f t="shared" si="9"/>
        <v>2.1842511535256598E-2</v>
      </c>
    </row>
    <row r="140" spans="1:6" ht="15" customHeight="1" x14ac:dyDescent="0.2">
      <c r="A140" s="147">
        <v>8</v>
      </c>
      <c r="B140" s="169" t="s">
        <v>267</v>
      </c>
      <c r="C140" s="157">
        <v>37361446</v>
      </c>
      <c r="D140" s="157">
        <v>41861431</v>
      </c>
      <c r="E140" s="157">
        <f t="shared" si="8"/>
        <v>4499985</v>
      </c>
      <c r="F140" s="161">
        <f t="shared" si="9"/>
        <v>0.12044461555369136</v>
      </c>
    </row>
    <row r="141" spans="1:6" ht="15" customHeight="1" x14ac:dyDescent="0.2">
      <c r="A141" s="147">
        <v>9</v>
      </c>
      <c r="B141" s="169" t="s">
        <v>268</v>
      </c>
      <c r="C141" s="157">
        <v>6133284</v>
      </c>
      <c r="D141" s="157">
        <v>6128374</v>
      </c>
      <c r="E141" s="157">
        <f t="shared" si="8"/>
        <v>-4910</v>
      </c>
      <c r="F141" s="161">
        <f t="shared" si="9"/>
        <v>-8.0054991746672749E-4</v>
      </c>
    </row>
    <row r="142" spans="1:6" ht="15" customHeight="1" x14ac:dyDescent="0.2">
      <c r="A142" s="147">
        <v>10</v>
      </c>
      <c r="B142" s="169" t="s">
        <v>269</v>
      </c>
      <c r="C142" s="157">
        <v>70795323</v>
      </c>
      <c r="D142" s="157">
        <v>75446385</v>
      </c>
      <c r="E142" s="157">
        <f t="shared" si="8"/>
        <v>4651062</v>
      </c>
      <c r="F142" s="161">
        <f t="shared" si="9"/>
        <v>6.569730602119013E-2</v>
      </c>
    </row>
    <row r="143" spans="1:6" ht="15" customHeight="1" x14ac:dyDescent="0.2">
      <c r="A143" s="147">
        <v>11</v>
      </c>
      <c r="B143" s="169" t="s">
        <v>270</v>
      </c>
      <c r="C143" s="157">
        <v>21711671</v>
      </c>
      <c r="D143" s="157">
        <v>20130911</v>
      </c>
      <c r="E143" s="157">
        <f t="shared" si="8"/>
        <v>-1580760</v>
      </c>
      <c r="F143" s="161">
        <f t="shared" si="9"/>
        <v>-7.280692490227951E-2</v>
      </c>
    </row>
    <row r="144" spans="1:6" ht="15" customHeight="1" x14ac:dyDescent="0.2">
      <c r="A144" s="147">
        <v>12</v>
      </c>
      <c r="B144" s="169" t="s">
        <v>271</v>
      </c>
      <c r="C144" s="157">
        <v>11168933</v>
      </c>
      <c r="D144" s="157">
        <v>9747785</v>
      </c>
      <c r="E144" s="157">
        <f t="shared" si="8"/>
        <v>-1421148</v>
      </c>
      <c r="F144" s="161">
        <f t="shared" si="9"/>
        <v>-0.12724116081634657</v>
      </c>
    </row>
    <row r="145" spans="1:6" ht="15" customHeight="1" x14ac:dyDescent="0.2">
      <c r="A145" s="147">
        <v>13</v>
      </c>
      <c r="B145" s="169" t="s">
        <v>272</v>
      </c>
      <c r="C145" s="157">
        <v>21139010</v>
      </c>
      <c r="D145" s="157">
        <v>19727665</v>
      </c>
      <c r="E145" s="157">
        <f t="shared" si="8"/>
        <v>-1411345</v>
      </c>
      <c r="F145" s="161">
        <f t="shared" si="9"/>
        <v>-6.6764952568734298E-2</v>
      </c>
    </row>
    <row r="146" spans="1:6" ht="15" customHeight="1" x14ac:dyDescent="0.2">
      <c r="A146" s="147">
        <v>14</v>
      </c>
      <c r="B146" s="169" t="s">
        <v>273</v>
      </c>
      <c r="C146" s="157">
        <v>4331223</v>
      </c>
      <c r="D146" s="157">
        <v>4753665</v>
      </c>
      <c r="E146" s="157">
        <f t="shared" si="8"/>
        <v>422442</v>
      </c>
      <c r="F146" s="161">
        <f t="shared" si="9"/>
        <v>9.7534114498376095E-2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16062363</v>
      </c>
      <c r="D150" s="157">
        <v>16336969</v>
      </c>
      <c r="E150" s="157">
        <f t="shared" si="8"/>
        <v>274606</v>
      </c>
      <c r="F150" s="161">
        <f t="shared" si="9"/>
        <v>1.7096239202164711E-2</v>
      </c>
    </row>
    <row r="151" spans="1:6" ht="15" customHeight="1" x14ac:dyDescent="0.2">
      <c r="A151" s="147">
        <v>19</v>
      </c>
      <c r="B151" s="169" t="s">
        <v>278</v>
      </c>
      <c r="C151" s="157">
        <v>2803130</v>
      </c>
      <c r="D151" s="157">
        <v>3386502</v>
      </c>
      <c r="E151" s="157">
        <f t="shared" si="8"/>
        <v>583372</v>
      </c>
      <c r="F151" s="161">
        <f t="shared" si="9"/>
        <v>0.20811450057614167</v>
      </c>
    </row>
    <row r="152" spans="1:6" ht="15" customHeight="1" x14ac:dyDescent="0.2">
      <c r="A152" s="147">
        <v>20</v>
      </c>
      <c r="B152" s="169" t="s">
        <v>279</v>
      </c>
      <c r="C152" s="157">
        <v>1122447</v>
      </c>
      <c r="D152" s="157">
        <v>1191011</v>
      </c>
      <c r="E152" s="157">
        <f t="shared" si="8"/>
        <v>68564</v>
      </c>
      <c r="F152" s="161">
        <f t="shared" si="9"/>
        <v>6.1084398639757599E-2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7347636</v>
      </c>
      <c r="D154" s="157">
        <v>7268845</v>
      </c>
      <c r="E154" s="157">
        <f t="shared" si="8"/>
        <v>-78791</v>
      </c>
      <c r="F154" s="161">
        <f t="shared" si="9"/>
        <v>-1.0723312913160097E-2</v>
      </c>
    </row>
    <row r="155" spans="1:6" ht="15" customHeight="1" x14ac:dyDescent="0.2">
      <c r="A155" s="147">
        <v>23</v>
      </c>
      <c r="B155" s="169" t="s">
        <v>282</v>
      </c>
      <c r="C155" s="157">
        <v>3782301</v>
      </c>
      <c r="D155" s="157">
        <v>3888213</v>
      </c>
      <c r="E155" s="157">
        <f t="shared" si="8"/>
        <v>105912</v>
      </c>
      <c r="F155" s="161">
        <f t="shared" si="9"/>
        <v>2.8002001955952208E-2</v>
      </c>
    </row>
    <row r="156" spans="1:6" ht="15" customHeight="1" x14ac:dyDescent="0.2">
      <c r="A156" s="147">
        <v>24</v>
      </c>
      <c r="B156" s="169" t="s">
        <v>283</v>
      </c>
      <c r="C156" s="157">
        <v>65604860</v>
      </c>
      <c r="D156" s="157">
        <v>65786401</v>
      </c>
      <c r="E156" s="157">
        <f t="shared" si="8"/>
        <v>181541</v>
      </c>
      <c r="F156" s="161">
        <f t="shared" si="9"/>
        <v>2.7671882845264817E-3</v>
      </c>
    </row>
    <row r="157" spans="1:6" ht="15" customHeight="1" x14ac:dyDescent="0.2">
      <c r="A157" s="147">
        <v>25</v>
      </c>
      <c r="B157" s="169" t="s">
        <v>284</v>
      </c>
      <c r="C157" s="157">
        <v>7500370</v>
      </c>
      <c r="D157" s="157">
        <v>7590165</v>
      </c>
      <c r="E157" s="157">
        <f t="shared" si="8"/>
        <v>89795</v>
      </c>
      <c r="F157" s="161">
        <f t="shared" si="9"/>
        <v>1.1972076044248483E-2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2224330</v>
      </c>
      <c r="D160" s="157">
        <v>5171464</v>
      </c>
      <c r="E160" s="157">
        <f t="shared" si="8"/>
        <v>2947134</v>
      </c>
      <c r="F160" s="161">
        <f t="shared" si="9"/>
        <v>1.3249535815279208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6469743</v>
      </c>
      <c r="D163" s="157">
        <v>6341982</v>
      </c>
      <c r="E163" s="157">
        <f t="shared" si="8"/>
        <v>-127761</v>
      </c>
      <c r="F163" s="161">
        <f t="shared" si="9"/>
        <v>-1.9747461375204549E-2</v>
      </c>
    </row>
    <row r="164" spans="1:6" ht="15" customHeight="1" x14ac:dyDescent="0.2">
      <c r="A164" s="147">
        <v>32</v>
      </c>
      <c r="B164" s="169" t="s">
        <v>291</v>
      </c>
      <c r="C164" s="157">
        <v>9247336</v>
      </c>
      <c r="D164" s="157">
        <v>10619854</v>
      </c>
      <c r="E164" s="157">
        <f t="shared" si="8"/>
        <v>1372518</v>
      </c>
      <c r="F164" s="161">
        <f t="shared" si="9"/>
        <v>0.14842307016853287</v>
      </c>
    </row>
    <row r="165" spans="1:6" ht="15" customHeight="1" x14ac:dyDescent="0.2">
      <c r="A165" s="147">
        <v>33</v>
      </c>
      <c r="B165" s="169" t="s">
        <v>292</v>
      </c>
      <c r="C165" s="157">
        <v>4056430</v>
      </c>
      <c r="D165" s="157">
        <v>5643416</v>
      </c>
      <c r="E165" s="157">
        <f t="shared" si="8"/>
        <v>1586986</v>
      </c>
      <c r="F165" s="161">
        <f t="shared" si="9"/>
        <v>0.39122726140966319</v>
      </c>
    </row>
    <row r="166" spans="1:6" ht="15" customHeight="1" x14ac:dyDescent="0.2">
      <c r="A166" s="147">
        <v>34</v>
      </c>
      <c r="B166" s="169" t="s">
        <v>293</v>
      </c>
      <c r="C166" s="157">
        <v>5365596</v>
      </c>
      <c r="D166" s="157">
        <v>4255466</v>
      </c>
      <c r="E166" s="157">
        <f t="shared" si="8"/>
        <v>-1110130</v>
      </c>
      <c r="F166" s="161">
        <f t="shared" si="9"/>
        <v>-0.20689779849246942</v>
      </c>
    </row>
    <row r="167" spans="1:6" ht="15.75" customHeight="1" x14ac:dyDescent="0.25">
      <c r="A167" s="147"/>
      <c r="B167" s="165" t="s">
        <v>294</v>
      </c>
      <c r="C167" s="158">
        <f>SUM(C133:C166)</f>
        <v>558383453</v>
      </c>
      <c r="D167" s="158">
        <f>SUM(D133:D166)</f>
        <v>579201593</v>
      </c>
      <c r="E167" s="158">
        <f t="shared" si="8"/>
        <v>20818140</v>
      </c>
      <c r="F167" s="159">
        <f t="shared" si="9"/>
        <v>3.7282874139896838E-2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211549331</v>
      </c>
      <c r="D170" s="157">
        <v>232259288</v>
      </c>
      <c r="E170" s="157">
        <f t="shared" ref="E170:E183" si="10">D170-C170</f>
        <v>20709957</v>
      </c>
      <c r="F170" s="161">
        <f t="shared" ref="F170:F183" si="11">IF(C170=0,0,E170/C170)</f>
        <v>9.7896584697779079E-2</v>
      </c>
    </row>
    <row r="171" spans="1:6" ht="15" customHeight="1" x14ac:dyDescent="0.2">
      <c r="A171" s="147">
        <v>2</v>
      </c>
      <c r="B171" s="169" t="s">
        <v>297</v>
      </c>
      <c r="C171" s="157">
        <v>55379591</v>
      </c>
      <c r="D171" s="157">
        <v>49785215</v>
      </c>
      <c r="E171" s="157">
        <f t="shared" si="10"/>
        <v>-5594376</v>
      </c>
      <c r="F171" s="161">
        <f t="shared" si="11"/>
        <v>-0.10101873088950765</v>
      </c>
    </row>
    <row r="172" spans="1:6" ht="15" customHeight="1" x14ac:dyDescent="0.2">
      <c r="A172" s="147">
        <v>3</v>
      </c>
      <c r="B172" s="169" t="s">
        <v>298</v>
      </c>
      <c r="C172" s="157">
        <v>9832208</v>
      </c>
      <c r="D172" s="157">
        <v>5406131</v>
      </c>
      <c r="E172" s="157">
        <f t="shared" si="10"/>
        <v>-4426077</v>
      </c>
      <c r="F172" s="161">
        <f t="shared" si="11"/>
        <v>-0.45016104215858738</v>
      </c>
    </row>
    <row r="173" spans="1:6" ht="15" customHeight="1" x14ac:dyDescent="0.2">
      <c r="A173" s="147">
        <v>4</v>
      </c>
      <c r="B173" s="169" t="s">
        <v>299</v>
      </c>
      <c r="C173" s="157">
        <v>26347540</v>
      </c>
      <c r="D173" s="157">
        <v>26604983</v>
      </c>
      <c r="E173" s="157">
        <f t="shared" si="10"/>
        <v>257443</v>
      </c>
      <c r="F173" s="161">
        <f t="shared" si="11"/>
        <v>9.7710450387398593E-3</v>
      </c>
    </row>
    <row r="174" spans="1:6" ht="15" customHeight="1" x14ac:dyDescent="0.2">
      <c r="A174" s="147">
        <v>5</v>
      </c>
      <c r="B174" s="169" t="s">
        <v>300</v>
      </c>
      <c r="C174" s="157">
        <v>15805949</v>
      </c>
      <c r="D174" s="157">
        <v>15875262</v>
      </c>
      <c r="E174" s="157">
        <f t="shared" si="10"/>
        <v>69313</v>
      </c>
      <c r="F174" s="161">
        <f t="shared" si="11"/>
        <v>4.3852476051896658E-3</v>
      </c>
    </row>
    <row r="175" spans="1:6" ht="15" customHeight="1" x14ac:dyDescent="0.2">
      <c r="A175" s="147">
        <v>6</v>
      </c>
      <c r="B175" s="169" t="s">
        <v>301</v>
      </c>
      <c r="C175" s="157">
        <v>8589773</v>
      </c>
      <c r="D175" s="157">
        <v>7618851</v>
      </c>
      <c r="E175" s="157">
        <f t="shared" si="10"/>
        <v>-970922</v>
      </c>
      <c r="F175" s="161">
        <f t="shared" si="11"/>
        <v>-0.11303232343858213</v>
      </c>
    </row>
    <row r="176" spans="1:6" ht="15" customHeight="1" x14ac:dyDescent="0.2">
      <c r="A176" s="147">
        <v>7</v>
      </c>
      <c r="B176" s="169" t="s">
        <v>302</v>
      </c>
      <c r="C176" s="157">
        <v>4927946</v>
      </c>
      <c r="D176" s="157">
        <v>4669618</v>
      </c>
      <c r="E176" s="157">
        <f t="shared" si="10"/>
        <v>-258328</v>
      </c>
      <c r="F176" s="161">
        <f t="shared" si="11"/>
        <v>-5.2421028964197251E-2</v>
      </c>
    </row>
    <row r="177" spans="1:6" ht="15" customHeight="1" x14ac:dyDescent="0.2">
      <c r="A177" s="147">
        <v>8</v>
      </c>
      <c r="B177" s="169" t="s">
        <v>303</v>
      </c>
      <c r="C177" s="157">
        <v>19736886</v>
      </c>
      <c r="D177" s="157">
        <v>20007304</v>
      </c>
      <c r="E177" s="157">
        <f t="shared" si="10"/>
        <v>270418</v>
      </c>
      <c r="F177" s="161">
        <f t="shared" si="11"/>
        <v>1.370114819531308E-2</v>
      </c>
    </row>
    <row r="178" spans="1:6" ht="15" customHeight="1" x14ac:dyDescent="0.2">
      <c r="A178" s="147">
        <v>9</v>
      </c>
      <c r="B178" s="169" t="s">
        <v>304</v>
      </c>
      <c r="C178" s="157">
        <v>1539963</v>
      </c>
      <c r="D178" s="157">
        <v>4978763</v>
      </c>
      <c r="E178" s="157">
        <f t="shared" si="10"/>
        <v>3438800</v>
      </c>
      <c r="F178" s="161">
        <f t="shared" si="11"/>
        <v>2.2330406639640041</v>
      </c>
    </row>
    <row r="179" spans="1:6" ht="15" customHeight="1" x14ac:dyDescent="0.2">
      <c r="A179" s="147">
        <v>10</v>
      </c>
      <c r="B179" s="169" t="s">
        <v>305</v>
      </c>
      <c r="C179" s="157">
        <v>10284386</v>
      </c>
      <c r="D179" s="157">
        <v>12172991</v>
      </c>
      <c r="E179" s="157">
        <f t="shared" si="10"/>
        <v>1888605</v>
      </c>
      <c r="F179" s="161">
        <f t="shared" si="11"/>
        <v>0.18363808981887689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213406479</v>
      </c>
      <c r="D181" s="157">
        <v>240399774</v>
      </c>
      <c r="E181" s="157">
        <f t="shared" si="10"/>
        <v>26993295</v>
      </c>
      <c r="F181" s="161">
        <f t="shared" si="11"/>
        <v>0.12648770143478166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577400052</v>
      </c>
      <c r="D183" s="158">
        <f>SUM(D170:D182)</f>
        <v>619778180</v>
      </c>
      <c r="E183" s="158">
        <f t="shared" si="10"/>
        <v>42378128</v>
      </c>
      <c r="F183" s="159">
        <f t="shared" si="11"/>
        <v>7.3394742264415308E-2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177846966</v>
      </c>
      <c r="D186" s="157">
        <v>170945171</v>
      </c>
      <c r="E186" s="157">
        <f>D186-C186</f>
        <v>-6901795</v>
      </c>
      <c r="F186" s="161">
        <f>IF(C186=0,0,E186/C186)</f>
        <v>-3.8807493629101325E-2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2267358000</v>
      </c>
      <c r="D188" s="158">
        <f>+D186+D183+D167+D130+D121</f>
        <v>2413364000</v>
      </c>
      <c r="E188" s="158">
        <f>D188-C188</f>
        <v>146006000</v>
      </c>
      <c r="F188" s="159">
        <f>IF(C188=0,0,E188/C188)</f>
        <v>6.4394771359441258E-2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FILING&amp;RYALE-NEW HAVEN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2282916000</v>
      </c>
      <c r="D11" s="183">
        <v>2338353000</v>
      </c>
      <c r="E11" s="76">
        <v>2457989000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58633000</v>
      </c>
      <c r="D12" s="185">
        <v>63551000</v>
      </c>
      <c r="E12" s="185">
        <v>68887000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2341549000</v>
      </c>
      <c r="D13" s="76">
        <f>+D11+D12</f>
        <v>2401904000</v>
      </c>
      <c r="E13" s="76">
        <f>+E11+E12</f>
        <v>2526876000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2236673000</v>
      </c>
      <c r="D14" s="185">
        <v>2267358000</v>
      </c>
      <c r="E14" s="185">
        <v>2413364000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104876000</v>
      </c>
      <c r="D15" s="76">
        <f>+D13-D14</f>
        <v>134546000</v>
      </c>
      <c r="E15" s="76">
        <f>+E13-E14</f>
        <v>113512000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73846000</v>
      </c>
      <c r="D16" s="185">
        <v>30156000</v>
      </c>
      <c r="E16" s="185">
        <v>-4161000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178722000</v>
      </c>
      <c r="D17" s="76">
        <f>D15+D16</f>
        <v>164702000</v>
      </c>
      <c r="E17" s="76">
        <f>E15+E16</f>
        <v>109351000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4.3419813322458645E-2</v>
      </c>
      <c r="D20" s="189">
        <f>IF(+D27=0,0,+D24/+D27)</f>
        <v>5.5321825941794196E-2</v>
      </c>
      <c r="E20" s="189">
        <f>IF(+E27=0,0,+E24/+E27)</f>
        <v>4.4995966647044951E-2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3.0573053268720025E-2</v>
      </c>
      <c r="D21" s="189">
        <f>IF(D27=0,0,+D26/D27)</f>
        <v>1.2399365147241433E-2</v>
      </c>
      <c r="E21" s="189">
        <f>IF(E27=0,0,+E26/E27)</f>
        <v>-1.6494134295788466E-3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7.3992866591178666E-2</v>
      </c>
      <c r="D22" s="189">
        <f>IF(D27=0,0,+D28/D27)</f>
        <v>6.7721191089035626E-2</v>
      </c>
      <c r="E22" s="189">
        <f>IF(E27=0,0,+E28/E27)</f>
        <v>4.3346553217466104E-2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104876000</v>
      </c>
      <c r="D24" s="76">
        <f>+D15</f>
        <v>134546000</v>
      </c>
      <c r="E24" s="76">
        <f>+E15</f>
        <v>113512000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2341549000</v>
      </c>
      <c r="D25" s="76">
        <f>+D13</f>
        <v>2401904000</v>
      </c>
      <c r="E25" s="76">
        <f>+E13</f>
        <v>2526876000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73846000</v>
      </c>
      <c r="D26" s="76">
        <f>+D16</f>
        <v>30156000</v>
      </c>
      <c r="E26" s="76">
        <f>+E16</f>
        <v>-4161000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2415395000</v>
      </c>
      <c r="D27" s="76">
        <f>+D25+D26</f>
        <v>2432060000</v>
      </c>
      <c r="E27" s="76">
        <f>+E25+E26</f>
        <v>2522715000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178722000</v>
      </c>
      <c r="D28" s="76">
        <f>+D17</f>
        <v>164702000</v>
      </c>
      <c r="E28" s="76">
        <f>+E17</f>
        <v>109351000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930988000</v>
      </c>
      <c r="D31" s="76">
        <v>1020378000</v>
      </c>
      <c r="E31" s="76">
        <v>1107165000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1018125000</v>
      </c>
      <c r="D32" s="76">
        <v>1120602000</v>
      </c>
      <c r="E32" s="76">
        <v>1224992000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269347000</v>
      </c>
      <c r="D33" s="76">
        <f>+D32-C32</f>
        <v>102477000</v>
      </c>
      <c r="E33" s="76">
        <f>+E32-D32</f>
        <v>104390000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1.3596999999999999</v>
      </c>
      <c r="D34" s="193">
        <f>IF(C32=0,0,+D33/C32)</f>
        <v>0.10065267034990792</v>
      </c>
      <c r="E34" s="193">
        <f>IF(D32=0,0,+E33/D32)</f>
        <v>9.3155286176537261E-2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0.27123322994865828</v>
      </c>
      <c r="D38" s="195">
        <f>IF((D40+D41)=0,0,+D39/(D40+D41))</f>
        <v>0.27030087686059229</v>
      </c>
      <c r="E38" s="195">
        <f>IF((E40+E41)=0,0,+E39/(E40+E41))</f>
        <v>0.2765477882002651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2236673000</v>
      </c>
      <c r="D39" s="76">
        <v>2267358000</v>
      </c>
      <c r="E39" s="196">
        <v>2413364000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8243052871</v>
      </c>
      <c r="D40" s="76">
        <v>8384978567</v>
      </c>
      <c r="E40" s="196">
        <v>8723514793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3256036</v>
      </c>
      <c r="D41" s="76">
        <v>3296108</v>
      </c>
      <c r="E41" s="196">
        <v>3237338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1.4691565950810439</v>
      </c>
      <c r="D43" s="197">
        <f>IF(D38=0,0,IF((D46-D47)=0,0,((+D44-D45)/(D46-D47)/D38)))</f>
        <v>1.6024629477231116</v>
      </c>
      <c r="E43" s="197">
        <f>IF(E38=0,0,IF((E46-E47)=0,0,((+E44-E45)/(E46-E47)/E38)))</f>
        <v>1.6415900697971879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1220973590</v>
      </c>
      <c r="D44" s="76">
        <v>1311882701</v>
      </c>
      <c r="E44" s="196">
        <v>1423017092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12519061</v>
      </c>
      <c r="D45" s="76">
        <v>22681195</v>
      </c>
      <c r="E45" s="196">
        <v>40312476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3193811532</v>
      </c>
      <c r="D46" s="76">
        <v>3136982541</v>
      </c>
      <c r="E46" s="196">
        <v>3223176429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161182216</v>
      </c>
      <c r="D47" s="76">
        <v>160623269</v>
      </c>
      <c r="E47" s="76">
        <v>177424647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0.8250935681544922</v>
      </c>
      <c r="D49" s="198">
        <f>IF(D38=0,0,IF(D51=0,0,(D50/D51)/D38))</f>
        <v>0.84413999169709486</v>
      </c>
      <c r="E49" s="198">
        <f>IF(E38=0,0,IF(E51=0,0,(E50/E51)/E38))</f>
        <v>0.89735242472006527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715953635</v>
      </c>
      <c r="D50" s="199">
        <v>777221051</v>
      </c>
      <c r="E50" s="199">
        <v>876223832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3199180920</v>
      </c>
      <c r="D51" s="199">
        <v>3406297883</v>
      </c>
      <c r="E51" s="199">
        <v>3530870839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0.68684343739115905</v>
      </c>
      <c r="D53" s="198">
        <f>IF(D38=0,0,IF(D55=0,0,(D54/D55)/D38))</f>
        <v>0.43973051785215833</v>
      </c>
      <c r="E53" s="198">
        <f>IF(E38=0,0,IF(E55=0,0,(E54/E55)/E38))</f>
        <v>0.4692491856987715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337078611</v>
      </c>
      <c r="D54" s="199">
        <v>213273241</v>
      </c>
      <c r="E54" s="199">
        <v>250393040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1809383172</v>
      </c>
      <c r="D55" s="199">
        <v>1794329953</v>
      </c>
      <c r="E55" s="199">
        <v>1929516674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41003683.537488416</v>
      </c>
      <c r="D57" s="88">
        <f>+D60*D38</f>
        <v>54368588.672616392</v>
      </c>
      <c r="E57" s="88">
        <f>+E60*E38</f>
        <v>48579767.214199565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32480929</v>
      </c>
      <c r="D58" s="199">
        <v>43211397</v>
      </c>
      <c r="E58" s="199">
        <v>41146000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118694071</v>
      </c>
      <c r="D59" s="199">
        <v>157929603</v>
      </c>
      <c r="E59" s="199">
        <v>134519000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151175000</v>
      </c>
      <c r="D60" s="76">
        <v>201141000</v>
      </c>
      <c r="E60" s="201">
        <v>175665000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1.8332444455442711E-2</v>
      </c>
      <c r="D62" s="202">
        <f>IF(D63=0,0,+D57/D63)</f>
        <v>2.3978828518750189E-2</v>
      </c>
      <c r="E62" s="202">
        <f>IF(E63=0,0,+E57/E63)</f>
        <v>2.0129482006941167E-2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2236673000</v>
      </c>
      <c r="D63" s="199">
        <v>2267358000</v>
      </c>
      <c r="E63" s="199">
        <v>2413364000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2.9393992942468614</v>
      </c>
      <c r="D67" s="203">
        <f>IF(D69=0,0,D68/D69)</f>
        <v>3.4012409645934576</v>
      </c>
      <c r="E67" s="203">
        <f>IF(E69=0,0,E68/E69)</f>
        <v>3.450882979359581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1081211000</v>
      </c>
      <c r="D68" s="204">
        <v>1332579000</v>
      </c>
      <c r="E68" s="204">
        <v>1500368000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367834000</v>
      </c>
      <c r="D69" s="204">
        <v>391792000</v>
      </c>
      <c r="E69" s="204">
        <v>434778000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121.79200748244482</v>
      </c>
      <c r="D71" s="203">
        <f>IF((D77/365)=0,0,+D74/(D77/365))</f>
        <v>161.15229518629812</v>
      </c>
      <c r="E71" s="203">
        <f>IF((E77/365)=0,0,+E74/(E77/365))</f>
        <v>172.01769718251231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38914000</v>
      </c>
      <c r="D72" s="183">
        <v>20955000</v>
      </c>
      <c r="E72" s="183">
        <v>101130000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671389000</v>
      </c>
      <c r="D73" s="206">
        <v>926009000</v>
      </c>
      <c r="E73" s="206">
        <v>980087000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710303000</v>
      </c>
      <c r="D74" s="204">
        <f>+D72+D73</f>
        <v>946964000</v>
      </c>
      <c r="E74" s="204">
        <f>+E72+E73</f>
        <v>1081217000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2236673000</v>
      </c>
      <c r="D75" s="204">
        <f>+D14</f>
        <v>2267358000</v>
      </c>
      <c r="E75" s="204">
        <f>+E14</f>
        <v>2413364000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107957000</v>
      </c>
      <c r="D76" s="204">
        <v>122543000</v>
      </c>
      <c r="E76" s="204">
        <v>119157000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2128716000</v>
      </c>
      <c r="D77" s="204">
        <f>+D75-D76</f>
        <v>2144815000</v>
      </c>
      <c r="E77" s="204">
        <f>+E75-E76</f>
        <v>2294207000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37.384218254197705</v>
      </c>
      <c r="D79" s="203">
        <f>IF((D84/365)=0,0,+D83/(D84/365))</f>
        <v>40.518717661533564</v>
      </c>
      <c r="E79" s="203">
        <f>IF((E84/365)=0,0,+E83/(E84/365))</f>
        <v>42.577782081205406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233822000</v>
      </c>
      <c r="D80" s="212">
        <v>259581000</v>
      </c>
      <c r="E80" s="212">
        <v>286728000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0</v>
      </c>
      <c r="E82" s="212">
        <v>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233822000</v>
      </c>
      <c r="D83" s="212">
        <f>+D80+D81-D82</f>
        <v>259581000</v>
      </c>
      <c r="E83" s="212">
        <f>+E80+E81-E82</f>
        <v>286728000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2282916000</v>
      </c>
      <c r="D84" s="204">
        <f>+D11</f>
        <v>2338353000</v>
      </c>
      <c r="E84" s="204">
        <f>+E11</f>
        <v>2457989000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63.070606882270816</v>
      </c>
      <c r="D86" s="203">
        <f>IF((D90/365)=0,0,+D87/(D90/365))</f>
        <v>66.674319230329885</v>
      </c>
      <c r="E86" s="203">
        <f>IF((E90/365)=0,0,+E87/(E90/365))</f>
        <v>69.171600470227844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367834000</v>
      </c>
      <c r="D87" s="76">
        <f>+D69</f>
        <v>391792000</v>
      </c>
      <c r="E87" s="76">
        <f>+E69</f>
        <v>434778000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2236673000</v>
      </c>
      <c r="D88" s="76">
        <f t="shared" si="0"/>
        <v>2267358000</v>
      </c>
      <c r="E88" s="76">
        <f t="shared" si="0"/>
        <v>2413364000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107957000</v>
      </c>
      <c r="D89" s="201">
        <f t="shared" si="0"/>
        <v>122543000</v>
      </c>
      <c r="E89" s="201">
        <f t="shared" si="0"/>
        <v>119157000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2128716000</v>
      </c>
      <c r="D90" s="76">
        <f>+D88-D89</f>
        <v>2144815000</v>
      </c>
      <c r="E90" s="76">
        <f>+E88-E89</f>
        <v>2294207000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38.87906848329532</v>
      </c>
      <c r="D94" s="214">
        <f>IF(D96=0,0,(D95/D96)*100)</f>
        <v>38.105021550075236</v>
      </c>
      <c r="E94" s="214">
        <f>IF(E96=0,0,(E95/E96)*100)</f>
        <v>39.250927209080643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1018125000</v>
      </c>
      <c r="D95" s="76">
        <f>+D32</f>
        <v>1120602000</v>
      </c>
      <c r="E95" s="76">
        <f>+E32</f>
        <v>1224992000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2618697000</v>
      </c>
      <c r="D96" s="76">
        <v>2940825000</v>
      </c>
      <c r="E96" s="76">
        <v>3120925000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26.156652141225244</v>
      </c>
      <c r="D98" s="214">
        <f>IF(D104=0,0,(D101/D104)*100)</f>
        <v>23.11330585169086</v>
      </c>
      <c r="E98" s="214">
        <f>IF(E104=0,0,(E101/E104)*100)</f>
        <v>17.824670664661429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178722000</v>
      </c>
      <c r="D99" s="76">
        <f>+D28</f>
        <v>164702000</v>
      </c>
      <c r="E99" s="76">
        <f>+E28</f>
        <v>109351000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107957000</v>
      </c>
      <c r="D100" s="201">
        <f>+D76</f>
        <v>122543000</v>
      </c>
      <c r="E100" s="201">
        <f>+E76</f>
        <v>119157000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286679000</v>
      </c>
      <c r="D101" s="76">
        <f>+D99+D100</f>
        <v>287245000</v>
      </c>
      <c r="E101" s="76">
        <f>+E99+E100</f>
        <v>228508000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367834000</v>
      </c>
      <c r="D102" s="204">
        <f>+D69</f>
        <v>391792000</v>
      </c>
      <c r="E102" s="204">
        <f>+E69</f>
        <v>434778000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728174000</v>
      </c>
      <c r="D103" s="216">
        <v>850977000</v>
      </c>
      <c r="E103" s="216">
        <v>847198000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1096008000</v>
      </c>
      <c r="D104" s="204">
        <f>+D102+D103</f>
        <v>1242769000</v>
      </c>
      <c r="E104" s="204">
        <f>+E102+E103</f>
        <v>1281976000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41.69812844192203</v>
      </c>
      <c r="D106" s="214">
        <f>IF(D109=0,0,(D107/D109)*100)</f>
        <v>43.162206535979536</v>
      </c>
      <c r="E106" s="214">
        <f>IF(E109=0,0,(E107/E109)*100)</f>
        <v>40.884185330495754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728174000</v>
      </c>
      <c r="D107" s="204">
        <f>+D103</f>
        <v>850977000</v>
      </c>
      <c r="E107" s="204">
        <f>+E103</f>
        <v>847198000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1018125000</v>
      </c>
      <c r="D108" s="204">
        <f>+D32</f>
        <v>1120602000</v>
      </c>
      <c r="E108" s="204">
        <f>+E32</f>
        <v>1224992000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1746299000</v>
      </c>
      <c r="D109" s="204">
        <f>+D107+D108</f>
        <v>1971579000</v>
      </c>
      <c r="E109" s="204">
        <f>+E107+E108</f>
        <v>2072190000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8.9872395833333325</v>
      </c>
      <c r="D111" s="214">
        <f>IF((+D113+D115)=0,0,((+D112+D113+D114)/(+D113+D115)))</f>
        <v>0.61230087084243123</v>
      </c>
      <c r="E111" s="214">
        <f>IF((+E113+E115)=0,0,((+E112+E113+E114)/(+E113+E115)))</f>
        <v>8.7989548760680751</v>
      </c>
    </row>
    <row r="112" spans="1:6" ht="24" customHeight="1" x14ac:dyDescent="0.2">
      <c r="A112" s="85">
        <v>16</v>
      </c>
      <c r="B112" s="75" t="s">
        <v>373</v>
      </c>
      <c r="C112" s="218">
        <f>+C17</f>
        <v>178722000</v>
      </c>
      <c r="D112" s="76">
        <f>+D17</f>
        <v>164702000</v>
      </c>
      <c r="E112" s="76">
        <f>+E17</f>
        <v>109351000</v>
      </c>
    </row>
    <row r="113" spans="1:8" ht="24" customHeight="1" x14ac:dyDescent="0.2">
      <c r="A113" s="85">
        <v>17</v>
      </c>
      <c r="B113" s="75" t="s">
        <v>88</v>
      </c>
      <c r="C113" s="218">
        <v>23920000</v>
      </c>
      <c r="D113" s="76">
        <v>23742000</v>
      </c>
      <c r="E113" s="76">
        <v>20696000</v>
      </c>
    </row>
    <row r="114" spans="1:8" ht="24" customHeight="1" x14ac:dyDescent="0.2">
      <c r="A114" s="85">
        <v>18</v>
      </c>
      <c r="B114" s="75" t="s">
        <v>374</v>
      </c>
      <c r="C114" s="218">
        <v>107957000</v>
      </c>
      <c r="D114" s="76">
        <v>122543000</v>
      </c>
      <c r="E114" s="76">
        <v>119157000</v>
      </c>
    </row>
    <row r="115" spans="1:8" ht="24" customHeight="1" x14ac:dyDescent="0.2">
      <c r="A115" s="85">
        <v>19</v>
      </c>
      <c r="B115" s="75" t="s">
        <v>104</v>
      </c>
      <c r="C115" s="218">
        <v>10640000</v>
      </c>
      <c r="D115" s="76">
        <v>484157000</v>
      </c>
      <c r="E115" s="76">
        <v>7626000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6.2794168048389638</v>
      </c>
      <c r="D119" s="214">
        <f>IF(+D121=0,0,(+D120)/(+D121))</f>
        <v>6.0010853333115719</v>
      </c>
      <c r="E119" s="214">
        <f>IF(+E121=0,0,(+E120)/(+E121))</f>
        <v>6.7884136055791942</v>
      </c>
    </row>
    <row r="120" spans="1:8" ht="24" customHeight="1" x14ac:dyDescent="0.2">
      <c r="A120" s="85">
        <v>21</v>
      </c>
      <c r="B120" s="75" t="s">
        <v>378</v>
      </c>
      <c r="C120" s="218">
        <v>677907000</v>
      </c>
      <c r="D120" s="218">
        <v>735391000</v>
      </c>
      <c r="E120" s="218">
        <v>808887000</v>
      </c>
    </row>
    <row r="121" spans="1:8" ht="24" customHeight="1" x14ac:dyDescent="0.2">
      <c r="A121" s="85">
        <v>22</v>
      </c>
      <c r="B121" s="75" t="s">
        <v>374</v>
      </c>
      <c r="C121" s="218">
        <v>107957000</v>
      </c>
      <c r="D121" s="218">
        <v>122543000</v>
      </c>
      <c r="E121" s="218">
        <v>119157000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462219</v>
      </c>
      <c r="D124" s="218">
        <v>426515</v>
      </c>
      <c r="E124" s="218">
        <v>428640</v>
      </c>
    </row>
    <row r="125" spans="1:8" ht="24" customHeight="1" x14ac:dyDescent="0.2">
      <c r="A125" s="85">
        <v>2</v>
      </c>
      <c r="B125" s="75" t="s">
        <v>381</v>
      </c>
      <c r="C125" s="218">
        <v>80503</v>
      </c>
      <c r="D125" s="218">
        <v>78529</v>
      </c>
      <c r="E125" s="218">
        <v>78452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5.7416369576289084</v>
      </c>
      <c r="D126" s="219">
        <f>IF(D125=0,0,D124/D125)</f>
        <v>5.4313056323141771</v>
      </c>
      <c r="E126" s="219">
        <f>IF(E125=0,0,E124/E125)</f>
        <v>5.4637230408402591</v>
      </c>
    </row>
    <row r="127" spans="1:8" ht="24" customHeight="1" x14ac:dyDescent="0.2">
      <c r="A127" s="85">
        <v>4</v>
      </c>
      <c r="B127" s="75" t="s">
        <v>383</v>
      </c>
      <c r="C127" s="218">
        <v>1572</v>
      </c>
      <c r="D127" s="218">
        <v>1426</v>
      </c>
      <c r="E127" s="218">
        <v>1425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1521</v>
      </c>
      <c r="E128" s="218">
        <v>1522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1618</v>
      </c>
      <c r="D129" s="218">
        <v>1541</v>
      </c>
      <c r="E129" s="218">
        <v>1541</v>
      </c>
    </row>
    <row r="130" spans="1:7" ht="24" customHeight="1" x14ac:dyDescent="0.2">
      <c r="A130" s="85">
        <v>7</v>
      </c>
      <c r="B130" s="75" t="s">
        <v>386</v>
      </c>
      <c r="C130" s="193">
        <v>0.80549999999999999</v>
      </c>
      <c r="D130" s="193">
        <v>0.81940000000000002</v>
      </c>
      <c r="E130" s="193">
        <v>0.82410000000000005</v>
      </c>
    </row>
    <row r="131" spans="1:7" ht="24" customHeight="1" x14ac:dyDescent="0.2">
      <c r="A131" s="85">
        <v>8</v>
      </c>
      <c r="B131" s="75" t="s">
        <v>387</v>
      </c>
      <c r="C131" s="193">
        <v>0.78259999999999996</v>
      </c>
      <c r="D131" s="193">
        <v>0.76819999999999999</v>
      </c>
      <c r="E131" s="193">
        <v>0.77149999999999996</v>
      </c>
    </row>
    <row r="132" spans="1:7" ht="24" customHeight="1" x14ac:dyDescent="0.2">
      <c r="A132" s="85">
        <v>9</v>
      </c>
      <c r="B132" s="75" t="s">
        <v>388</v>
      </c>
      <c r="C132" s="219">
        <v>11071.7</v>
      </c>
      <c r="D132" s="219">
        <v>10878.6</v>
      </c>
      <c r="E132" s="219">
        <v>10693.5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0.36790123313040196</v>
      </c>
      <c r="D135" s="227">
        <f>IF(D149=0,0,D143/D149)</f>
        <v>0.35496325342008472</v>
      </c>
      <c r="E135" s="227">
        <f>IF(E149=0,0,E143/E149)</f>
        <v>0.34914273137290935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0.3881063205666293</v>
      </c>
      <c r="D136" s="227">
        <f>IF(D149=0,0,D144/D149)</f>
        <v>0.40623811447841474</v>
      </c>
      <c r="E136" s="227">
        <f>IF(E149=0,0,E144/E149)</f>
        <v>0.40475323568354266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0.21950401147681781</v>
      </c>
      <c r="D137" s="227">
        <f>IF(D149=0,0,D145/D149)</f>
        <v>0.21399338575077362</v>
      </c>
      <c r="E137" s="227">
        <f>IF(E149=0,0,E145/E149)</f>
        <v>0.22118569404482466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1.9553704012630735E-2</v>
      </c>
      <c r="D139" s="227">
        <f>IF(D149=0,0,D147/D149)</f>
        <v>1.9156073890534489E-2</v>
      </c>
      <c r="E139" s="227">
        <f>IF(E149=0,0,E147/E149)</f>
        <v>2.0338665229566719E-2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4.9347308135202182E-3</v>
      </c>
      <c r="D140" s="227">
        <f>IF(D149=0,0,D148/D149)</f>
        <v>5.6491724601924077E-3</v>
      </c>
      <c r="E140" s="227">
        <f>IF(E149=0,0,E148/E149)</f>
        <v>4.5796736691565785E-3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3032629316</v>
      </c>
      <c r="D143" s="229">
        <f>+D46-D147</f>
        <v>2976359272</v>
      </c>
      <c r="E143" s="229">
        <f>+E46-E147</f>
        <v>3045751782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3199180920</v>
      </c>
      <c r="D144" s="229">
        <f>+D51</f>
        <v>3406297883</v>
      </c>
      <c r="E144" s="229">
        <f>+E51</f>
        <v>3530870839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1809383172</v>
      </c>
      <c r="D145" s="229">
        <f>+D55</f>
        <v>1794329953</v>
      </c>
      <c r="E145" s="229">
        <f>+E55</f>
        <v>1929516674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161182216</v>
      </c>
      <c r="D147" s="229">
        <f>+D47</f>
        <v>160623269</v>
      </c>
      <c r="E147" s="229">
        <f>+E47</f>
        <v>177424647</v>
      </c>
    </row>
    <row r="148" spans="1:7" ht="20.100000000000001" customHeight="1" x14ac:dyDescent="0.2">
      <c r="A148" s="226">
        <v>13</v>
      </c>
      <c r="B148" s="224" t="s">
        <v>402</v>
      </c>
      <c r="C148" s="230">
        <v>40677247</v>
      </c>
      <c r="D148" s="229">
        <v>47368190</v>
      </c>
      <c r="E148" s="229">
        <v>39950851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8243052871</v>
      </c>
      <c r="D149" s="229">
        <f>SUM(D143:D148)</f>
        <v>8384978567</v>
      </c>
      <c r="E149" s="229">
        <f>SUM(E143:E148)</f>
        <v>8723514793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0.52984410596191578</v>
      </c>
      <c r="D152" s="227">
        <f>IF(D166=0,0,D160/D166)</f>
        <v>0.55887887717275886</v>
      </c>
      <c r="E152" s="227">
        <f>IF(E166=0,0,E160/E166)</f>
        <v>0.54104112590320774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0.31390822289413484</v>
      </c>
      <c r="D153" s="227">
        <f>IF(D166=0,0,D161/D166)</f>
        <v>0.33693136897244019</v>
      </c>
      <c r="E153" s="227">
        <f>IF(E166=0,0,E161/E166)</f>
        <v>0.3428592941129685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0.14779134092200449</v>
      </c>
      <c r="D154" s="227">
        <f>IF(D166=0,0,D162/D166)</f>
        <v>9.2455608301992787E-2</v>
      </c>
      <c r="E154" s="227">
        <f>IF(E166=0,0,E162/E166)</f>
        <v>9.7976770101364102E-2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5.4889534722639835E-3</v>
      </c>
      <c r="D156" s="227">
        <f>IF(D166=0,0,D164/D166)</f>
        <v>9.8324743925147055E-3</v>
      </c>
      <c r="E156" s="227">
        <f>IF(E166=0,0,E164/E166)</f>
        <v>1.5773945606749926E-2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2.9673767496809465E-3</v>
      </c>
      <c r="D157" s="227">
        <f>IF(D166=0,0,D165/D166)</f>
        <v>1.901671160293389E-3</v>
      </c>
      <c r="E157" s="227">
        <f>IF(E166=0,0,E165/E166)</f>
        <v>2.348864275709712E-3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1208454529</v>
      </c>
      <c r="D160" s="229">
        <f>+D44-D164</f>
        <v>1289201506</v>
      </c>
      <c r="E160" s="229">
        <f>+E44-E164</f>
        <v>1382704616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715953635</v>
      </c>
      <c r="D161" s="229">
        <f>+D50</f>
        <v>777221051</v>
      </c>
      <c r="E161" s="229">
        <f>+E50</f>
        <v>876223832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337078611</v>
      </c>
      <c r="D162" s="229">
        <f>+D54</f>
        <v>213273241</v>
      </c>
      <c r="E162" s="229">
        <f>+E54</f>
        <v>250393040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12519061</v>
      </c>
      <c r="D164" s="229">
        <f>+D45</f>
        <v>22681195</v>
      </c>
      <c r="E164" s="229">
        <f>+E45</f>
        <v>40312476</v>
      </c>
    </row>
    <row r="165" spans="1:6" ht="20.100000000000001" customHeight="1" x14ac:dyDescent="0.2">
      <c r="A165" s="226">
        <v>13</v>
      </c>
      <c r="B165" s="224" t="s">
        <v>417</v>
      </c>
      <c r="C165" s="230">
        <v>6767915</v>
      </c>
      <c r="D165" s="229">
        <v>4386706</v>
      </c>
      <c r="E165" s="229">
        <v>6002844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2280773751</v>
      </c>
      <c r="D166" s="229">
        <f>SUM(D160:D165)</f>
        <v>2306763699</v>
      </c>
      <c r="E166" s="229">
        <f>SUM(E160:E165)</f>
        <v>2555636808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28416</v>
      </c>
      <c r="D169" s="218">
        <v>27468</v>
      </c>
      <c r="E169" s="218">
        <v>27712</v>
      </c>
    </row>
    <row r="170" spans="1:6" ht="20.100000000000001" customHeight="1" x14ac:dyDescent="0.2">
      <c r="A170" s="226">
        <v>2</v>
      </c>
      <c r="B170" s="224" t="s">
        <v>420</v>
      </c>
      <c r="C170" s="218">
        <v>28633</v>
      </c>
      <c r="D170" s="218">
        <v>28246</v>
      </c>
      <c r="E170" s="218">
        <v>28079</v>
      </c>
    </row>
    <row r="171" spans="1:6" ht="20.100000000000001" customHeight="1" x14ac:dyDescent="0.2">
      <c r="A171" s="226">
        <v>3</v>
      </c>
      <c r="B171" s="224" t="s">
        <v>421</v>
      </c>
      <c r="C171" s="218">
        <v>23006</v>
      </c>
      <c r="D171" s="218">
        <v>22415</v>
      </c>
      <c r="E171" s="218">
        <v>22248</v>
      </c>
    </row>
    <row r="172" spans="1:6" ht="20.100000000000001" customHeight="1" x14ac:dyDescent="0.2">
      <c r="A172" s="226">
        <v>4</v>
      </c>
      <c r="B172" s="224" t="s">
        <v>422</v>
      </c>
      <c r="C172" s="218">
        <v>23006</v>
      </c>
      <c r="D172" s="218">
        <v>22415</v>
      </c>
      <c r="E172" s="218">
        <v>22248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448</v>
      </c>
      <c r="D174" s="218">
        <v>400</v>
      </c>
      <c r="E174" s="218">
        <v>413</v>
      </c>
    </row>
    <row r="175" spans="1:6" ht="20.100000000000001" customHeight="1" x14ac:dyDescent="0.2">
      <c r="A175" s="226">
        <v>7</v>
      </c>
      <c r="B175" s="224" t="s">
        <v>425</v>
      </c>
      <c r="C175" s="218">
        <v>885</v>
      </c>
      <c r="D175" s="218">
        <v>952</v>
      </c>
      <c r="E175" s="218">
        <v>1339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80503</v>
      </c>
      <c r="D176" s="218">
        <f>+D169+D170+D171+D174</f>
        <v>78529</v>
      </c>
      <c r="E176" s="218">
        <f>+E169+E170+E171+E174</f>
        <v>78452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1.3871500000000001</v>
      </c>
      <c r="D179" s="231">
        <v>1.4374499999999999</v>
      </c>
      <c r="E179" s="231">
        <v>1.47</v>
      </c>
    </row>
    <row r="180" spans="1:6" ht="20.100000000000001" customHeight="1" x14ac:dyDescent="0.2">
      <c r="A180" s="226">
        <v>2</v>
      </c>
      <c r="B180" s="224" t="s">
        <v>420</v>
      </c>
      <c r="C180" s="231">
        <v>1.7250099999999999</v>
      </c>
      <c r="D180" s="231">
        <v>1.7915000000000001</v>
      </c>
      <c r="E180" s="231">
        <v>1.81</v>
      </c>
    </row>
    <row r="181" spans="1:6" ht="20.100000000000001" customHeight="1" x14ac:dyDescent="0.2">
      <c r="A181" s="226">
        <v>3</v>
      </c>
      <c r="B181" s="224" t="s">
        <v>421</v>
      </c>
      <c r="C181" s="231">
        <v>1.1861299999999999</v>
      </c>
      <c r="D181" s="231">
        <v>1.2309300000000001</v>
      </c>
      <c r="E181" s="231">
        <v>1.27</v>
      </c>
    </row>
    <row r="182" spans="1:6" ht="20.100000000000001" customHeight="1" x14ac:dyDescent="0.2">
      <c r="A182" s="226">
        <v>4</v>
      </c>
      <c r="B182" s="224" t="s">
        <v>422</v>
      </c>
      <c r="C182" s="231">
        <v>1.1861299999999999</v>
      </c>
      <c r="D182" s="231">
        <v>1.2309300000000001</v>
      </c>
      <c r="E182" s="231">
        <v>1.27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1.3638300000000001</v>
      </c>
      <c r="D184" s="231">
        <v>1.4174100000000001</v>
      </c>
      <c r="E184" s="231">
        <v>1.32</v>
      </c>
    </row>
    <row r="185" spans="1:6" ht="20.100000000000001" customHeight="1" x14ac:dyDescent="0.2">
      <c r="A185" s="226">
        <v>7</v>
      </c>
      <c r="B185" s="224" t="s">
        <v>425</v>
      </c>
      <c r="C185" s="231">
        <v>1.42665</v>
      </c>
      <c r="D185" s="231">
        <v>1.55003</v>
      </c>
      <c r="E185" s="231">
        <v>1.6</v>
      </c>
    </row>
    <row r="186" spans="1:6" ht="20.100000000000001" customHeight="1" x14ac:dyDescent="0.2">
      <c r="A186" s="226">
        <v>8</v>
      </c>
      <c r="B186" s="224" t="s">
        <v>429</v>
      </c>
      <c r="C186" s="231">
        <v>1.4497409999999999</v>
      </c>
      <c r="D186" s="231">
        <v>1.5057469999999999</v>
      </c>
      <c r="E186" s="231">
        <v>1.5341830000000001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40919</v>
      </c>
      <c r="D189" s="218">
        <v>54292</v>
      </c>
      <c r="E189" s="218">
        <v>54844</v>
      </c>
    </row>
    <row r="190" spans="1:6" ht="20.100000000000001" customHeight="1" x14ac:dyDescent="0.2">
      <c r="A190" s="226">
        <v>2</v>
      </c>
      <c r="B190" s="224" t="s">
        <v>433</v>
      </c>
      <c r="C190" s="218">
        <v>163785</v>
      </c>
      <c r="D190" s="218">
        <v>142520</v>
      </c>
      <c r="E190" s="218">
        <v>152499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204704</v>
      </c>
      <c r="D191" s="218">
        <f>+D190+D189</f>
        <v>196812</v>
      </c>
      <c r="E191" s="218">
        <f>+E190+E189</f>
        <v>207343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FILING&amp;RYALE-NEW HAVEN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13044759</v>
      </c>
      <c r="D14" s="258">
        <v>25342679</v>
      </c>
      <c r="E14" s="258">
        <f t="shared" ref="E14:E24" si="0">D14-C14</f>
        <v>12297920</v>
      </c>
      <c r="F14" s="259">
        <f t="shared" ref="F14:F24" si="1">IF(C14=0,0,E14/C14)</f>
        <v>0.94274796491065871</v>
      </c>
    </row>
    <row r="15" spans="1:7" ht="20.25" customHeight="1" x14ac:dyDescent="0.3">
      <c r="A15" s="256">
        <v>2</v>
      </c>
      <c r="B15" s="257" t="s">
        <v>442</v>
      </c>
      <c r="C15" s="258">
        <v>4011099</v>
      </c>
      <c r="D15" s="258">
        <v>8748422</v>
      </c>
      <c r="E15" s="258">
        <f t="shared" si="0"/>
        <v>4737323</v>
      </c>
      <c r="F15" s="259">
        <f t="shared" si="1"/>
        <v>1.1810536214638432</v>
      </c>
    </row>
    <row r="16" spans="1:7" ht="20.25" customHeight="1" x14ac:dyDescent="0.3">
      <c r="A16" s="256">
        <v>3</v>
      </c>
      <c r="B16" s="257" t="s">
        <v>443</v>
      </c>
      <c r="C16" s="258">
        <v>11993200</v>
      </c>
      <c r="D16" s="258">
        <v>17338259</v>
      </c>
      <c r="E16" s="258">
        <f t="shared" si="0"/>
        <v>5345059</v>
      </c>
      <c r="F16" s="259">
        <f t="shared" si="1"/>
        <v>0.44567413200813794</v>
      </c>
    </row>
    <row r="17" spans="1:6" ht="20.25" customHeight="1" x14ac:dyDescent="0.3">
      <c r="A17" s="256">
        <v>4</v>
      </c>
      <c r="B17" s="257" t="s">
        <v>444</v>
      </c>
      <c r="C17" s="258">
        <v>2371444</v>
      </c>
      <c r="D17" s="258">
        <v>2285690</v>
      </c>
      <c r="E17" s="258">
        <f t="shared" si="0"/>
        <v>-85754</v>
      </c>
      <c r="F17" s="259">
        <f t="shared" si="1"/>
        <v>-3.6161090036281693E-2</v>
      </c>
    </row>
    <row r="18" spans="1:6" ht="20.25" customHeight="1" x14ac:dyDescent="0.3">
      <c r="A18" s="256">
        <v>5</v>
      </c>
      <c r="B18" s="257" t="s">
        <v>381</v>
      </c>
      <c r="C18" s="260">
        <v>209</v>
      </c>
      <c r="D18" s="260">
        <v>401</v>
      </c>
      <c r="E18" s="260">
        <f t="shared" si="0"/>
        <v>192</v>
      </c>
      <c r="F18" s="259">
        <f t="shared" si="1"/>
        <v>0.91866028708133973</v>
      </c>
    </row>
    <row r="19" spans="1:6" ht="20.25" customHeight="1" x14ac:dyDescent="0.3">
      <c r="A19" s="256">
        <v>6</v>
      </c>
      <c r="B19" s="257" t="s">
        <v>380</v>
      </c>
      <c r="C19" s="260">
        <v>1159</v>
      </c>
      <c r="D19" s="260">
        <v>2310</v>
      </c>
      <c r="E19" s="260">
        <f t="shared" si="0"/>
        <v>1151</v>
      </c>
      <c r="F19" s="259">
        <f t="shared" si="1"/>
        <v>0.99309749784296808</v>
      </c>
    </row>
    <row r="20" spans="1:6" ht="20.25" customHeight="1" x14ac:dyDescent="0.3">
      <c r="A20" s="256">
        <v>7</v>
      </c>
      <c r="B20" s="257" t="s">
        <v>445</v>
      </c>
      <c r="C20" s="260">
        <v>2576</v>
      </c>
      <c r="D20" s="260">
        <v>4543</v>
      </c>
      <c r="E20" s="260">
        <f t="shared" si="0"/>
        <v>1967</v>
      </c>
      <c r="F20" s="259">
        <f t="shared" si="1"/>
        <v>0.76358695652173914</v>
      </c>
    </row>
    <row r="21" spans="1:6" ht="20.25" customHeight="1" x14ac:dyDescent="0.3">
      <c r="A21" s="256">
        <v>8</v>
      </c>
      <c r="B21" s="257" t="s">
        <v>446</v>
      </c>
      <c r="C21" s="260">
        <v>158</v>
      </c>
      <c r="D21" s="260">
        <v>349</v>
      </c>
      <c r="E21" s="260">
        <f t="shared" si="0"/>
        <v>191</v>
      </c>
      <c r="F21" s="259">
        <f t="shared" si="1"/>
        <v>1.2088607594936709</v>
      </c>
    </row>
    <row r="22" spans="1:6" ht="20.25" customHeight="1" x14ac:dyDescent="0.3">
      <c r="A22" s="256">
        <v>9</v>
      </c>
      <c r="B22" s="257" t="s">
        <v>447</v>
      </c>
      <c r="C22" s="260">
        <v>133</v>
      </c>
      <c r="D22" s="260">
        <v>358</v>
      </c>
      <c r="E22" s="260">
        <f t="shared" si="0"/>
        <v>225</v>
      </c>
      <c r="F22" s="259">
        <f t="shared" si="1"/>
        <v>1.6917293233082706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25037959</v>
      </c>
      <c r="D23" s="263">
        <f>+D14+D16</f>
        <v>42680938</v>
      </c>
      <c r="E23" s="263">
        <f t="shared" si="0"/>
        <v>17642979</v>
      </c>
      <c r="F23" s="264">
        <f t="shared" si="1"/>
        <v>0.7046492487666427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6382543</v>
      </c>
      <c r="D24" s="263">
        <f>+D15+D17</f>
        <v>11034112</v>
      </c>
      <c r="E24" s="263">
        <f t="shared" si="0"/>
        <v>4651569</v>
      </c>
      <c r="F24" s="264">
        <f t="shared" si="1"/>
        <v>0.72879556001424506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144323912</v>
      </c>
      <c r="D40" s="258">
        <v>184462796</v>
      </c>
      <c r="E40" s="258">
        <f t="shared" ref="E40:E50" si="4">D40-C40</f>
        <v>40138884</v>
      </c>
      <c r="F40" s="259">
        <f t="shared" ref="F40:F50" si="5">IF(C40=0,0,E40/C40)</f>
        <v>0.27811665748084768</v>
      </c>
    </row>
    <row r="41" spans="1:6" ht="20.25" customHeight="1" x14ac:dyDescent="0.3">
      <c r="A41" s="256">
        <v>2</v>
      </c>
      <c r="B41" s="257" t="s">
        <v>442</v>
      </c>
      <c r="C41" s="258">
        <v>46086564</v>
      </c>
      <c r="D41" s="258">
        <v>64208072</v>
      </c>
      <c r="E41" s="258">
        <f t="shared" si="4"/>
        <v>18121508</v>
      </c>
      <c r="F41" s="259">
        <f t="shared" si="5"/>
        <v>0.39320588100254122</v>
      </c>
    </row>
    <row r="42" spans="1:6" ht="20.25" customHeight="1" x14ac:dyDescent="0.3">
      <c r="A42" s="256">
        <v>3</v>
      </c>
      <c r="B42" s="257" t="s">
        <v>443</v>
      </c>
      <c r="C42" s="258">
        <v>104296001</v>
      </c>
      <c r="D42" s="258">
        <v>147543236</v>
      </c>
      <c r="E42" s="258">
        <f t="shared" si="4"/>
        <v>43247235</v>
      </c>
      <c r="F42" s="259">
        <f t="shared" si="5"/>
        <v>0.41465861188675873</v>
      </c>
    </row>
    <row r="43" spans="1:6" ht="20.25" customHeight="1" x14ac:dyDescent="0.3">
      <c r="A43" s="256">
        <v>4</v>
      </c>
      <c r="B43" s="257" t="s">
        <v>444</v>
      </c>
      <c r="C43" s="258">
        <v>17269275</v>
      </c>
      <c r="D43" s="258">
        <v>20656682</v>
      </c>
      <c r="E43" s="258">
        <f t="shared" si="4"/>
        <v>3387407</v>
      </c>
      <c r="F43" s="259">
        <f t="shared" si="5"/>
        <v>0.19615224148089599</v>
      </c>
    </row>
    <row r="44" spans="1:6" ht="20.25" customHeight="1" x14ac:dyDescent="0.3">
      <c r="A44" s="256">
        <v>5</v>
      </c>
      <c r="B44" s="257" t="s">
        <v>381</v>
      </c>
      <c r="C44" s="260">
        <v>2106</v>
      </c>
      <c r="D44" s="260">
        <v>2745</v>
      </c>
      <c r="E44" s="260">
        <f t="shared" si="4"/>
        <v>639</v>
      </c>
      <c r="F44" s="259">
        <f t="shared" si="5"/>
        <v>0.3034188034188034</v>
      </c>
    </row>
    <row r="45" spans="1:6" ht="20.25" customHeight="1" x14ac:dyDescent="0.3">
      <c r="A45" s="256">
        <v>6</v>
      </c>
      <c r="B45" s="257" t="s">
        <v>380</v>
      </c>
      <c r="C45" s="260">
        <v>12124</v>
      </c>
      <c r="D45" s="260">
        <v>16207</v>
      </c>
      <c r="E45" s="260">
        <f t="shared" si="4"/>
        <v>4083</v>
      </c>
      <c r="F45" s="259">
        <f t="shared" si="5"/>
        <v>0.33677004289013529</v>
      </c>
    </row>
    <row r="46" spans="1:6" ht="20.25" customHeight="1" x14ac:dyDescent="0.3">
      <c r="A46" s="256">
        <v>7</v>
      </c>
      <c r="B46" s="257" t="s">
        <v>445</v>
      </c>
      <c r="C46" s="260">
        <v>27528</v>
      </c>
      <c r="D46" s="260">
        <v>37777</v>
      </c>
      <c r="E46" s="260">
        <f t="shared" si="4"/>
        <v>10249</v>
      </c>
      <c r="F46" s="259">
        <f t="shared" si="5"/>
        <v>0.37231182795698925</v>
      </c>
    </row>
    <row r="47" spans="1:6" ht="20.25" customHeight="1" x14ac:dyDescent="0.3">
      <c r="A47" s="256">
        <v>8</v>
      </c>
      <c r="B47" s="257" t="s">
        <v>446</v>
      </c>
      <c r="C47" s="260">
        <v>1319</v>
      </c>
      <c r="D47" s="260">
        <v>1957</v>
      </c>
      <c r="E47" s="260">
        <f t="shared" si="4"/>
        <v>638</v>
      </c>
      <c r="F47" s="259">
        <f t="shared" si="5"/>
        <v>0.48369977255496588</v>
      </c>
    </row>
    <row r="48" spans="1:6" ht="20.25" customHeight="1" x14ac:dyDescent="0.3">
      <c r="A48" s="256">
        <v>9</v>
      </c>
      <c r="B48" s="257" t="s">
        <v>447</v>
      </c>
      <c r="C48" s="260">
        <v>1244</v>
      </c>
      <c r="D48" s="260">
        <v>2170</v>
      </c>
      <c r="E48" s="260">
        <f t="shared" si="4"/>
        <v>926</v>
      </c>
      <c r="F48" s="259">
        <f t="shared" si="5"/>
        <v>0.74437299035369775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248619913</v>
      </c>
      <c r="D49" s="263">
        <f>+D40+D42</f>
        <v>332006032</v>
      </c>
      <c r="E49" s="263">
        <f t="shared" si="4"/>
        <v>83386119</v>
      </c>
      <c r="F49" s="264">
        <f t="shared" si="5"/>
        <v>0.33539597851922665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63355839</v>
      </c>
      <c r="D50" s="263">
        <f>+D41+D43</f>
        <v>84864754</v>
      </c>
      <c r="E50" s="263">
        <f t="shared" si="4"/>
        <v>21508915</v>
      </c>
      <c r="F50" s="264">
        <f t="shared" si="5"/>
        <v>0.33949380735057427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146562537</v>
      </c>
      <c r="D53" s="258">
        <v>84300554</v>
      </c>
      <c r="E53" s="258">
        <f t="shared" ref="E53:E63" si="6">D53-C53</f>
        <v>-62261983</v>
      </c>
      <c r="F53" s="259">
        <f t="shared" ref="F53:F63" si="7">IF(C53=0,0,E53/C53)</f>
        <v>-0.42481512857545584</v>
      </c>
    </row>
    <row r="54" spans="1:6" ht="20.25" customHeight="1" x14ac:dyDescent="0.3">
      <c r="A54" s="256">
        <v>2</v>
      </c>
      <c r="B54" s="257" t="s">
        <v>442</v>
      </c>
      <c r="C54" s="258">
        <v>42736843</v>
      </c>
      <c r="D54" s="258">
        <v>27974116</v>
      </c>
      <c r="E54" s="258">
        <f t="shared" si="6"/>
        <v>-14762727</v>
      </c>
      <c r="F54" s="259">
        <f t="shared" si="7"/>
        <v>-0.34543326000940217</v>
      </c>
    </row>
    <row r="55" spans="1:6" ht="20.25" customHeight="1" x14ac:dyDescent="0.3">
      <c r="A55" s="256">
        <v>3</v>
      </c>
      <c r="B55" s="257" t="s">
        <v>443</v>
      </c>
      <c r="C55" s="258">
        <v>64061650</v>
      </c>
      <c r="D55" s="258">
        <v>31127320</v>
      </c>
      <c r="E55" s="258">
        <f t="shared" si="6"/>
        <v>-32934330</v>
      </c>
      <c r="F55" s="259">
        <f t="shared" si="7"/>
        <v>-0.51410367981467853</v>
      </c>
    </row>
    <row r="56" spans="1:6" ht="20.25" customHeight="1" x14ac:dyDescent="0.3">
      <c r="A56" s="256">
        <v>4</v>
      </c>
      <c r="B56" s="257" t="s">
        <v>444</v>
      </c>
      <c r="C56" s="258">
        <v>8933116</v>
      </c>
      <c r="D56" s="258">
        <v>3976665</v>
      </c>
      <c r="E56" s="258">
        <f t="shared" si="6"/>
        <v>-4956451</v>
      </c>
      <c r="F56" s="259">
        <f t="shared" si="7"/>
        <v>-0.55484010282638219</v>
      </c>
    </row>
    <row r="57" spans="1:6" ht="20.25" customHeight="1" x14ac:dyDescent="0.3">
      <c r="A57" s="256">
        <v>5</v>
      </c>
      <c r="B57" s="257" t="s">
        <v>381</v>
      </c>
      <c r="C57" s="260">
        <v>2149</v>
      </c>
      <c r="D57" s="260">
        <v>1205</v>
      </c>
      <c r="E57" s="260">
        <f t="shared" si="6"/>
        <v>-944</v>
      </c>
      <c r="F57" s="259">
        <f t="shared" si="7"/>
        <v>-0.43927408096789206</v>
      </c>
    </row>
    <row r="58" spans="1:6" ht="20.25" customHeight="1" x14ac:dyDescent="0.3">
      <c r="A58" s="256">
        <v>6</v>
      </c>
      <c r="B58" s="257" t="s">
        <v>380</v>
      </c>
      <c r="C58" s="260">
        <v>13278</v>
      </c>
      <c r="D58" s="260">
        <v>7732</v>
      </c>
      <c r="E58" s="260">
        <f t="shared" si="6"/>
        <v>-5546</v>
      </c>
      <c r="F58" s="259">
        <f t="shared" si="7"/>
        <v>-0.4176833860521163</v>
      </c>
    </row>
    <row r="59" spans="1:6" ht="20.25" customHeight="1" x14ac:dyDescent="0.3">
      <c r="A59" s="256">
        <v>7</v>
      </c>
      <c r="B59" s="257" t="s">
        <v>445</v>
      </c>
      <c r="C59" s="260">
        <v>16309</v>
      </c>
      <c r="D59" s="260">
        <v>6100</v>
      </c>
      <c r="E59" s="260">
        <f t="shared" si="6"/>
        <v>-10209</v>
      </c>
      <c r="F59" s="259">
        <f t="shared" si="7"/>
        <v>-0.62597338892635968</v>
      </c>
    </row>
    <row r="60" spans="1:6" ht="20.25" customHeight="1" x14ac:dyDescent="0.3">
      <c r="A60" s="256">
        <v>8</v>
      </c>
      <c r="B60" s="257" t="s">
        <v>446</v>
      </c>
      <c r="C60" s="260">
        <v>1570</v>
      </c>
      <c r="D60" s="260">
        <v>959</v>
      </c>
      <c r="E60" s="260">
        <f t="shared" si="6"/>
        <v>-611</v>
      </c>
      <c r="F60" s="259">
        <f t="shared" si="7"/>
        <v>-0.38917197452229302</v>
      </c>
    </row>
    <row r="61" spans="1:6" ht="20.25" customHeight="1" x14ac:dyDescent="0.3">
      <c r="A61" s="256">
        <v>9</v>
      </c>
      <c r="B61" s="257" t="s">
        <v>447</v>
      </c>
      <c r="C61" s="260">
        <v>1571</v>
      </c>
      <c r="D61" s="260">
        <v>38</v>
      </c>
      <c r="E61" s="260">
        <f t="shared" si="6"/>
        <v>-1533</v>
      </c>
      <c r="F61" s="259">
        <f t="shared" si="7"/>
        <v>-0.97581158497772125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210624187</v>
      </c>
      <c r="D62" s="263">
        <f>+D53+D55</f>
        <v>115427874</v>
      </c>
      <c r="E62" s="263">
        <f t="shared" si="6"/>
        <v>-95196313</v>
      </c>
      <c r="F62" s="264">
        <f t="shared" si="7"/>
        <v>-0.45197237010581315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51669959</v>
      </c>
      <c r="D63" s="263">
        <f>+D54+D56</f>
        <v>31950781</v>
      </c>
      <c r="E63" s="263">
        <f t="shared" si="6"/>
        <v>-19719178</v>
      </c>
      <c r="F63" s="264">
        <f t="shared" si="7"/>
        <v>-0.38163719077075325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0</v>
      </c>
      <c r="E66" s="258">
        <f t="shared" ref="E66:E76" si="8">D66-C66</f>
        <v>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0</v>
      </c>
      <c r="E67" s="258">
        <f t="shared" si="8"/>
        <v>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0</v>
      </c>
      <c r="E68" s="258">
        <f t="shared" si="8"/>
        <v>0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0</v>
      </c>
      <c r="E69" s="258">
        <f t="shared" si="8"/>
        <v>0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0</v>
      </c>
      <c r="E71" s="260">
        <f t="shared" si="8"/>
        <v>0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0</v>
      </c>
      <c r="E72" s="260">
        <f t="shared" si="8"/>
        <v>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0</v>
      </c>
      <c r="E73" s="260">
        <f t="shared" si="8"/>
        <v>0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0</v>
      </c>
      <c r="E75" s="263">
        <f t="shared" si="8"/>
        <v>0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0</v>
      </c>
      <c r="E76" s="263">
        <f t="shared" si="8"/>
        <v>0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2684536</v>
      </c>
      <c r="D92" s="258">
        <v>2636980</v>
      </c>
      <c r="E92" s="258">
        <f t="shared" ref="E92:E102" si="12">D92-C92</f>
        <v>-47556</v>
      </c>
      <c r="F92" s="259">
        <f t="shared" ref="F92:F102" si="13">IF(C92=0,0,E92/C92)</f>
        <v>-1.7714793170961387E-2</v>
      </c>
    </row>
    <row r="93" spans="1:6" ht="20.25" customHeight="1" x14ac:dyDescent="0.3">
      <c r="A93" s="256">
        <v>2</v>
      </c>
      <c r="B93" s="257" t="s">
        <v>442</v>
      </c>
      <c r="C93" s="258">
        <v>746108</v>
      </c>
      <c r="D93" s="258">
        <v>1094766</v>
      </c>
      <c r="E93" s="258">
        <f t="shared" si="12"/>
        <v>348658</v>
      </c>
      <c r="F93" s="259">
        <f t="shared" si="13"/>
        <v>0.46730232084363121</v>
      </c>
    </row>
    <row r="94" spans="1:6" ht="20.25" customHeight="1" x14ac:dyDescent="0.3">
      <c r="A94" s="256">
        <v>3</v>
      </c>
      <c r="B94" s="257" t="s">
        <v>443</v>
      </c>
      <c r="C94" s="258">
        <v>487803</v>
      </c>
      <c r="D94" s="258">
        <v>292870</v>
      </c>
      <c r="E94" s="258">
        <f t="shared" si="12"/>
        <v>-194933</v>
      </c>
      <c r="F94" s="259">
        <f t="shared" si="13"/>
        <v>-0.39961418851462577</v>
      </c>
    </row>
    <row r="95" spans="1:6" ht="20.25" customHeight="1" x14ac:dyDescent="0.3">
      <c r="A95" s="256">
        <v>4</v>
      </c>
      <c r="B95" s="257" t="s">
        <v>444</v>
      </c>
      <c r="C95" s="258">
        <v>89699</v>
      </c>
      <c r="D95" s="258">
        <v>51478</v>
      </c>
      <c r="E95" s="258">
        <f t="shared" si="12"/>
        <v>-38221</v>
      </c>
      <c r="F95" s="259">
        <f t="shared" si="13"/>
        <v>-0.42610285510429324</v>
      </c>
    </row>
    <row r="96" spans="1:6" ht="20.25" customHeight="1" x14ac:dyDescent="0.3">
      <c r="A96" s="256">
        <v>5</v>
      </c>
      <c r="B96" s="257" t="s">
        <v>381</v>
      </c>
      <c r="C96" s="260">
        <v>39</v>
      </c>
      <c r="D96" s="260">
        <v>26</v>
      </c>
      <c r="E96" s="260">
        <f t="shared" si="12"/>
        <v>-13</v>
      </c>
      <c r="F96" s="259">
        <f t="shared" si="13"/>
        <v>-0.33333333333333331</v>
      </c>
    </row>
    <row r="97" spans="1:6" ht="20.25" customHeight="1" x14ac:dyDescent="0.3">
      <c r="A97" s="256">
        <v>6</v>
      </c>
      <c r="B97" s="257" t="s">
        <v>380</v>
      </c>
      <c r="C97" s="260">
        <v>582</v>
      </c>
      <c r="D97" s="260">
        <v>522</v>
      </c>
      <c r="E97" s="260">
        <f t="shared" si="12"/>
        <v>-60</v>
      </c>
      <c r="F97" s="259">
        <f t="shared" si="13"/>
        <v>-0.10309278350515463</v>
      </c>
    </row>
    <row r="98" spans="1:6" ht="20.25" customHeight="1" x14ac:dyDescent="0.3">
      <c r="A98" s="256">
        <v>7</v>
      </c>
      <c r="B98" s="257" t="s">
        <v>445</v>
      </c>
      <c r="C98" s="260">
        <v>142</v>
      </c>
      <c r="D98" s="260">
        <v>40</v>
      </c>
      <c r="E98" s="260">
        <f t="shared" si="12"/>
        <v>-102</v>
      </c>
      <c r="F98" s="259">
        <f t="shared" si="13"/>
        <v>-0.71830985915492962</v>
      </c>
    </row>
    <row r="99" spans="1:6" ht="20.25" customHeight="1" x14ac:dyDescent="0.3">
      <c r="A99" s="256">
        <v>8</v>
      </c>
      <c r="B99" s="257" t="s">
        <v>446</v>
      </c>
      <c r="C99" s="260">
        <v>13</v>
      </c>
      <c r="D99" s="260">
        <v>7</v>
      </c>
      <c r="E99" s="260">
        <f t="shared" si="12"/>
        <v>-6</v>
      </c>
      <c r="F99" s="259">
        <f t="shared" si="13"/>
        <v>-0.46153846153846156</v>
      </c>
    </row>
    <row r="100" spans="1:6" ht="20.25" customHeight="1" x14ac:dyDescent="0.3">
      <c r="A100" s="256">
        <v>9</v>
      </c>
      <c r="B100" s="257" t="s">
        <v>447</v>
      </c>
      <c r="C100" s="260">
        <v>25</v>
      </c>
      <c r="D100" s="260">
        <v>25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3172339</v>
      </c>
      <c r="D101" s="263">
        <f>+D92+D94</f>
        <v>2929850</v>
      </c>
      <c r="E101" s="263">
        <f t="shared" si="12"/>
        <v>-242489</v>
      </c>
      <c r="F101" s="264">
        <f t="shared" si="13"/>
        <v>-7.6438552121951664E-2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835807</v>
      </c>
      <c r="D102" s="263">
        <f>+D93+D95</f>
        <v>1146244</v>
      </c>
      <c r="E102" s="263">
        <f t="shared" si="12"/>
        <v>310437</v>
      </c>
      <c r="F102" s="264">
        <f t="shared" si="13"/>
        <v>0.37142187131718207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46375708</v>
      </c>
      <c r="D105" s="258">
        <v>63870307</v>
      </c>
      <c r="E105" s="258">
        <f t="shared" ref="E105:E115" si="14">D105-C105</f>
        <v>17494599</v>
      </c>
      <c r="F105" s="259">
        <f t="shared" ref="F105:F115" si="15">IF(C105=0,0,E105/C105)</f>
        <v>0.37723626774603636</v>
      </c>
    </row>
    <row r="106" spans="1:6" ht="20.25" customHeight="1" x14ac:dyDescent="0.3">
      <c r="A106" s="256">
        <v>2</v>
      </c>
      <c r="B106" s="257" t="s">
        <v>442</v>
      </c>
      <c r="C106" s="258">
        <v>14136802</v>
      </c>
      <c r="D106" s="258">
        <v>26124523</v>
      </c>
      <c r="E106" s="258">
        <f t="shared" si="14"/>
        <v>11987721</v>
      </c>
      <c r="F106" s="259">
        <f t="shared" si="15"/>
        <v>0.84797969158795605</v>
      </c>
    </row>
    <row r="107" spans="1:6" ht="20.25" customHeight="1" x14ac:dyDescent="0.3">
      <c r="A107" s="256">
        <v>3</v>
      </c>
      <c r="B107" s="257" t="s">
        <v>443</v>
      </c>
      <c r="C107" s="258">
        <v>31868022</v>
      </c>
      <c r="D107" s="258">
        <v>40869618</v>
      </c>
      <c r="E107" s="258">
        <f t="shared" si="14"/>
        <v>9001596</v>
      </c>
      <c r="F107" s="259">
        <f t="shared" si="15"/>
        <v>0.28246484830467355</v>
      </c>
    </row>
    <row r="108" spans="1:6" ht="20.25" customHeight="1" x14ac:dyDescent="0.3">
      <c r="A108" s="256">
        <v>4</v>
      </c>
      <c r="B108" s="257" t="s">
        <v>444</v>
      </c>
      <c r="C108" s="258">
        <v>5002225</v>
      </c>
      <c r="D108" s="258">
        <v>5215135</v>
      </c>
      <c r="E108" s="258">
        <f t="shared" si="14"/>
        <v>212910</v>
      </c>
      <c r="F108" s="259">
        <f t="shared" si="15"/>
        <v>4.2563059438549843E-2</v>
      </c>
    </row>
    <row r="109" spans="1:6" ht="20.25" customHeight="1" x14ac:dyDescent="0.3">
      <c r="A109" s="256">
        <v>5</v>
      </c>
      <c r="B109" s="257" t="s">
        <v>381</v>
      </c>
      <c r="C109" s="260">
        <v>727</v>
      </c>
      <c r="D109" s="260">
        <v>1029</v>
      </c>
      <c r="E109" s="260">
        <f t="shared" si="14"/>
        <v>302</v>
      </c>
      <c r="F109" s="259">
        <f t="shared" si="15"/>
        <v>0.4154057771664374</v>
      </c>
    </row>
    <row r="110" spans="1:6" ht="20.25" customHeight="1" x14ac:dyDescent="0.3">
      <c r="A110" s="256">
        <v>6</v>
      </c>
      <c r="B110" s="257" t="s">
        <v>380</v>
      </c>
      <c r="C110" s="260">
        <v>4329</v>
      </c>
      <c r="D110" s="260">
        <v>5971</v>
      </c>
      <c r="E110" s="260">
        <f t="shared" si="14"/>
        <v>1642</v>
      </c>
      <c r="F110" s="259">
        <f t="shared" si="15"/>
        <v>0.37930237930237931</v>
      </c>
    </row>
    <row r="111" spans="1:6" ht="20.25" customHeight="1" x14ac:dyDescent="0.3">
      <c r="A111" s="256">
        <v>7</v>
      </c>
      <c r="B111" s="257" t="s">
        <v>445</v>
      </c>
      <c r="C111" s="260">
        <v>8497</v>
      </c>
      <c r="D111" s="260">
        <v>12153</v>
      </c>
      <c r="E111" s="260">
        <f t="shared" si="14"/>
        <v>3656</v>
      </c>
      <c r="F111" s="259">
        <f t="shared" si="15"/>
        <v>0.43026950688478288</v>
      </c>
    </row>
    <row r="112" spans="1:6" ht="20.25" customHeight="1" x14ac:dyDescent="0.3">
      <c r="A112" s="256">
        <v>8</v>
      </c>
      <c r="B112" s="257" t="s">
        <v>446</v>
      </c>
      <c r="C112" s="260">
        <v>1320</v>
      </c>
      <c r="D112" s="260">
        <v>1725</v>
      </c>
      <c r="E112" s="260">
        <f t="shared" si="14"/>
        <v>405</v>
      </c>
      <c r="F112" s="259">
        <f t="shared" si="15"/>
        <v>0.30681818181818182</v>
      </c>
    </row>
    <row r="113" spans="1:6" ht="20.25" customHeight="1" x14ac:dyDescent="0.3">
      <c r="A113" s="256">
        <v>9</v>
      </c>
      <c r="B113" s="257" t="s">
        <v>447</v>
      </c>
      <c r="C113" s="260">
        <v>554</v>
      </c>
      <c r="D113" s="260">
        <v>1007</v>
      </c>
      <c r="E113" s="260">
        <f t="shared" si="14"/>
        <v>453</v>
      </c>
      <c r="F113" s="259">
        <f t="shared" si="15"/>
        <v>0.81768953068592054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78243730</v>
      </c>
      <c r="D114" s="263">
        <f>+D105+D107</f>
        <v>104739925</v>
      </c>
      <c r="E114" s="263">
        <f t="shared" si="14"/>
        <v>26496195</v>
      </c>
      <c r="F114" s="264">
        <f t="shared" si="15"/>
        <v>0.33863665497542106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19139027</v>
      </c>
      <c r="D115" s="263">
        <f>+D106+D108</f>
        <v>31339658</v>
      </c>
      <c r="E115" s="263">
        <f t="shared" si="14"/>
        <v>12200631</v>
      </c>
      <c r="F115" s="264">
        <f t="shared" si="15"/>
        <v>0.63747394264086676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88712119</v>
      </c>
      <c r="D118" s="258">
        <v>101552289</v>
      </c>
      <c r="E118" s="258">
        <f t="shared" ref="E118:E128" si="16">D118-C118</f>
        <v>12840170</v>
      </c>
      <c r="F118" s="259">
        <f t="shared" ref="F118:F128" si="17">IF(C118=0,0,E118/C118)</f>
        <v>0.14473975083381788</v>
      </c>
    </row>
    <row r="119" spans="1:6" ht="20.25" customHeight="1" x14ac:dyDescent="0.3">
      <c r="A119" s="256">
        <v>2</v>
      </c>
      <c r="B119" s="257" t="s">
        <v>442</v>
      </c>
      <c r="C119" s="258">
        <v>27756412</v>
      </c>
      <c r="D119" s="258">
        <v>34047925</v>
      </c>
      <c r="E119" s="258">
        <f t="shared" si="16"/>
        <v>6291513</v>
      </c>
      <c r="F119" s="259">
        <f t="shared" si="17"/>
        <v>0.22666881439863337</v>
      </c>
    </row>
    <row r="120" spans="1:6" ht="20.25" customHeight="1" x14ac:dyDescent="0.3">
      <c r="A120" s="256">
        <v>3</v>
      </c>
      <c r="B120" s="257" t="s">
        <v>443</v>
      </c>
      <c r="C120" s="258">
        <v>74699309</v>
      </c>
      <c r="D120" s="258">
        <v>92551917</v>
      </c>
      <c r="E120" s="258">
        <f t="shared" si="16"/>
        <v>17852608</v>
      </c>
      <c r="F120" s="259">
        <f t="shared" si="17"/>
        <v>0.23899294704319152</v>
      </c>
    </row>
    <row r="121" spans="1:6" ht="20.25" customHeight="1" x14ac:dyDescent="0.3">
      <c r="A121" s="256">
        <v>4</v>
      </c>
      <c r="B121" s="257" t="s">
        <v>444</v>
      </c>
      <c r="C121" s="258">
        <v>12929556</v>
      </c>
      <c r="D121" s="258">
        <v>12954983</v>
      </c>
      <c r="E121" s="258">
        <f t="shared" si="16"/>
        <v>25427</v>
      </c>
      <c r="F121" s="259">
        <f t="shared" si="17"/>
        <v>1.9665795175023799E-3</v>
      </c>
    </row>
    <row r="122" spans="1:6" ht="20.25" customHeight="1" x14ac:dyDescent="0.3">
      <c r="A122" s="256">
        <v>5</v>
      </c>
      <c r="B122" s="257" t="s">
        <v>381</v>
      </c>
      <c r="C122" s="260">
        <v>1412</v>
      </c>
      <c r="D122" s="260">
        <v>1412</v>
      </c>
      <c r="E122" s="260">
        <f t="shared" si="16"/>
        <v>0</v>
      </c>
      <c r="F122" s="259">
        <f t="shared" si="17"/>
        <v>0</v>
      </c>
    </row>
    <row r="123" spans="1:6" ht="20.25" customHeight="1" x14ac:dyDescent="0.3">
      <c r="A123" s="256">
        <v>6</v>
      </c>
      <c r="B123" s="257" t="s">
        <v>380</v>
      </c>
      <c r="C123" s="260">
        <v>7745</v>
      </c>
      <c r="D123" s="260">
        <v>9278</v>
      </c>
      <c r="E123" s="260">
        <f t="shared" si="16"/>
        <v>1533</v>
      </c>
      <c r="F123" s="259">
        <f t="shared" si="17"/>
        <v>0.19793415106520335</v>
      </c>
    </row>
    <row r="124" spans="1:6" ht="20.25" customHeight="1" x14ac:dyDescent="0.3">
      <c r="A124" s="256">
        <v>7</v>
      </c>
      <c r="B124" s="257" t="s">
        <v>445</v>
      </c>
      <c r="C124" s="260">
        <v>19061</v>
      </c>
      <c r="D124" s="260">
        <v>21971</v>
      </c>
      <c r="E124" s="260">
        <f t="shared" si="16"/>
        <v>2910</v>
      </c>
      <c r="F124" s="259">
        <f t="shared" si="17"/>
        <v>0.15266775090498924</v>
      </c>
    </row>
    <row r="125" spans="1:6" ht="20.25" customHeight="1" x14ac:dyDescent="0.3">
      <c r="A125" s="256">
        <v>8</v>
      </c>
      <c r="B125" s="257" t="s">
        <v>446</v>
      </c>
      <c r="C125" s="260">
        <v>1172</v>
      </c>
      <c r="D125" s="260">
        <v>1494</v>
      </c>
      <c r="E125" s="260">
        <f t="shared" si="16"/>
        <v>322</v>
      </c>
      <c r="F125" s="259">
        <f t="shared" si="17"/>
        <v>0.27474402730375425</v>
      </c>
    </row>
    <row r="126" spans="1:6" ht="20.25" customHeight="1" x14ac:dyDescent="0.3">
      <c r="A126" s="256">
        <v>9</v>
      </c>
      <c r="B126" s="257" t="s">
        <v>447</v>
      </c>
      <c r="C126" s="260">
        <v>927</v>
      </c>
      <c r="D126" s="260">
        <v>1300</v>
      </c>
      <c r="E126" s="260">
        <f t="shared" si="16"/>
        <v>373</v>
      </c>
      <c r="F126" s="259">
        <f t="shared" si="17"/>
        <v>0.40237324703344118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163411428</v>
      </c>
      <c r="D127" s="263">
        <f>+D118+D120</f>
        <v>194104206</v>
      </c>
      <c r="E127" s="263">
        <f t="shared" si="16"/>
        <v>30692778</v>
      </c>
      <c r="F127" s="264">
        <f t="shared" si="17"/>
        <v>0.18782516238705166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40685968</v>
      </c>
      <c r="D128" s="263">
        <f>+D119+D121</f>
        <v>47002908</v>
      </c>
      <c r="E128" s="263">
        <f t="shared" si="16"/>
        <v>6316940</v>
      </c>
      <c r="F128" s="264">
        <f t="shared" si="17"/>
        <v>0.1552608997775351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3958713</v>
      </c>
      <c r="D131" s="258">
        <v>2394787</v>
      </c>
      <c r="E131" s="258">
        <f t="shared" ref="E131:E141" si="18">D131-C131</f>
        <v>-1563926</v>
      </c>
      <c r="F131" s="259">
        <f t="shared" ref="F131:F141" si="19">IF(C131=0,0,E131/C131)</f>
        <v>-0.39505920232156261</v>
      </c>
    </row>
    <row r="132" spans="1:6" ht="20.25" customHeight="1" x14ac:dyDescent="0.3">
      <c r="A132" s="256">
        <v>2</v>
      </c>
      <c r="B132" s="257" t="s">
        <v>442</v>
      </c>
      <c r="C132" s="258">
        <v>1062288</v>
      </c>
      <c r="D132" s="258">
        <v>733981</v>
      </c>
      <c r="E132" s="258">
        <f t="shared" si="18"/>
        <v>-328307</v>
      </c>
      <c r="F132" s="259">
        <f t="shared" si="19"/>
        <v>-0.30905648938894159</v>
      </c>
    </row>
    <row r="133" spans="1:6" ht="20.25" customHeight="1" x14ac:dyDescent="0.3">
      <c r="A133" s="256">
        <v>3</v>
      </c>
      <c r="B133" s="257" t="s">
        <v>443</v>
      </c>
      <c r="C133" s="258">
        <v>810116</v>
      </c>
      <c r="D133" s="258">
        <v>1475230</v>
      </c>
      <c r="E133" s="258">
        <f t="shared" si="18"/>
        <v>665114</v>
      </c>
      <c r="F133" s="259">
        <f t="shared" si="19"/>
        <v>0.82101081820381283</v>
      </c>
    </row>
    <row r="134" spans="1:6" ht="20.25" customHeight="1" x14ac:dyDescent="0.3">
      <c r="A134" s="256">
        <v>4</v>
      </c>
      <c r="B134" s="257" t="s">
        <v>444</v>
      </c>
      <c r="C134" s="258">
        <v>118295</v>
      </c>
      <c r="D134" s="258">
        <v>196380</v>
      </c>
      <c r="E134" s="258">
        <f t="shared" si="18"/>
        <v>78085</v>
      </c>
      <c r="F134" s="259">
        <f t="shared" si="19"/>
        <v>0.66008707045944459</v>
      </c>
    </row>
    <row r="135" spans="1:6" ht="20.25" customHeight="1" x14ac:dyDescent="0.3">
      <c r="A135" s="256">
        <v>5</v>
      </c>
      <c r="B135" s="257" t="s">
        <v>381</v>
      </c>
      <c r="C135" s="260">
        <v>57</v>
      </c>
      <c r="D135" s="260">
        <v>38</v>
      </c>
      <c r="E135" s="260">
        <f t="shared" si="18"/>
        <v>-19</v>
      </c>
      <c r="F135" s="259">
        <f t="shared" si="19"/>
        <v>-0.33333333333333331</v>
      </c>
    </row>
    <row r="136" spans="1:6" ht="20.25" customHeight="1" x14ac:dyDescent="0.3">
      <c r="A136" s="256">
        <v>6</v>
      </c>
      <c r="B136" s="257" t="s">
        <v>380</v>
      </c>
      <c r="C136" s="260">
        <v>362</v>
      </c>
      <c r="D136" s="260">
        <v>247</v>
      </c>
      <c r="E136" s="260">
        <f t="shared" si="18"/>
        <v>-115</v>
      </c>
      <c r="F136" s="259">
        <f t="shared" si="19"/>
        <v>-0.31767955801104975</v>
      </c>
    </row>
    <row r="137" spans="1:6" ht="20.25" customHeight="1" x14ac:dyDescent="0.3">
      <c r="A137" s="256">
        <v>7</v>
      </c>
      <c r="B137" s="257" t="s">
        <v>445</v>
      </c>
      <c r="C137" s="260">
        <v>260</v>
      </c>
      <c r="D137" s="260">
        <v>337</v>
      </c>
      <c r="E137" s="260">
        <f t="shared" si="18"/>
        <v>77</v>
      </c>
      <c r="F137" s="259">
        <f t="shared" si="19"/>
        <v>0.29615384615384616</v>
      </c>
    </row>
    <row r="138" spans="1:6" ht="20.25" customHeight="1" x14ac:dyDescent="0.3">
      <c r="A138" s="256">
        <v>8</v>
      </c>
      <c r="B138" s="257" t="s">
        <v>446</v>
      </c>
      <c r="C138" s="260">
        <v>52</v>
      </c>
      <c r="D138" s="260">
        <v>46</v>
      </c>
      <c r="E138" s="260">
        <f t="shared" si="18"/>
        <v>-6</v>
      </c>
      <c r="F138" s="259">
        <f t="shared" si="19"/>
        <v>-0.11538461538461539</v>
      </c>
    </row>
    <row r="139" spans="1:6" ht="20.25" customHeight="1" x14ac:dyDescent="0.3">
      <c r="A139" s="256">
        <v>9</v>
      </c>
      <c r="B139" s="257" t="s">
        <v>447</v>
      </c>
      <c r="C139" s="260">
        <v>44</v>
      </c>
      <c r="D139" s="260">
        <v>36</v>
      </c>
      <c r="E139" s="260">
        <f t="shared" si="18"/>
        <v>-8</v>
      </c>
      <c r="F139" s="259">
        <f t="shared" si="19"/>
        <v>-0.18181818181818182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4768829</v>
      </c>
      <c r="D140" s="263">
        <f>+D131+D133</f>
        <v>3870017</v>
      </c>
      <c r="E140" s="263">
        <f t="shared" si="18"/>
        <v>-898812</v>
      </c>
      <c r="F140" s="264">
        <f t="shared" si="19"/>
        <v>-0.18847645826679882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1180583</v>
      </c>
      <c r="D141" s="263">
        <f>+D132+D134</f>
        <v>930361</v>
      </c>
      <c r="E141" s="263">
        <f t="shared" si="18"/>
        <v>-250222</v>
      </c>
      <c r="F141" s="264">
        <f t="shared" si="19"/>
        <v>-0.2119478257776031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445662284</v>
      </c>
      <c r="D198" s="263">
        <f t="shared" si="28"/>
        <v>464560392</v>
      </c>
      <c r="E198" s="263">
        <f t="shared" ref="E198:E208" si="29">D198-C198</f>
        <v>18898108</v>
      </c>
      <c r="F198" s="273">
        <f t="shared" ref="F198:F208" si="30">IF(C198=0,0,E198/C198)</f>
        <v>4.2404548642487321E-2</v>
      </c>
    </row>
    <row r="199" spans="1:9" ht="20.25" customHeight="1" x14ac:dyDescent="0.3">
      <c r="A199" s="271"/>
      <c r="B199" s="272" t="s">
        <v>466</v>
      </c>
      <c r="C199" s="263">
        <f t="shared" si="28"/>
        <v>136536116</v>
      </c>
      <c r="D199" s="263">
        <f t="shared" si="28"/>
        <v>162931805</v>
      </c>
      <c r="E199" s="263">
        <f t="shared" si="29"/>
        <v>26395689</v>
      </c>
      <c r="F199" s="273">
        <f t="shared" si="30"/>
        <v>0.19332386018656045</v>
      </c>
    </row>
    <row r="200" spans="1:9" ht="20.25" customHeight="1" x14ac:dyDescent="0.3">
      <c r="A200" s="271"/>
      <c r="B200" s="272" t="s">
        <v>467</v>
      </c>
      <c r="C200" s="263">
        <f t="shared" si="28"/>
        <v>288216101</v>
      </c>
      <c r="D200" s="263">
        <f t="shared" si="28"/>
        <v>331198450</v>
      </c>
      <c r="E200" s="263">
        <f t="shared" si="29"/>
        <v>42982349</v>
      </c>
      <c r="F200" s="273">
        <f t="shared" si="30"/>
        <v>0.14913236578687877</v>
      </c>
    </row>
    <row r="201" spans="1:9" ht="20.25" customHeight="1" x14ac:dyDescent="0.3">
      <c r="A201" s="271"/>
      <c r="B201" s="272" t="s">
        <v>468</v>
      </c>
      <c r="C201" s="263">
        <f t="shared" si="28"/>
        <v>46713610</v>
      </c>
      <c r="D201" s="263">
        <f t="shared" si="28"/>
        <v>45337013</v>
      </c>
      <c r="E201" s="263">
        <f t="shared" si="29"/>
        <v>-1376597</v>
      </c>
      <c r="F201" s="273">
        <f t="shared" si="30"/>
        <v>-2.9468863571023518E-2</v>
      </c>
    </row>
    <row r="202" spans="1:9" ht="20.25" customHeight="1" x14ac:dyDescent="0.3">
      <c r="A202" s="271"/>
      <c r="B202" s="272" t="s">
        <v>138</v>
      </c>
      <c r="C202" s="274">
        <f t="shared" si="28"/>
        <v>6699</v>
      </c>
      <c r="D202" s="274">
        <f t="shared" si="28"/>
        <v>6856</v>
      </c>
      <c r="E202" s="274">
        <f t="shared" si="29"/>
        <v>157</v>
      </c>
      <c r="F202" s="273">
        <f t="shared" si="30"/>
        <v>2.3436333781161368E-2</v>
      </c>
    </row>
    <row r="203" spans="1:9" ht="20.25" customHeight="1" x14ac:dyDescent="0.3">
      <c r="A203" s="271"/>
      <c r="B203" s="272" t="s">
        <v>140</v>
      </c>
      <c r="C203" s="274">
        <f t="shared" si="28"/>
        <v>39579</v>
      </c>
      <c r="D203" s="274">
        <f t="shared" si="28"/>
        <v>42267</v>
      </c>
      <c r="E203" s="274">
        <f t="shared" si="29"/>
        <v>2688</v>
      </c>
      <c r="F203" s="273">
        <f t="shared" si="30"/>
        <v>6.7914803304782834E-2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74373</v>
      </c>
      <c r="D204" s="274">
        <f t="shared" si="28"/>
        <v>82921</v>
      </c>
      <c r="E204" s="274">
        <f t="shared" si="29"/>
        <v>8548</v>
      </c>
      <c r="F204" s="273">
        <f t="shared" si="30"/>
        <v>0.11493418310408347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5604</v>
      </c>
      <c r="D205" s="274">
        <f t="shared" si="28"/>
        <v>6537</v>
      </c>
      <c r="E205" s="274">
        <f t="shared" si="29"/>
        <v>933</v>
      </c>
      <c r="F205" s="273">
        <f t="shared" si="30"/>
        <v>0.16648822269807281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4498</v>
      </c>
      <c r="D206" s="274">
        <f t="shared" si="28"/>
        <v>4934</v>
      </c>
      <c r="E206" s="274">
        <f t="shared" si="29"/>
        <v>436</v>
      </c>
      <c r="F206" s="273">
        <f t="shared" si="30"/>
        <v>9.6931969764339709E-2</v>
      </c>
    </row>
    <row r="207" spans="1:9" ht="20.25" customHeight="1" x14ac:dyDescent="0.3">
      <c r="A207" s="271"/>
      <c r="B207" s="262" t="s">
        <v>471</v>
      </c>
      <c r="C207" s="263">
        <f>+C198+C200</f>
        <v>733878385</v>
      </c>
      <c r="D207" s="263">
        <f>+D198+D200</f>
        <v>795758842</v>
      </c>
      <c r="E207" s="263">
        <f t="shared" si="29"/>
        <v>61880457</v>
      </c>
      <c r="F207" s="273">
        <f t="shared" si="30"/>
        <v>8.4319770502574484E-2</v>
      </c>
    </row>
    <row r="208" spans="1:9" ht="20.25" customHeight="1" x14ac:dyDescent="0.3">
      <c r="A208" s="271"/>
      <c r="B208" s="262" t="s">
        <v>472</v>
      </c>
      <c r="C208" s="263">
        <f>+C199+C201</f>
        <v>183249726</v>
      </c>
      <c r="D208" s="263">
        <f>+D199+D201</f>
        <v>208268818</v>
      </c>
      <c r="E208" s="263">
        <f t="shared" si="29"/>
        <v>25019092</v>
      </c>
      <c r="F208" s="273">
        <f t="shared" si="30"/>
        <v>0.136530037703849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FILING&amp;RYALE-NEW HAVEN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FILING&amp;RYALE-NEW HAVEN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161059000</v>
      </c>
      <c r="D13" s="22">
        <v>194946000</v>
      </c>
      <c r="E13" s="22">
        <f t="shared" ref="E13:E22" si="0">D13-C13</f>
        <v>33887000</v>
      </c>
      <c r="F13" s="306">
        <f t="shared" ref="F13:F22" si="1">IF(C13=0,0,E13/C13)</f>
        <v>0.21040115733985681</v>
      </c>
    </row>
    <row r="14" spans="1:8" ht="24" customHeight="1" x14ac:dyDescent="0.2">
      <c r="A14" s="304">
        <v>2</v>
      </c>
      <c r="B14" s="305" t="s">
        <v>17</v>
      </c>
      <c r="C14" s="22">
        <v>1040882000</v>
      </c>
      <c r="D14" s="22">
        <v>1160670000</v>
      </c>
      <c r="E14" s="22">
        <f t="shared" si="0"/>
        <v>119788000</v>
      </c>
      <c r="F14" s="306">
        <f t="shared" si="1"/>
        <v>0.11508316985018474</v>
      </c>
    </row>
    <row r="15" spans="1:8" ht="35.1" customHeight="1" x14ac:dyDescent="0.2">
      <c r="A15" s="304">
        <v>3</v>
      </c>
      <c r="B15" s="305" t="s">
        <v>18</v>
      </c>
      <c r="C15" s="22">
        <v>368342000</v>
      </c>
      <c r="D15" s="22">
        <v>405694000</v>
      </c>
      <c r="E15" s="22">
        <f t="shared" si="0"/>
        <v>37352000</v>
      </c>
      <c r="F15" s="306">
        <f t="shared" si="1"/>
        <v>0.10140575877852648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40473000</v>
      </c>
      <c r="D19" s="22">
        <v>45816000</v>
      </c>
      <c r="E19" s="22">
        <f t="shared" si="0"/>
        <v>5343000</v>
      </c>
      <c r="F19" s="306">
        <f t="shared" si="1"/>
        <v>0.13201393521606997</v>
      </c>
    </row>
    <row r="20" spans="1:11" ht="24" customHeight="1" x14ac:dyDescent="0.2">
      <c r="A20" s="304">
        <v>8</v>
      </c>
      <c r="B20" s="305" t="s">
        <v>23</v>
      </c>
      <c r="C20" s="22">
        <v>13846000</v>
      </c>
      <c r="D20" s="22">
        <v>25580000</v>
      </c>
      <c r="E20" s="22">
        <f t="shared" si="0"/>
        <v>11734000</v>
      </c>
      <c r="F20" s="306">
        <f t="shared" si="1"/>
        <v>0.84746497183302039</v>
      </c>
    </row>
    <row r="21" spans="1:11" ht="24" customHeight="1" x14ac:dyDescent="0.2">
      <c r="A21" s="304">
        <v>9</v>
      </c>
      <c r="B21" s="305" t="s">
        <v>24</v>
      </c>
      <c r="C21" s="22">
        <v>58405000</v>
      </c>
      <c r="D21" s="22">
        <v>57779000</v>
      </c>
      <c r="E21" s="22">
        <f t="shared" si="0"/>
        <v>-626000</v>
      </c>
      <c r="F21" s="306">
        <f t="shared" si="1"/>
        <v>-1.0718260422908998E-2</v>
      </c>
    </row>
    <row r="22" spans="1:11" ht="24" customHeight="1" x14ac:dyDescent="0.25">
      <c r="A22" s="307"/>
      <c r="B22" s="308" t="s">
        <v>25</v>
      </c>
      <c r="C22" s="309">
        <f>SUM(C13:C21)</f>
        <v>1683007000</v>
      </c>
      <c r="D22" s="309">
        <f>SUM(D13:D21)</f>
        <v>1890485000</v>
      </c>
      <c r="E22" s="309">
        <f t="shared" si="0"/>
        <v>207478000</v>
      </c>
      <c r="F22" s="310">
        <f t="shared" si="1"/>
        <v>0.12327815630000351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31833000</v>
      </c>
      <c r="D25" s="22">
        <v>30531000</v>
      </c>
      <c r="E25" s="22">
        <f>D25-C25</f>
        <v>-1302000</v>
      </c>
      <c r="F25" s="306">
        <f>IF(C25=0,0,E25/C25)</f>
        <v>-4.0900951842427667E-2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107073000</v>
      </c>
      <c r="D26" s="22">
        <v>96951000</v>
      </c>
      <c r="E26" s="22">
        <f>D26-C26</f>
        <v>-10122000</v>
      </c>
      <c r="F26" s="306">
        <f>IF(C26=0,0,E26/C26)</f>
        <v>-9.4533635930626775E-2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94644000</v>
      </c>
      <c r="D28" s="22">
        <v>78837000</v>
      </c>
      <c r="E28" s="22">
        <f>D28-C28</f>
        <v>-15807000</v>
      </c>
      <c r="F28" s="306">
        <f>IF(C28=0,0,E28/C28)</f>
        <v>-0.16701534170153418</v>
      </c>
    </row>
    <row r="29" spans="1:11" ht="35.1" customHeight="1" x14ac:dyDescent="0.25">
      <c r="A29" s="307"/>
      <c r="B29" s="308" t="s">
        <v>32</v>
      </c>
      <c r="C29" s="309">
        <f>SUM(C25:C28)</f>
        <v>233550000</v>
      </c>
      <c r="D29" s="309">
        <f>SUM(D25:D28)</f>
        <v>206319000</v>
      </c>
      <c r="E29" s="309">
        <f>D29-C29</f>
        <v>-27231000</v>
      </c>
      <c r="F29" s="310">
        <f>IF(C29=0,0,E29/C29)</f>
        <v>-0.11659601798330121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394904000</v>
      </c>
      <c r="D32" s="22">
        <v>420800000</v>
      </c>
      <c r="E32" s="22">
        <f>D32-C32</f>
        <v>25896000</v>
      </c>
      <c r="F32" s="306">
        <f>IF(C32=0,0,E32/C32)</f>
        <v>6.557543099082308E-2</v>
      </c>
    </row>
    <row r="33" spans="1:8" ht="24" customHeight="1" x14ac:dyDescent="0.2">
      <c r="A33" s="304">
        <v>7</v>
      </c>
      <c r="B33" s="305" t="s">
        <v>35</v>
      </c>
      <c r="C33" s="22">
        <v>400099000</v>
      </c>
      <c r="D33" s="22">
        <v>421351000</v>
      </c>
      <c r="E33" s="22">
        <f>D33-C33</f>
        <v>21252000</v>
      </c>
      <c r="F33" s="306">
        <f>IF(C33=0,0,E33/C33)</f>
        <v>5.3116853578739263E-2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2900150000</v>
      </c>
      <c r="D36" s="22">
        <v>2940033000</v>
      </c>
      <c r="E36" s="22">
        <f>D36-C36</f>
        <v>39883000</v>
      </c>
      <c r="F36" s="306">
        <f>IF(C36=0,0,E36/C36)</f>
        <v>1.3752047307897867E-2</v>
      </c>
    </row>
    <row r="37" spans="1:8" ht="24" customHeight="1" x14ac:dyDescent="0.2">
      <c r="A37" s="304">
        <v>2</v>
      </c>
      <c r="B37" s="305" t="s">
        <v>39</v>
      </c>
      <c r="C37" s="22">
        <v>1444576000</v>
      </c>
      <c r="D37" s="22">
        <v>1551286000</v>
      </c>
      <c r="E37" s="22">
        <f>D37-C37</f>
        <v>106710000</v>
      </c>
      <c r="F37" s="22">
        <f>IF(C37=0,0,E37/C37)</f>
        <v>7.386942604612011E-2</v>
      </c>
    </row>
    <row r="38" spans="1:8" ht="24" customHeight="1" x14ac:dyDescent="0.25">
      <c r="A38" s="307"/>
      <c r="B38" s="308" t="s">
        <v>40</v>
      </c>
      <c r="C38" s="309">
        <f>C36-C37</f>
        <v>1455574000</v>
      </c>
      <c r="D38" s="309">
        <f>D36-D37</f>
        <v>1388747000</v>
      </c>
      <c r="E38" s="309">
        <f>D38-C38</f>
        <v>-66827000</v>
      </c>
      <c r="F38" s="310">
        <f>IF(C38=0,0,E38/C38)</f>
        <v>-4.5911097615098921E-2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66043000</v>
      </c>
      <c r="D40" s="22">
        <v>157101000</v>
      </c>
      <c r="E40" s="22">
        <f>D40-C40</f>
        <v>91058000</v>
      </c>
      <c r="F40" s="306">
        <f>IF(C40=0,0,E40/C40)</f>
        <v>1.3787683781778539</v>
      </c>
    </row>
    <row r="41" spans="1:8" ht="24" customHeight="1" x14ac:dyDescent="0.25">
      <c r="A41" s="307"/>
      <c r="B41" s="308" t="s">
        <v>42</v>
      </c>
      <c r="C41" s="309">
        <f>+C38+C40</f>
        <v>1521617000</v>
      </c>
      <c r="D41" s="309">
        <f>+D38+D40</f>
        <v>1545848000</v>
      </c>
      <c r="E41" s="309">
        <f>D41-C41</f>
        <v>24231000</v>
      </c>
      <c r="F41" s="310">
        <f>IF(C41=0,0,E41/C41)</f>
        <v>1.5924506626831852E-2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4233177000</v>
      </c>
      <c r="D43" s="309">
        <f>D22+D29+D31+D32+D33+D41</f>
        <v>4484803000</v>
      </c>
      <c r="E43" s="309">
        <f>D43-C43</f>
        <v>251626000</v>
      </c>
      <c r="F43" s="310">
        <f>IF(C43=0,0,E43/C43)</f>
        <v>5.9441407718127545E-2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354226000</v>
      </c>
      <c r="D49" s="22">
        <v>377319000</v>
      </c>
      <c r="E49" s="22">
        <f t="shared" ref="E49:E56" si="2">D49-C49</f>
        <v>23093000</v>
      </c>
      <c r="F49" s="306">
        <f t="shared" ref="F49:F56" si="3">IF(C49=0,0,E49/C49)</f>
        <v>6.5192842987245425E-2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115172000</v>
      </c>
      <c r="D50" s="22">
        <v>122564000</v>
      </c>
      <c r="E50" s="22">
        <f t="shared" si="2"/>
        <v>7392000</v>
      </c>
      <c r="F50" s="306">
        <f t="shared" si="3"/>
        <v>6.4182266523113263E-2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0</v>
      </c>
      <c r="E51" s="22">
        <f t="shared" si="2"/>
        <v>0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57727000</v>
      </c>
      <c r="D53" s="22">
        <v>51101000</v>
      </c>
      <c r="E53" s="22">
        <f t="shared" si="2"/>
        <v>-6626000</v>
      </c>
      <c r="F53" s="306">
        <f t="shared" si="3"/>
        <v>-0.11478164463769121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40432000</v>
      </c>
      <c r="D55" s="22">
        <v>92866000</v>
      </c>
      <c r="E55" s="22">
        <f t="shared" si="2"/>
        <v>52434000</v>
      </c>
      <c r="F55" s="306">
        <f t="shared" si="3"/>
        <v>1.2968440838939455</v>
      </c>
    </row>
    <row r="56" spans="1:6" ht="24" customHeight="1" x14ac:dyDescent="0.25">
      <c r="A56" s="307"/>
      <c r="B56" s="308" t="s">
        <v>54</v>
      </c>
      <c r="C56" s="309">
        <f>SUM(C49:C55)</f>
        <v>567557000</v>
      </c>
      <c r="D56" s="309">
        <f>SUM(D49:D55)</f>
        <v>643850000</v>
      </c>
      <c r="E56" s="309">
        <f t="shared" si="2"/>
        <v>76293000</v>
      </c>
      <c r="F56" s="310">
        <f t="shared" si="3"/>
        <v>0.13442350283760046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902400000</v>
      </c>
      <c r="D59" s="22">
        <v>906150000</v>
      </c>
      <c r="E59" s="22">
        <f>D59-C59</f>
        <v>3750000</v>
      </c>
      <c r="F59" s="306">
        <f>IF(C59=0,0,E59/C59)</f>
        <v>4.1555851063829786E-3</v>
      </c>
    </row>
    <row r="60" spans="1:6" ht="24" customHeight="1" x14ac:dyDescent="0.2">
      <c r="A60" s="304">
        <v>2</v>
      </c>
      <c r="B60" s="305" t="s">
        <v>57</v>
      </c>
      <c r="C60" s="22">
        <v>85709000</v>
      </c>
      <c r="D60" s="22">
        <v>107159000</v>
      </c>
      <c r="E60" s="22">
        <f>D60-C60</f>
        <v>21450000</v>
      </c>
      <c r="F60" s="306">
        <f>IF(C60=0,0,E60/C60)</f>
        <v>0.25026543303503718</v>
      </c>
    </row>
    <row r="61" spans="1:6" ht="24" customHeight="1" x14ac:dyDescent="0.25">
      <c r="A61" s="307"/>
      <c r="B61" s="308" t="s">
        <v>58</v>
      </c>
      <c r="C61" s="309">
        <f>SUM(C59:C60)</f>
        <v>988109000</v>
      </c>
      <c r="D61" s="309">
        <f>SUM(D59:D60)</f>
        <v>1013309000</v>
      </c>
      <c r="E61" s="309">
        <f>D61-C61</f>
        <v>25200000</v>
      </c>
      <c r="F61" s="310">
        <f>IF(C61=0,0,E61/C61)</f>
        <v>2.5503259255810845E-2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321442000</v>
      </c>
      <c r="D63" s="22">
        <v>339901000</v>
      </c>
      <c r="E63" s="22">
        <f>D63-C63</f>
        <v>18459000</v>
      </c>
      <c r="F63" s="306">
        <f>IF(C63=0,0,E63/C63)</f>
        <v>5.7425600886007427E-2</v>
      </c>
    </row>
    <row r="64" spans="1:6" ht="24" customHeight="1" x14ac:dyDescent="0.2">
      <c r="A64" s="304">
        <v>4</v>
      </c>
      <c r="B64" s="305" t="s">
        <v>60</v>
      </c>
      <c r="C64" s="22">
        <v>489445000</v>
      </c>
      <c r="D64" s="22">
        <v>495824000</v>
      </c>
      <c r="E64" s="22">
        <f>D64-C64</f>
        <v>6379000</v>
      </c>
      <c r="F64" s="306">
        <f>IF(C64=0,0,E64/C64)</f>
        <v>1.3033129360806629E-2</v>
      </c>
    </row>
    <row r="65" spans="1:6" ht="24" customHeight="1" x14ac:dyDescent="0.25">
      <c r="A65" s="307"/>
      <c r="B65" s="308" t="s">
        <v>61</v>
      </c>
      <c r="C65" s="309">
        <f>SUM(C61:C64)</f>
        <v>1798996000</v>
      </c>
      <c r="D65" s="309">
        <f>SUM(D61:D64)</f>
        <v>1849034000</v>
      </c>
      <c r="E65" s="309">
        <f>D65-C65</f>
        <v>50038000</v>
      </c>
      <c r="F65" s="310">
        <f>IF(C65=0,0,E65/C65)</f>
        <v>2.7814403144865246E-2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1644056000</v>
      </c>
      <c r="D70" s="22">
        <v>1750995000</v>
      </c>
      <c r="E70" s="22">
        <f>D70-C70</f>
        <v>106939000</v>
      </c>
      <c r="F70" s="306">
        <f>IF(C70=0,0,E70/C70)</f>
        <v>6.504583785467162E-2</v>
      </c>
    </row>
    <row r="71" spans="1:6" ht="24" customHeight="1" x14ac:dyDescent="0.2">
      <c r="A71" s="304">
        <v>2</v>
      </c>
      <c r="B71" s="305" t="s">
        <v>65</v>
      </c>
      <c r="C71" s="22">
        <v>141712000</v>
      </c>
      <c r="D71" s="22">
        <v>147568000</v>
      </c>
      <c r="E71" s="22">
        <f>D71-C71</f>
        <v>5856000</v>
      </c>
      <c r="F71" s="306">
        <f>IF(C71=0,0,E71/C71)</f>
        <v>4.132324714914757E-2</v>
      </c>
    </row>
    <row r="72" spans="1:6" ht="24" customHeight="1" x14ac:dyDescent="0.2">
      <c r="A72" s="304">
        <v>3</v>
      </c>
      <c r="B72" s="305" t="s">
        <v>66</v>
      </c>
      <c r="C72" s="22">
        <v>80856000</v>
      </c>
      <c r="D72" s="22">
        <v>93356000</v>
      </c>
      <c r="E72" s="22">
        <f>D72-C72</f>
        <v>12500000</v>
      </c>
      <c r="F72" s="306">
        <f>IF(C72=0,0,E72/C72)</f>
        <v>0.15459582467596716</v>
      </c>
    </row>
    <row r="73" spans="1:6" ht="24" customHeight="1" x14ac:dyDescent="0.25">
      <c r="A73" s="304"/>
      <c r="B73" s="308" t="s">
        <v>67</v>
      </c>
      <c r="C73" s="309">
        <f>SUM(C70:C72)</f>
        <v>1866624000</v>
      </c>
      <c r="D73" s="309">
        <f>SUM(D70:D72)</f>
        <v>1991919000</v>
      </c>
      <c r="E73" s="309">
        <f>D73-C73</f>
        <v>125295000</v>
      </c>
      <c r="F73" s="310">
        <f>IF(C73=0,0,E73/C73)</f>
        <v>6.7123855688130007E-2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4233177000</v>
      </c>
      <c r="D75" s="309">
        <f>D56+D65+D67+D73</f>
        <v>4484803000</v>
      </c>
      <c r="E75" s="309">
        <f>D75-C75</f>
        <v>251626000</v>
      </c>
      <c r="F75" s="310">
        <f>IF(C75=0,0,E75/C75)</f>
        <v>5.9441407718127545E-2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FILING&amp;RYALE-NEW HAVEN HEALTH SERVICES CORP. (YNHHSC)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11767478000</v>
      </c>
      <c r="D11" s="76">
        <v>12297458000</v>
      </c>
      <c r="E11" s="76">
        <f t="shared" ref="E11:E20" si="0">D11-C11</f>
        <v>529980000</v>
      </c>
      <c r="F11" s="77">
        <f t="shared" ref="F11:F20" si="1">IF(C11=0,0,E11/C11)</f>
        <v>4.5037687769630845E-2</v>
      </c>
    </row>
    <row r="12" spans="1:7" ht="23.1" customHeight="1" x14ac:dyDescent="0.2">
      <c r="A12" s="74">
        <v>2</v>
      </c>
      <c r="B12" s="75" t="s">
        <v>72</v>
      </c>
      <c r="C12" s="76">
        <v>8106128000</v>
      </c>
      <c r="D12" s="76">
        <v>8479889000</v>
      </c>
      <c r="E12" s="76">
        <f t="shared" si="0"/>
        <v>373761000</v>
      </c>
      <c r="F12" s="77">
        <f t="shared" si="1"/>
        <v>4.6108450298342193E-2</v>
      </c>
    </row>
    <row r="13" spans="1:7" ht="23.1" customHeight="1" x14ac:dyDescent="0.2">
      <c r="A13" s="74">
        <v>3</v>
      </c>
      <c r="B13" s="75" t="s">
        <v>73</v>
      </c>
      <c r="C13" s="76">
        <v>200412000</v>
      </c>
      <c r="D13" s="76">
        <v>184456000</v>
      </c>
      <c r="E13" s="76">
        <f t="shared" si="0"/>
        <v>-15956000</v>
      </c>
      <c r="F13" s="77">
        <f t="shared" si="1"/>
        <v>-7.9615991058419655E-2</v>
      </c>
    </row>
    <row r="14" spans="1:7" ht="23.1" customHeight="1" x14ac:dyDescent="0.2">
      <c r="A14" s="74">
        <v>4</v>
      </c>
      <c r="B14" s="75" t="s">
        <v>74</v>
      </c>
      <c r="C14" s="76">
        <v>49503000</v>
      </c>
      <c r="D14" s="76">
        <v>58900000</v>
      </c>
      <c r="E14" s="76">
        <f t="shared" si="0"/>
        <v>9397000</v>
      </c>
      <c r="F14" s="77">
        <f t="shared" si="1"/>
        <v>0.18982687917903965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3411435000</v>
      </c>
      <c r="D15" s="79">
        <f>D11-D12-D13-D14</f>
        <v>3574213000</v>
      </c>
      <c r="E15" s="79">
        <f t="shared" si="0"/>
        <v>162778000</v>
      </c>
      <c r="F15" s="80">
        <f t="shared" si="1"/>
        <v>4.7715404221390707E-2</v>
      </c>
    </row>
    <row r="16" spans="1:7" ht="23.1" customHeight="1" x14ac:dyDescent="0.2">
      <c r="A16" s="74">
        <v>5</v>
      </c>
      <c r="B16" s="75" t="s">
        <v>76</v>
      </c>
      <c r="C16" s="76">
        <v>123743000</v>
      </c>
      <c r="D16" s="76">
        <v>81528000</v>
      </c>
      <c r="E16" s="76">
        <f t="shared" si="0"/>
        <v>-42215000</v>
      </c>
      <c r="F16" s="77">
        <f t="shared" si="1"/>
        <v>-0.34115061053958606</v>
      </c>
      <c r="G16" s="65"/>
    </row>
    <row r="17" spans="1:7" ht="31.5" customHeight="1" x14ac:dyDescent="0.25">
      <c r="A17" s="71"/>
      <c r="B17" s="81" t="s">
        <v>77</v>
      </c>
      <c r="C17" s="79">
        <f>C15-C16</f>
        <v>3287692000</v>
      </c>
      <c r="D17" s="79">
        <f>D15-D16</f>
        <v>3492685000</v>
      </c>
      <c r="E17" s="79">
        <f t="shared" si="0"/>
        <v>204993000</v>
      </c>
      <c r="F17" s="80">
        <f t="shared" si="1"/>
        <v>6.2351643645450976E-2</v>
      </c>
    </row>
    <row r="18" spans="1:7" ht="23.1" customHeight="1" x14ac:dyDescent="0.2">
      <c r="A18" s="74">
        <v>6</v>
      </c>
      <c r="B18" s="75" t="s">
        <v>78</v>
      </c>
      <c r="C18" s="76">
        <v>103175000</v>
      </c>
      <c r="D18" s="76">
        <v>104061000</v>
      </c>
      <c r="E18" s="76">
        <f t="shared" si="0"/>
        <v>886000</v>
      </c>
      <c r="F18" s="77">
        <f t="shared" si="1"/>
        <v>8.5873515871092796E-3</v>
      </c>
      <c r="G18" s="65"/>
    </row>
    <row r="19" spans="1:7" ht="33" customHeight="1" x14ac:dyDescent="0.2">
      <c r="A19" s="74">
        <v>7</v>
      </c>
      <c r="B19" s="82" t="s">
        <v>79</v>
      </c>
      <c r="C19" s="76">
        <v>3819000</v>
      </c>
      <c r="D19" s="76">
        <v>5534000</v>
      </c>
      <c r="E19" s="76">
        <f t="shared" si="0"/>
        <v>1715000</v>
      </c>
      <c r="F19" s="77">
        <f t="shared" si="1"/>
        <v>0.44907043728724799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3394686000</v>
      </c>
      <c r="D20" s="79">
        <f>SUM(D17:D19)</f>
        <v>3602280000</v>
      </c>
      <c r="E20" s="79">
        <f t="shared" si="0"/>
        <v>207594000</v>
      </c>
      <c r="F20" s="80">
        <f t="shared" si="1"/>
        <v>6.115263679763018E-2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1318391000</v>
      </c>
      <c r="D23" s="76">
        <v>1390520000</v>
      </c>
      <c r="E23" s="76">
        <f t="shared" ref="E23:E32" si="2">D23-C23</f>
        <v>72129000</v>
      </c>
      <c r="F23" s="77">
        <f t="shared" ref="F23:F32" si="3">IF(C23=0,0,E23/C23)</f>
        <v>5.4709869833759486E-2</v>
      </c>
    </row>
    <row r="24" spans="1:7" ht="23.1" customHeight="1" x14ac:dyDescent="0.2">
      <c r="A24" s="74">
        <v>2</v>
      </c>
      <c r="B24" s="75" t="s">
        <v>83</v>
      </c>
      <c r="C24" s="76">
        <v>425746000</v>
      </c>
      <c r="D24" s="76">
        <v>467952000</v>
      </c>
      <c r="E24" s="76">
        <f t="shared" si="2"/>
        <v>42206000</v>
      </c>
      <c r="F24" s="77">
        <f t="shared" si="3"/>
        <v>9.9134225571115175E-2</v>
      </c>
    </row>
    <row r="25" spans="1:7" ht="23.1" customHeight="1" x14ac:dyDescent="0.2">
      <c r="A25" s="74">
        <v>3</v>
      </c>
      <c r="B25" s="75" t="s">
        <v>84</v>
      </c>
      <c r="C25" s="76">
        <v>121415000</v>
      </c>
      <c r="D25" s="76">
        <v>127505000</v>
      </c>
      <c r="E25" s="76">
        <f t="shared" si="2"/>
        <v>6090000</v>
      </c>
      <c r="F25" s="77">
        <f t="shared" si="3"/>
        <v>5.015854713173825E-2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493932000</v>
      </c>
      <c r="D26" s="76">
        <v>572515000</v>
      </c>
      <c r="E26" s="76">
        <f t="shared" si="2"/>
        <v>78583000</v>
      </c>
      <c r="F26" s="77">
        <f t="shared" si="3"/>
        <v>0.15909679874962546</v>
      </c>
    </row>
    <row r="27" spans="1:7" ht="23.1" customHeight="1" x14ac:dyDescent="0.2">
      <c r="A27" s="74">
        <v>5</v>
      </c>
      <c r="B27" s="75" t="s">
        <v>86</v>
      </c>
      <c r="C27" s="76">
        <v>192072000</v>
      </c>
      <c r="D27" s="76">
        <v>185944000</v>
      </c>
      <c r="E27" s="76">
        <f t="shared" si="2"/>
        <v>-6128000</v>
      </c>
      <c r="F27" s="77">
        <f t="shared" si="3"/>
        <v>-3.1904702403265442E-2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26917000</v>
      </c>
      <c r="D29" s="76">
        <v>24188000</v>
      </c>
      <c r="E29" s="76">
        <f t="shared" si="2"/>
        <v>-2729000</v>
      </c>
      <c r="F29" s="77">
        <f t="shared" si="3"/>
        <v>-0.10138574135304826</v>
      </c>
    </row>
    <row r="30" spans="1:7" ht="23.1" customHeight="1" x14ac:dyDescent="0.2">
      <c r="A30" s="74">
        <v>8</v>
      </c>
      <c r="B30" s="75" t="s">
        <v>89</v>
      </c>
      <c r="C30" s="76">
        <v>58999000</v>
      </c>
      <c r="D30" s="76">
        <v>64096000</v>
      </c>
      <c r="E30" s="76">
        <f t="shared" si="2"/>
        <v>5097000</v>
      </c>
      <c r="F30" s="77">
        <f t="shared" si="3"/>
        <v>8.6391294767707932E-2</v>
      </c>
    </row>
    <row r="31" spans="1:7" ht="23.1" customHeight="1" x14ac:dyDescent="0.2">
      <c r="A31" s="74">
        <v>9</v>
      </c>
      <c r="B31" s="75" t="s">
        <v>90</v>
      </c>
      <c r="C31" s="76">
        <v>587102000</v>
      </c>
      <c r="D31" s="76">
        <v>609904000</v>
      </c>
      <c r="E31" s="76">
        <f t="shared" si="2"/>
        <v>22802000</v>
      </c>
      <c r="F31" s="77">
        <f t="shared" si="3"/>
        <v>3.8838225725683101E-2</v>
      </c>
    </row>
    <row r="32" spans="1:7" ht="23.1" customHeight="1" x14ac:dyDescent="0.25">
      <c r="A32" s="71"/>
      <c r="B32" s="78" t="s">
        <v>91</v>
      </c>
      <c r="C32" s="79">
        <f>SUM(C23:C31)</f>
        <v>3224574000</v>
      </c>
      <c r="D32" s="79">
        <f>SUM(D23:D31)</f>
        <v>3442624000</v>
      </c>
      <c r="E32" s="79">
        <f t="shared" si="2"/>
        <v>218050000</v>
      </c>
      <c r="F32" s="80">
        <f t="shared" si="3"/>
        <v>6.7621335407405753E-2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170112000</v>
      </c>
      <c r="D34" s="79">
        <f>+D20-D32</f>
        <v>159656000</v>
      </c>
      <c r="E34" s="79">
        <f>D34-C34</f>
        <v>-10456000</v>
      </c>
      <c r="F34" s="80">
        <f>IF(C34=0,0,E34/C34)</f>
        <v>-6.146538750940557E-2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3103000</v>
      </c>
      <c r="D37" s="76">
        <v>5099000</v>
      </c>
      <c r="E37" s="76">
        <f>D37-C37</f>
        <v>1996000</v>
      </c>
      <c r="F37" s="77">
        <f>IF(C37=0,0,E37/C37)</f>
        <v>0.64324846922333223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-23196000</v>
      </c>
      <c r="D39" s="76">
        <v>-35200000</v>
      </c>
      <c r="E39" s="76">
        <f>D39-C39</f>
        <v>-12004000</v>
      </c>
      <c r="F39" s="77">
        <f>IF(C39=0,0,E39/C39)</f>
        <v>0.51750301776168306</v>
      </c>
    </row>
    <row r="40" spans="1:6" ht="23.1" customHeight="1" x14ac:dyDescent="0.25">
      <c r="A40" s="83"/>
      <c r="B40" s="78" t="s">
        <v>97</v>
      </c>
      <c r="C40" s="79">
        <f>SUM(C37:C39)</f>
        <v>-20093000</v>
      </c>
      <c r="D40" s="79">
        <f>SUM(D37:D39)</f>
        <v>-30101000</v>
      </c>
      <c r="E40" s="79">
        <f>D40-C40</f>
        <v>-10008000</v>
      </c>
      <c r="F40" s="80">
        <f>IF(C40=0,0,E40/C40)</f>
        <v>0.49808390981934009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150019000</v>
      </c>
      <c r="D42" s="79">
        <f>D34+D40</f>
        <v>129555000</v>
      </c>
      <c r="E42" s="79">
        <f>D42-C42</f>
        <v>-20464000</v>
      </c>
      <c r="F42" s="80">
        <f>IF(C42=0,0,E42/C42)</f>
        <v>-0.13640938814416839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86913000</v>
      </c>
      <c r="D45" s="76">
        <v>14536000</v>
      </c>
      <c r="E45" s="76">
        <f>D45-C45</f>
        <v>-72377000</v>
      </c>
      <c r="F45" s="77">
        <f>IF(C45=0,0,E45/C45)</f>
        <v>-0.83275229252240746</v>
      </c>
    </row>
    <row r="46" spans="1:6" ht="23.1" customHeight="1" x14ac:dyDescent="0.2">
      <c r="A46" s="85"/>
      <c r="B46" s="75" t="s">
        <v>101</v>
      </c>
      <c r="C46" s="76">
        <v>-32631000</v>
      </c>
      <c r="D46" s="76">
        <v>0</v>
      </c>
      <c r="E46" s="76">
        <f>D46-C46</f>
        <v>32631000</v>
      </c>
      <c r="F46" s="77">
        <f>IF(C46=0,0,E46/C46)</f>
        <v>-1</v>
      </c>
    </row>
    <row r="47" spans="1:6" ht="23.1" customHeight="1" x14ac:dyDescent="0.25">
      <c r="A47" s="83"/>
      <c r="B47" s="78" t="s">
        <v>102</v>
      </c>
      <c r="C47" s="79">
        <f>SUM(C45:C46)</f>
        <v>54282000</v>
      </c>
      <c r="D47" s="79">
        <f>SUM(D45:D46)</f>
        <v>14536000</v>
      </c>
      <c r="E47" s="79">
        <f>D47-C47</f>
        <v>-39746000</v>
      </c>
      <c r="F47" s="80">
        <f>IF(C47=0,0,E47/C47)</f>
        <v>-0.73221325669651083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204301000</v>
      </c>
      <c r="D49" s="79">
        <f>D42+D47</f>
        <v>144091000</v>
      </c>
      <c r="E49" s="79">
        <f>D49-C49</f>
        <v>-60210000</v>
      </c>
      <c r="F49" s="80">
        <f>IF(C49=0,0,E49/C49)</f>
        <v>-0.29471221384134194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FILING&amp;R&amp;8YALE-NEW HAVEN HEALTH SERVICES CORP. (YNHHSC)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2016-07-20T12:07:41Z</cp:lastPrinted>
  <dcterms:created xsi:type="dcterms:W3CDTF">2016-07-19T18:49:42Z</dcterms:created>
  <dcterms:modified xsi:type="dcterms:W3CDTF">2016-07-20T12:07:47Z</dcterms:modified>
</cp:coreProperties>
</file>